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FC00F934-51CA-2142-BA58-75CB1966B40A}"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T25"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T220" i="1"/>
  <c r="BT221" i="1"/>
  <c r="BT222" i="1"/>
  <c r="BF223" i="1"/>
  <c r="BT223" i="1"/>
  <c r="BF224" i="1"/>
  <c r="BT224" i="1"/>
  <c r="BF225" i="1"/>
  <c r="BT225" i="1"/>
  <c r="BF226" i="1"/>
  <c r="BT226" i="1"/>
  <c r="BF227" i="1"/>
  <c r="BT227"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T568" i="1"/>
  <c r="BF569" i="1"/>
  <c r="BT569" i="1"/>
  <c r="BF570" i="1"/>
  <c r="BT570" i="1"/>
  <c r="BT571" i="1"/>
  <c r="BF572" i="1"/>
  <c r="BT572" i="1"/>
  <c r="BF573" i="1"/>
  <c r="BT573" i="1"/>
  <c r="BF574" i="1"/>
  <c r="BT574" i="1"/>
  <c r="BF575" i="1"/>
  <c r="BT575" i="1"/>
  <c r="BF576" i="1"/>
  <c r="BT576" i="1"/>
  <c r="BF577" i="1"/>
  <c r="BT577"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T607" i="1"/>
  <c r="BT608" i="1"/>
  <c r="BT609" i="1"/>
  <c r="BT610" i="1"/>
  <c r="BT611" i="1"/>
  <c r="BT612" i="1"/>
  <c r="BT613" i="1"/>
  <c r="BT614" i="1"/>
  <c r="BT615" i="1"/>
  <c r="BT616" i="1"/>
  <c r="BT617" i="1"/>
  <c r="BT618" i="1"/>
  <c r="BT619" i="1"/>
  <c r="BT620" i="1"/>
  <c r="BT621"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T638" i="1"/>
  <c r="BF639" i="1"/>
  <c r="BT639" i="1"/>
  <c r="BT640" i="1"/>
  <c r="BT641" i="1"/>
  <c r="BT642" i="1"/>
  <c r="BT643" i="1"/>
  <c r="BT644" i="1"/>
  <c r="BT645" i="1"/>
  <c r="BT646" i="1"/>
  <c r="BT647" i="1"/>
  <c r="BT648" i="1"/>
  <c r="BT649" i="1"/>
  <c r="BT650"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T683" i="1"/>
  <c r="BT684"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T739" i="1"/>
  <c r="BF740" i="1"/>
  <c r="BT740" i="1"/>
  <c r="BF741" i="1"/>
  <c r="BT741" i="1"/>
  <c r="BF742" i="1"/>
  <c r="BT742" i="1"/>
  <c r="BF743" i="1"/>
  <c r="BT743"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T757" i="1"/>
  <c r="BT758" i="1"/>
  <c r="BT759" i="1"/>
  <c r="BT760" i="1"/>
  <c r="BT761" i="1"/>
  <c r="BT762" i="1"/>
  <c r="BF763" i="1"/>
  <c r="BT763" i="1"/>
  <c r="BF764" i="1"/>
  <c r="BT764" i="1"/>
  <c r="BF765" i="1"/>
  <c r="BT765" i="1"/>
  <c r="BF766" i="1"/>
  <c r="BT766"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T824" i="1"/>
  <c r="BF825" i="1"/>
  <c r="BT825" i="1"/>
  <c r="BF826" i="1"/>
  <c r="BT826" i="1"/>
  <c r="BF827" i="1"/>
  <c r="BT827" i="1"/>
  <c r="BF828" i="1"/>
  <c r="BT828" i="1"/>
  <c r="BF829" i="1"/>
  <c r="BT829" i="1"/>
  <c r="BF830" i="1"/>
  <c r="BT830" i="1"/>
  <c r="BF831" i="1"/>
  <c r="BT831" i="1"/>
  <c r="BF832" i="1"/>
  <c r="BT832" i="1"/>
  <c r="BT833" i="1"/>
  <c r="BF834" i="1"/>
  <c r="BT834" i="1"/>
  <c r="BF835" i="1"/>
  <c r="BT835" i="1"/>
  <c r="BF836" i="1"/>
  <c r="BT836" i="1"/>
  <c r="BF837" i="1"/>
  <c r="BT837" i="1"/>
  <c r="BF838" i="1"/>
  <c r="BT838" i="1"/>
  <c r="BT839" i="1"/>
  <c r="BF840" i="1"/>
  <c r="BT840"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T950"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T977" i="1"/>
  <c r="BF978" i="1"/>
  <c r="BT978" i="1"/>
  <c r="BF979" i="1"/>
  <c r="BT979" i="1"/>
  <c r="BF980" i="1"/>
  <c r="BT980" i="1"/>
  <c r="BF981" i="1"/>
  <c r="BT981" i="1"/>
  <c r="BF982" i="1"/>
  <c r="BT982" i="1"/>
  <c r="BF983" i="1"/>
  <c r="BT983" i="1"/>
  <c r="BF984" i="1"/>
  <c r="BT984" i="1"/>
  <c r="BT985" i="1"/>
  <c r="BF986" i="1"/>
  <c r="BT986" i="1"/>
  <c r="BT987" i="1"/>
  <c r="BF988" i="1"/>
  <c r="BT988"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<sst xmlns="http://schemas.openxmlformats.org/spreadsheetml/2006/main" count="59586" uniqueCount="17570">
  <si>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</si>
  <si>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</si>
  <si>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</si>
  <si>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</si>
  <si>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</si>
  <si>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</si>
  <si>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</si>
  <si>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</si>
  <si>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</si>
  <si>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</si>
  <si>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</si>
  <si>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</si>
  <si>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</si>
  <si>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</si>
  <si>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</si>
  <si>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</si>
  <si>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</si>
  <si>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</si>
  <si>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</si>
  <si>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</si>
  <si>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</si>
  <si>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</si>
  <si>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</si>
  <si>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</si>
  <si>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</si>
  <si>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</si>
  <si>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</si>
  <si>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</si>
  <si>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</si>
  <si>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</si>
  <si>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</si>
  <si>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</si>
  <si>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</si>
  <si>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</si>
  <si>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</si>
  <si>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</si>
  <si>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</si>
  <si>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</si>
  <si>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</si>
  <si>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</si>
  <si>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</si>
  <si>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</si>
  <si>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</si>
  <si>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</si>
  <si>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</si>
  <si>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</si>
  <si>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</si>
  <si>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</si>
  <si>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</si>
  <si>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</si>
  <si>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</si>
  <si>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</si>
  <si>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</si>
  <si>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</si>
  <si>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</si>
  <si>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</si>
  <si>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</si>
  <si>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</si>
  <si>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</si>
  <si>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</si>
  <si>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</si>
  <si>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</si>
  <si>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</si>
  <si>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</si>
  <si>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</si>
  <si>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</si>
  <si>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</si>
  <si>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</si>
  <si>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</si>
  <si>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</si>
  <si>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</si>
  <si>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</si>
  <si>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</si>
  <si>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Douhovnikoff, V; Goldsmith, GR; Tape, KD; Huang, C; Sur, N; Bret-Harte, MS</t>
  </si>
  <si>
    <t/>
  </si>
  <si>
    <t>Douhovnikoff, Vladimir; Goldsmith, Gregory R.; Tape, Ken D.; Huang, Cherrie; Sur, Nadine; Bret-Harte, M. Syndonia</t>
  </si>
  <si>
    <t>Clonal Diversity in an Expanding Community of Arctic Salix spp. and a Model for Recruitment Modes of Arctic Plants</t>
  </si>
  <si>
    <t>ARCTIC ANTARCTIC AND ALPINE RESEARCH</t>
  </si>
  <si>
    <t>English</t>
  </si>
  <si>
    <t>Article</t>
  </si>
  <si>
    <t>LAND-COVER CHANGE; GENOTYPIC DIVERSITY; ALLOZYME VARIATION; GENETIC DIVERSITY; NORTHERN ALASKA; CLIMATE-CHANGE; CAREX; POPULATIONS; TUNDRA; VEGETATION</t>
  </si>
  <si>
    <t>Rapid climate change in arctic environments is leading to a widespread expansion in woody deciduous shrub populations However, little is known about the reproductive, dispersal, and establishment mechanisms associated with shrub expansion It is assumed that harsh environmental conditions impose limitations on plant sexual reproduction in the Arctic such that population survival and expansion is predominately a function of clonal recruitment We present contrary evidence from microsatellite genetic data suggesting the prevalence of recruitment by seed Further, we present a conceptual model describing modes of recruitment in relation to the abiotic environment Climate change may be alleviating abiotic stress so that resources are available for more frequent recruitment by seed Such changes have widespread implications for ecosystem structure and functioning, including species composition, wildlife habitat, biogeochemical cycling, and surface energy balance</t>
  </si>
  <si>
    <t>[Douhovnikoff, Vladimir; Huang, Cherrie; Sur, Nadine] Simmons Coll, Dept Biol, Boston, MA 02115 USA; [Goldsmith, Gregory R.] Univ Calif Berkeley, Berkeley, CA 94720 USA; [Tape, Ken D.; Bret-Harte, M. Syndonia] Univ Alaska Fairbanks, Inst Arctic Biol, Fairbanks, AK 99775 USA</t>
  </si>
  <si>
    <t>Simmons University; University of California System; University of California Berkeley; University of Alaska System; University of Alaska Fairbanks</t>
  </si>
  <si>
    <t>Douhovnikoff, V (corresponding author), Simmons Coll, Dept Biol, Boston, MA 02115 USA.</t>
  </si>
  <si>
    <t>Goldsmith, Gregory R/A-4337-2009</t>
  </si>
  <si>
    <t>Goldsmith, Gregory/0000-0003-3567-8949</t>
  </si>
  <si>
    <t>Arctic Institute of North America; NSF Graduate Research Fellowship; NSF [DEB 0516509]</t>
  </si>
  <si>
    <t>Arctic Institute of North America; NSF Graduate Research Fellowship(National Science Foundation (NSF)); NSF(National Science Foundation (NSF))</t>
  </si>
  <si>
    <t>This work was funded by an Arctic Institute of North America Grant In Aid and an NSF Graduate Research Fellowship to G R Goldsmith and by NSF DEB 0516509 We thank L Brosius and P M Ray for assistance in the field L Gough M Power and M Hutchings provided constructive feedback</t>
  </si>
  <si>
    <t>INST ARCTIC ALPINE RES</t>
  </si>
  <si>
    <t>BOULDER</t>
  </si>
  <si>
    <t>UNIV COLORADO, BOULDER, CO 80309 USA</t>
  </si>
  <si>
    <t>1523-0430</t>
  </si>
  <si>
    <t>1938-4246</t>
  </si>
  <si>
    <t>ARCT ANTARCT ALP RES</t>
  </si>
  <si>
    <t>Arct. Antarct. Alp. Res.</t>
  </si>
  <si>
    <t>NOV</t>
  </si>
  <si>
    <t>10.1657/1938-4246-42.4.406</t>
  </si>
  <si>
    <t>Environmental Sciences; Geography, Physical</t>
  </si>
  <si>
    <t>Science Citation Index Expanded (SCI-EXPANDED)</t>
  </si>
  <si>
    <t>Environmental Sciences &amp; Ecology; Physical Geography</t>
  </si>
  <si>
    <t>690EW</t>
  </si>
  <si>
    <t>Bronze, Green Submitted</t>
  </si>
  <si>
    <t>2024-04-21</t>
  </si>
  <si>
    <t>WOS:000284986300004</t>
  </si>
  <si>
    <t>Freppaz, M; Godone, D; Filippa, G; Maggioni, M; Lunardi, S; Williams, MW; Zanini, E</t>
  </si>
  <si>
    <t>Freppaz, Michele; Godone, Danilo; Filippa, Gianluca; Maggioni, Margherita; Lunardi, Stefano; Williams, Mark W.; Zanini, Ermanno</t>
  </si>
  <si>
    <t>Soil Erosion Caused by Snow Avalanches: a Case Study in the Aosta Valley (NW Italy)</t>
  </si>
  <si>
    <t>TORLESSE RANGE; DEPOSITION; TRANSPORT; ALBERTA; ALPS</t>
  </si>
  <si>
    <t>Snow avalanches can exert considerable erosive forces on soils If a snow avalanche flows directly over bare ground, basal shear forces may scrape away and entrain soil Soil material entrained by the avalanche is transported to the deposition zone, changing the chemical composition of the soils and potentially contributing to unique landforms The quantity of soil material eroded and accumulated depends on avalanche characteristics and on morphological features as well as soil properties and vegetation cover We monitored a channeled avalanche path in the Aosta Valley of NW Italy in order to assess the contribution of avalanche debris to the formation of soils in the runout zone Sediment concentration estimates and measurements of the avalanche deposit volumes were used to estimate the total sediment load The collected sediments were separated into fine sediments (&lt;2 mm) and large (&gt;2 mm) organic and mineral fractions Results, obtained from the winter seasons of 2006, 2007, and 2008, showed that the amount of sediment deposited on the preexistent soil at the foot of the avalanche path was mainly the fine sediments fraction The total carbon and nitrogen content in the fine sediment fraction ranged respectively from 6 6 to 90% and 0 37 to 0 42% The total sediment load transported out of the 3 5 km(2) basin was estimated to be 7585 kg in 2006, 27,115 kg in 2007, and 2323 kg in 2008 This mass transport resulted in basin averaged denudation rates ranging from 067 g M-2 event(-1) in 2008 to 7 77 g m(-2) event(-1) in 2007 Annual accumulation in the runout zone was 240 Mg ha(-1) in 2006, 38 Mg ha(-1) in 2007 and 10 Mg ha(-1) in 2008 The inorganic N concentration of the snow in the runout zone was significantly greater than in the starting zone and was correlated with the organic fraction accumulated by the avalanche By redistributing snow avalanches not only redistribute water but also nutrients that can be available for plants in the growing season Moreover, avalanche paths are places where soil accumulates in some areas and erodes in others contributing to potentially unique pedo-environmental conditions</t>
  </si>
  <si>
    <t>[Freppaz, Michele; Filippa, Gianluca; Maggioni, Margherita; Lunardi, Stefano; Zanini, Ermanno] Univ Turin, Di Va PRA Chim Agr &amp; Pedol Lab Neve &amp; Suoli Aplin, I-10095 Grugliasco, TO, Italy; [Freppaz, Michele; Godone, Danilo; Filippa, Gianluca; Maggioni, Margherita; Zanini, Ermanno] Univ Turin, NatRisk Res Ctr Nat Risks Mt &amp; Hilly Enviroments, I-10095 Grugliasco, TO, Italy; [Godone, Danilo] Univ Turin, DEIAFA Sez Topog &amp; Costruz Rurali, I-10095 Grugliasco, TO, Italy; [Williams, Mark W.] Univ Colorado, Inst Arctic &amp; Alpine Res, Boulder, CO 80309 USA; [Williams, Mark W.] Univ Colorado, Dept Geog, Boulder, CO 80309 USA</t>
  </si>
  <si>
    <t>University of Turin; University of Turin; University of Turin; University of Colorado System; University of Colorado Boulder; University of Colorado System; University of Colorado Boulder</t>
  </si>
  <si>
    <t>Maggioni, M (corresponding author), Univ Turin, Di Va PRA Chim Agr &amp; Pedol Lab Neve &amp; Suoli Aplin, 44 Via Leonarda da Vinci, I-10095 Grugliasco, TO, Italy.</t>
  </si>
  <si>
    <t>Filippa, Gianluca/I-5638-2019; Godone, Danilo/P-2349-2016</t>
  </si>
  <si>
    <t>Godone, Danilo/0000-0003-1455-6862; Filippa, Gianluca/0000-0002-4554-6045</t>
  </si>
  <si>
    <t>U S National Science Foundation [0423662]; Division Of Earth Sciences; Directorate For Geosciences [0423662] Funding Source: National Science Foundation</t>
  </si>
  <si>
    <t>U S National Science Foundation(National Science Foundation (NSF)); Division Of Earth Sciences; Directorate For Geosciences(National Science Foundation (NSF)NSF - Directorate for Geosciences (GEO))</t>
  </si>
  <si>
    <t>Cristina Ghisolfi Stefania Santoni Marco Bergero, Mattia Faletto and Elisabetta Ceaglio for soil chemical and physical analysis Antoine Brulport for logistic support during field campaigns Scott Winslow McCoy for the useful discussion on snow avalanches and geomorphic evidences Regione Autonoma Valle d'Aosta Assessorato Territorio, Ambiente e Opere Pub bliche Direzione Tutela del Territorio-Ufficio Neve e Valanghe for technical support in the framework of the Convenzione per la Consulenza e Supervisione Scientifica in materia di Rischi Pedo ambientali e Valanghivi The participation of M W Williams was funded by the U S National Science Foundation's Niwot Ridge Long Term Ecological Research program (DEB-0423662)</t>
  </si>
  <si>
    <t>TAYLOR &amp; FRANCIS LTD</t>
  </si>
  <si>
    <t>ABINGDON</t>
  </si>
  <si>
    <t>2-4 PARK SQUARE, MILTON PARK, ABINGDON OR14 4RN, OXON, ENGLAND</t>
  </si>
  <si>
    <t>10.1657/1938-4246-42.4.412</t>
  </si>
  <si>
    <t>Green Submitted, Bronze</t>
  </si>
  <si>
    <t>WOS:000284986300005</t>
  </si>
  <si>
    <t>Hågvar, S</t>
  </si>
  <si>
    <t>Hagvar, Sigmund</t>
  </si>
  <si>
    <t>Primary Succession of Springtails (Collembola) in a Norwegian Glacier Foreland</t>
  </si>
  <si>
    <t>COLONIZATION; VALLEY; ACARI</t>
  </si>
  <si>
    <t>The Collembola succession was studied in the Hardangerjokulen glacier foreland in south-central Norway Twenty sampling plots 30 to 230 years of age were distributed along a chronosequence where a glacier snout had been receding since 1750 Also, five plots 10,000 years of age were sampled All soil samples were taken in Salix herbacea vegetation, in order to standardize the microhabitat The youngest zone (30-50 years) contained 14 springtail species, mainly large, surface active generalists Additional pitfall catches here revealed considerable surface activity of several species, also on vegetation-free areas Even a three-year-young moraine contained at least three springtail species Most pioneers also occurred in older soils The cumulative number of species increased rapidly up to about 70 years, at which age 72% of all species had been recorded Only five species in low numbers were confined to 10 000-year-old soil A high density of Folsomia quadrioculata and F brevicauda was noted at 50-70 years of age, and of Tetracanthella brachyura at about 100 years Compared to oribatid mites a higher number of springtail species colonized pristine ground While the two pioneer oribatids were parthenogenetic, the dominant springtail pioneers were bisexual Springtails are among the earliest colonizers along receding glaciers</t>
  </si>
  <si>
    <t>Norwegian Univ Life Sci, Dept Ecol &amp; Nat Resource Management, N-1432 As, Norway</t>
  </si>
  <si>
    <t>Norwegian University of Life Sciences</t>
  </si>
  <si>
    <t>Hågvar, S (corresponding author), Norwegian Univ Life Sci, Dept Ecol &amp; Nat Resource Management, POB 5003, N-1432 As, Norway.</t>
  </si>
  <si>
    <t>10.1657/1938-4246-42.4.422</t>
  </si>
  <si>
    <t>Green Submitted</t>
  </si>
  <si>
    <t>WOS:000284986300006</t>
  </si>
  <si>
    <t>Kabeya, D</t>
  </si>
  <si>
    <t>Kabeya, Daisuke</t>
  </si>
  <si>
    <t>Differentiating between the Adverse Effects of Nutrient-Limitation and Direct-Cold-Limitation on Tree Growth at High Altitudes</t>
  </si>
  <si>
    <t>MOUNTAIN BIRCH; SOIL-TEMPERATURE; NITROGEN NUTRITION; SWISS TREELINE; CLIMATE-CHANGE; PLANT-GROWTH; PINUS-CEMBRA; RED SPRUCE; CARBON; SEEDLINGS</t>
  </si>
  <si>
    <t>The sink limitation hypothesis postulates that suppression of meristematic activity can limit growth at low temperatures (direct-cold-limitation) in situations where photosynthesis is not restricted In accordance with this hypothesis high concentrations of non structural carbohydrates (NSC) have been found, in several studies, in plants at high altitudes or latitudes However, high concentrations of NSC could also be due to nutrient deficiency This study aimed to differentiate between nutrient- and direct-cold-limitation by comparing the growth and NSC concentrations of Abies veitchu saplings at two altitudes (high/low) and with two fertilization treatments (N-rich/N-poor) N-rich saplings grew better at the low than the high site, but N-poor saplings were suppressed to similar degrees at both altitudes Among N-rich saplings the leaf nitrogen concentration was lower at the high site than the low site Leaf NSC concentrations were higher in N-poor than N-rich saplings However, NSC concentrations were higher at the high site than the low site in leaves with the same nitrogen concentrations These results indicate that direct-cold and nutrient-limitation may occur simultaneously at high altitude, causing restricted growth and NSC accumulation Therefore, NSC concentration should be interpreted in terms of both direct cold and nutrient-limitation</t>
  </si>
  <si>
    <t>Forestry &amp; Forest Prod Res Inst, Kiso Expt Stn, Nagano 3970001, Japan</t>
  </si>
  <si>
    <t>Forestry &amp; Forest Products Research Institute - Japan</t>
  </si>
  <si>
    <t>Kabeya, D (corresponding author), Forestry &amp; Forest Prod Res Inst, Kiso Expt Stn, 5473 8 Fukushima, Nagano 3970001, Japan.</t>
  </si>
  <si>
    <t>Japan Society for the Promotion of Science</t>
  </si>
  <si>
    <t>Japan Society for the Promotion of Science(Ministry of Education, Culture, Sports, Science and Technology, Japan (MEXT)Japan Society for the Promotion of Science)</t>
  </si>
  <si>
    <t>I would like to thank Dr Hisashi Sugita for his constructive comments on the draft manuscript SAS/STAT analysis was performed at the Computer Center for Agriculture, Forestry and Fisheries Research, MAFF, Japan This research was supported by a Grant-In-Aid for Scientific Research from the Japan Society for the Promotion of Science</t>
  </si>
  <si>
    <t>10.1657/1938-4246-42.4.430</t>
  </si>
  <si>
    <t>WOS:000284986300007</t>
  </si>
  <si>
    <t>Kudo, G; Kimura, M; Kasagi, T; Kawai, Y; Hirao, AS</t>
  </si>
  <si>
    <t>Kudo, Gaku; Kimura, Mitsuhiro; Kasagi, Tetsuya; Kawai, Yuka; Hirao, Akira S.</t>
  </si>
  <si>
    <t>Habitat-Specific Responses of Alpine Plants to Climatic Amelioration: Comparison of Fellfield to Snowbed Communities</t>
  </si>
  <si>
    <t>ALASKAN ARCTIC TUNDRA; DWARF-SHRUB HEATH; FUNCTIONAL TYPES; CENTRAL ALPS; VEGETATION; GROWTH; METAANALYSIS; IMPACT; TERM</t>
  </si>
  <si>
    <t>Because of the contrastive differences in environment and species composition climatic amelioration may affect alpine vegetation differently between fellfield and snowbed communities To test this prediction, the effects of warming on plant growth and vegetation structure were studied in two fellfield and two snowbed communities in northern Japan over 7 years using open-top-chambers (OTCs) OTCs increased the temperature by 1 1-1 8 degrees C, but the effects on snowmelt time and soil moisture were small Vegetation height and canopy volume increased substantially at both fellfield sites as a result of the use of OTCs Deciduous shrubs increased substantially at the lower fellfield and grammoids increased at the upper fellfield In contrast, the responses of snowbed plants to OTCs were not significant Because snowbed plants are snow covered until mid-summer, climatic amelioration during the snow-free period may influence plant growth only slightly if the snow-free period does not change Species richness and diversity were not changed by OTCs at any of the sites, indicating that the effect of warming alone may not be strong enough to change the species composition and diversity over several years These results indicate significant variation in the response among alpine communities to warming</t>
  </si>
  <si>
    <t>[Kudo, Gaku; Kimura, Mitsuhiro; Kawai, Yuka] Hokkaido Univ, Fac Environm Earth Sci, Sapporo, Hokkaido 0600810, Japan; [Kasagi, Tetsuya] Kanazawa Univ, Grad Sch Nat Sci &amp; Technol, Ecol Lab, Kanazawa, Ishikawa 9201192, Japan; [Hirao, Akira S.] Shinshu Univ, Inst Mt Sci, Matsumoto, Nagano 3908621, Japan</t>
  </si>
  <si>
    <t>Hokkaido University; Kanazawa University; Shinshu University</t>
  </si>
  <si>
    <t>Kudo, G (corresponding author), Hokkaido Univ, Fac Environm Earth Sci, Sapporo, Hokkaido 0600810, Japan.</t>
  </si>
  <si>
    <t>Hirao, Akira S./AAF-1177-2020; Hirao, Akira/AAF-9630-2020; Kawai, Yuka/K-2984-2019; KAWAI, YUKA/A-3417-2012; Kudo, Gaku/A-2733-2015</t>
  </si>
  <si>
    <t>Hirao, Akira/0000-0001-6707-7369; Kudo, Gaku/0000-0002-6488-818X</t>
  </si>
  <si>
    <t>Ministry of Environment of Japan [F 052, F 092]; Japan Society for the Promotion of Science [21370005]; Grants-in-Aid for Scientific Research [21370005] Funding Source: KAKEN</t>
  </si>
  <si>
    <t>Ministry of Environment of Japan(Ministry of the Environment, Japan);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</si>
  <si>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Y Shimono T Ida, and Y Kameyama for field survey support, and W D Bowman for his critical reading and revisions of the manuscript This study was supported by a grant-in aid from the Ministry of Environment of Japan from the Global Environmental Research Fund (F 052 and F 092) and from the Japan Society for the Promotion of Science (21370005)</t>
  </si>
  <si>
    <t>10.1657/1938-4246-42.4.438</t>
  </si>
  <si>
    <t>WOS:000284986300008</t>
  </si>
  <si>
    <t>Li, L; Yang, S; Wang, ZY; Zhu, XD; Tang, HY</t>
  </si>
  <si>
    <t>Li, Lin; Yang, Song; Wang, Zhenyu; Zhu, Xide; Tang, Hongyu</t>
  </si>
  <si>
    <t>Evidence of Warming and Wetting Climate over the Qinghai-Tibet Plateau</t>
  </si>
  <si>
    <t>ASIAN SUMMER MONSOON; LONG-TERM CHANGES; CHINA; WAVES; SHIFT</t>
  </si>
  <si>
    <t>In this study, we apply temperature, precipitation, and other data from 66 Chinese meteorological stations including Xining and Lhasa to analyze the extreme climate events and their impacting factors over the Qinghai-Tibet Plateau during the period 1961-2007 We focus on the spatial and temporal features of extreme climate events and their long-term changes over five climate zones of alpine grassland meadow and desert areas Results show that, during the past decades, the changes in climate over the Qinghai-Tibet Plateau present trends towards warm and wet conditions These changes in temperature and precipitation are evident in both seasonal means and extreme events, and the changes in precipitation are apparent in both precipitation amount and number of precipitation days Clearly, warm and wet events Increase, but cold and dry events decrease over the plateau region Features of the warming climate are relatively consistent in spatial and seasonal distributions, with the most significant changes in winter and autumn and at nighttime Northern Qinghai exhibits the greatest and most significant decrease in the frequency of extremely low-temperature events However, the wetting trend shows more distinctive spatial features and is more seasonally dependent While the trends in both precipitation amount and the number of precipitation days are positive in all climate zones for winter and spring, both positive and insignificant negative trends appear in summer and autumn The largest decrease in the frequency of severely dry events is found over southeastern Tibet and western Sichuan</t>
  </si>
  <si>
    <t>[Yang, Song] NOAA, Climate Predict Ctr, Camp Springs, MD 20746 USA; [Li, Lin; Wang, Zhenyu; Zhu, Xide; Tang, Hongyu] Qinghai Climate Ctr, Xining 810001, Qinghai, Peoples R China; [Li, Lin; Wang, Zhenyu; Zhu, Xide; Tang, Hongyu] Qinghai Ctr Climate Change Monitoring &amp; Evaluat, Xining 810001, Qinghai, Peoples R China</t>
  </si>
  <si>
    <t>National Oceanic Atmospheric Admin (NOAA) - USA</t>
  </si>
  <si>
    <t>Yang, S (corresponding author), NOAA, Climate Predict Ctr, 5200 Auth Rd,Room 605, Camp Springs, MD 20746 USA.</t>
  </si>
  <si>
    <t>Ye, Huaiyu/P-6779-2017; Yang, Song/B-4952-2009</t>
  </si>
  <si>
    <t>Ye, Huaiyu/0000-0002-0385-4728;</t>
  </si>
  <si>
    <t>China Meteorological Administration [GYHY200906019]</t>
  </si>
  <si>
    <t>China Meteorological Administration</t>
  </si>
  <si>
    <t>The authors are thankful for the comments by two anonymous reviewers that are helpful for improving the overall quality of the paper This study was supported by a meteorological research project of the China Meteorological Administration (Grant GYHY200906019)</t>
  </si>
  <si>
    <t>10.1657/1938-4246-42.4.449</t>
  </si>
  <si>
    <t>WOS:000284986300009</t>
  </si>
  <si>
    <t>Odland, A; Hoitomt, T; Olsen, SL</t>
  </si>
  <si>
    <t>Odland, Arvid; Hoitomt, Torborn; Olsen, Siri Lie</t>
  </si>
  <si>
    <t>Increasing Vascular Plant Richness on 13 High Mountain Summits in Southern Norway since the Early 1970s</t>
  </si>
  <si>
    <t>HIGH SPECIES TURNOVER; CLIMATE-CHANGE; SWEDEN; MIGRATION; SHIFT; ALPS</t>
  </si>
  <si>
    <t>We describe changes in vascular plant richness on 13 high mountain summits based on a historical study performed approximately 40 years ago A summit is defined as the uppermost 30 m of the mountain tops The altitudes of the summits range from 1512 to 1814 m Data from neighboring climatologic stations showed higher mean values for July temperature (+0 7 degrees C) and January temperature (+1 5 degrees C), and mean annual precipitation had increased from 714 to 764 7 mm (7 1%) for the period from 1970 until 2009 compared with average data for the normal period (1961-1990) The total top flora had during this period increased by 19 taxa On average, the increase in taxa richness was 18 9 8 4 per summit, representing an average increase of 90 2% Woody species had an average upward movement of 7 3 m during the study period The ongoing upward shift of common, ubiquitous alpine species has resulted in a floristic homogenization of the mountain summits, and thus increasing a-diversity was accompanied by decreasing beta-diversity The use of recorded plants as temperature indicators showed that average summer temperatures had increased by approximately 1 3 degrees C during this period Several of the newly established species indicate that the climate has become more humid We assume that the recorded floristic changes are the result of ongoing climatic changes</t>
  </si>
  <si>
    <t>[Odland, Arvid] Telemark Univ Coll, N-3800 Bo, Norway; [Olsen, Siri Lie] Norwegian Univ Life Sci Plant &amp; Environm Sci, N-1432 As, Norway; [Hoitomt, Torborn] Biofokus, N-0349 Oslo, Norway</t>
  </si>
  <si>
    <t>University College of Southeast Norway; Norwegian University of Life Sciences</t>
  </si>
  <si>
    <t>Odland, A (corresponding author), Telemark Univ Coll, N-3800 Bo, Norway.</t>
  </si>
  <si>
    <t>Olsen, Siri Lie/0000-0002-4443-8261</t>
  </si>
  <si>
    <t>10.1657/1938-4246-42.4.458</t>
  </si>
  <si>
    <t>WOS:000284986300010</t>
  </si>
  <si>
    <t>Schmidt, NM; Baittinger, C; Kollmann, J; Forchhammer, MC</t>
  </si>
  <si>
    <t>Schmidt, Niels M.; Baittinger, Claudia; Kollmann, Johannes; Forchhammer, Mads C.</t>
  </si>
  <si>
    <t>Consistent Dendrochronological Response of the Dioecious Salix arctica to Variation in Local Snow Precipitation across Gender and Vegetation Types</t>
  </si>
  <si>
    <t>WATER RELATIONS; CLIMATE; GROWTH</t>
  </si>
  <si>
    <t>Dendroclimatological reconstructions may be influenced by intraspecific variation in radial growth caused by plant gender and ecotypic differentiation We examined the growth response of the High Arctic Salix arctica to interannual variation in snow precipitation in Zackenberg, NE Greenland Tree ring examinations revealed a consistent response of annual radial growth in this dwarf shrub to variation in the amount of snow precipitation across gender and across three distinct vegetation types Annual growth, however, differed between vegetation types These results are discussed with respect to an improved understanding of the factors limiting the growth of S arctica, which can be used for future reconstructions of climatic conditions, especially in remote High Arctic regions</t>
  </si>
  <si>
    <t>[Schmidt, Niels M.; Forchhammer, Mads C.] Aarhus Univ, Natl Environm Res Inst, Dept Arctic Environm, DK-4000 Roskilde, Denmark; [Baittinger, Claudia] Natl Museum Denmark, DK-1220 Copenhagen, Denmark; [Baittinger, Claudia; Kollmann, Johannes] Tech Univ Munich, D-85350 Freising Weihenstephan, Germany; [Schmidt, Niels M.; Forchhammer, Mads C.] Greenland Inst Nat Resources, Greenland Climate Res Ctr, Nuuk, Greenland</t>
  </si>
  <si>
    <t>Aarhus University; Technical University of Munich; Greenland Institute of Natural Resources</t>
  </si>
  <si>
    <t>Schmidt, NM (corresponding author), Aarhus Univ, Natl Environm Res Inst, Dept Arctic Environm, POB 358,Frederiksborgvej 399, DK-4000 Roskilde, Denmark.</t>
  </si>
  <si>
    <t>Forchhammer, Mads/I-7474-2013; Kollmann, Johannes Christian/B-4255-2012; Schmidt, Niels Martin/G-3843-2011</t>
  </si>
  <si>
    <t>Schmidt, Niels Martin/0000-0002-4166-6218</t>
  </si>
  <si>
    <t>Knud Hojgaard Foundation; Commission for Scientific Research in Greenland [602 128]</t>
  </si>
  <si>
    <t>Knud Hojgaard Foundation; Commission for Scientific Research in Greenland</t>
  </si>
  <si>
    <t>The National Environmental Research Institute Aarhus University, Denmark is acknowledged for providing access to ecosystem monitoring data and for providing logistics at the research station at Zackenberg We are grateful to Mikkel Tamstorf for providing the snow measurements and to Line Kyhn for assistance in the field The Greenland Home Rule granted permission to collect the samples (Nr 28 40 14/2003) The study was financially supported by the Knud Hojgaard Foundation (NMS) and the Commission for Scientific Research in Greenland (JK, No 602 128)</t>
  </si>
  <si>
    <t>10.1657/1938-4246-42.4.471</t>
  </si>
  <si>
    <t>WOS:000284986300011</t>
  </si>
  <si>
    <t>Schroeder, CA; Bowyer, RT; Bleich, VC; Stephenson, TR</t>
  </si>
  <si>
    <t>Schroeder, Cody A.; Bowyer, R. Terry; Bleich, Vernon C.; Stephenson, Thomas R.</t>
  </si>
  <si>
    <t>Sexual Segregation in Sierra Nevada Bighorn Sheep, Ovis canadensis sierrae: Ramifications for Conservation</t>
  </si>
  <si>
    <t>WHITE-TAILED DEER; HABITAT SELECTION; MOUNTAIN SHEEP; MULE DEER; SIZE DIMORPHISM; BODY-SIZE; BEHAVIOR; PREDATION; PATTERNS; SEASON</t>
  </si>
  <si>
    <t>We studied sexual segregation in an endangered alpine ungulate, Sierra Nevada bighorn sheep (Ovis canadensis sierrae) in the Sierra Nevada, California, U S A, during winter 2005-2006 We tested hypotheses for sexual segregation to better understand that phenomenon and to obtain information critical for the conservation of these rare mammals Females foraged in larger groups that were closer to escape terrain than did males Areas used by males had higher biomass of vegetation and were less open than areas used by females Males foraged more efficiently in larger groups, whereas females foraged more efficiently when close to escape terrain Females exhibited a higher bite rate than did males Males traveled farther per day and in more open terrain than did females Sexes of bighorn sheep also differed in their dietary niches Those niches differed most where sexes of bighorn sheep overlapped more in spatial distribution, and differed less where spatial separation was more pronounced These outcomes are most parsimoniously explained by the gastrocentric and predation hypotheses In addition, sexes of bighorn sheep behaved as if they were separate species by exhibiting avoidance on one niche axis (space) when there was overlap on another axis (diet) Management and conservation plans must consider the disparate requirements of males and females to help assure the viability of these endangered mountain ungulates</t>
  </si>
  <si>
    <t>[Schroeder, Cody A.; Bowyer, R. Terry; Stephenson, Thomas R.] Idaho State Univ, Dept Biol Sci, Pocatello, ID 83209 USA; [Bleich, Vernon C.; Stephenson, Thomas R.] Calif Dept Fish &amp; Game, Sierra Nevada Bighorn Sheep Recovery Program, Bishop, CA 93514 USA</t>
  </si>
  <si>
    <t>Idaho; Idaho State University</t>
  </si>
  <si>
    <t>Bowyer, RT (corresponding author), Idaho State Univ, Dept Biol Sci, 921 S 8th Ave,Stop 8007, Pocatello, ID 83209 USA.</t>
  </si>
  <si>
    <t>California Department of Fish and Game (CDFG); California Chapter of the Foundation for North American Wild Sheep; Department of Biological Sciences at Idaho State University</t>
  </si>
  <si>
    <t>This project was funded by California Department of Fish and Game (CDFG), the California Chapter of the Foundation for North American Wild Sheep, and the Department of Biological Sciences at Idaho State University The CDFG provided field equipment, logistical support, and access to maps and some data used in analyses D German H Johnson, D Jensen J Wehausen, L Bowermaster J Villepique, and B Pierce provided support and helped develop ideas for this research K M Stewart, P Murphy J G Kie D J Delehanty, K L Monteith J C Whiting, and P Atwood assisted with data analysis and reviewed this manuscript This is a contribution from the CDFG Mountain Sheep Conservation Program and is Professional Paper 066 from the Eastern Sierra Center for Applied Population Ecology</t>
  </si>
  <si>
    <t>10.1657/1938-4246-42.4.476</t>
  </si>
  <si>
    <t>WOS:000284986300012</t>
  </si>
  <si>
    <t>Wolf, SG</t>
  </si>
  <si>
    <t>Wolf, Shaye G.</t>
  </si>
  <si>
    <t>Distribution and Climatic Relationships of the American Pika (Ochotona princeps) in the Sierra Nevada and Western Great Basin, U.S.A.; Periglacial Landforms as Refugia in Warming Climates. Comment</t>
  </si>
  <si>
    <t>Editorial Material</t>
  </si>
  <si>
    <t>INDICATOR; PATTERNS</t>
  </si>
  <si>
    <t>Ctr Biol Divers, San Francisco, CA 94104 USA</t>
  </si>
  <si>
    <t>Wolf, SG (corresponding author), Ctr Biol Divers, 351 Calif St,Suite 600, San Francisco, CA 94104 USA.</t>
  </si>
  <si>
    <t>10.1657/1938-4246-42.4.490</t>
  </si>
  <si>
    <t>WOS:000284986300013</t>
  </si>
  <si>
    <t>Millar, CI; Westfall, RD</t>
  </si>
  <si>
    <t>Millar, Constance I.; Westfall, Robert D.</t>
  </si>
  <si>
    <t>Distribution and Climatic Relationships of the American Pika (Ochotona princeps) in the Sierra Nevada and Western Great Basin, U.S.A.; Periglacial Landforms as Refugia in Warming Climates. Reply</t>
  </si>
  <si>
    <t>HABITAT SELECTION; PYGMY RABBIT; POPULATIONS; PATTERNS; USA</t>
  </si>
  <si>
    <t>[Millar, Constance I.; Westfall, Robert D.] US Forest Serv, USDA, Pacific SW Res Stn, Albany, CA 94710 USA</t>
  </si>
  <si>
    <t>United States Department of Agriculture (USDA); United States Forest Service</t>
  </si>
  <si>
    <t>Millar, CI (corresponding author), US Forest Serv, USDA, Pacific SW Res Stn, Albany, CA 94710 USA.</t>
  </si>
  <si>
    <t>Westfall, Bob/0000-0002-8315-3322</t>
  </si>
  <si>
    <t>10.1657/1938-4246-42.4.493</t>
  </si>
  <si>
    <t>WOS:000284986300014</t>
  </si>
  <si>
    <t>Rhoades, C; Elder, K; Greene, E</t>
  </si>
  <si>
    <t>Rhoades, C.; Elder, K.; Greene, E.</t>
  </si>
  <si>
    <t>The Influence of an Extensive Dust Event on Snow Chemistry in the Southern Rocky Mountains (vol 42, pg 102, 2010)</t>
  </si>
  <si>
    <t>Correction</t>
  </si>
  <si>
    <t>Elder, Kelly/IZQ-5813-2023</t>
  </si>
  <si>
    <t>10.1657/1938-4246-42.4.497b</t>
  </si>
  <si>
    <t>WOS:000284986300016</t>
  </si>
  <si>
    <t>Sikes, DS; Slowik, J</t>
  </si>
  <si>
    <t>Sikes, Derek S.; Slowik, Jozef</t>
  </si>
  <si>
    <t>Terrestrial Arthropods of Pre- and Post-eruption Kasatochi Island, Alaska, 2008-2009 a Shift from a Plant-Based to a Necromass-Based Food Web (vol 42, pg 304, 2010)</t>
  </si>
  <si>
    <t>10.1657/1938-4246-42.4.497a</t>
  </si>
  <si>
    <t>WOS:000284986300015</t>
  </si>
  <si>
    <t>Carignan, J; Sonke, J</t>
  </si>
  <si>
    <t>Carignan, Jean; Sonke, Jeroen</t>
  </si>
  <si>
    <t>The effect of atmospheric mercury depletion events on the net deposition flux around Hudson Bay, Canada</t>
  </si>
  <si>
    <t>ATMOSPHERIC ENVIRONMENT</t>
  </si>
  <si>
    <t>Mercury; Atmosphere; Arctic; Lichens</t>
  </si>
  <si>
    <t>GASEOUS MERCURY; ISOTOPIC COMPOSITION; EPIPHYTIC LICHENS; LAKE-SEDIMENTS; URBAN AREA; QUEBEC; KUUJJUARAPIK/WHAPMAGOOSTUI; OXIDATION; LEAD</t>
  </si>
  <si>
    <t>Atmospheric Mercury Depletion Events (AMDE) occur in Arctic and Antarctic regions during polar sunrise. During AMDE, reactive gaseous Hg is rapidly formed through in-situ oxidation of gaseous Hg-0 by halogens, notably atomic Br and radical BrO. This leads to high Hg deposition fluxes yet an unknown fraction of deposited Hg is reemitted to the atmosphere through subsequent photo-reduction, so that the net deposition flux related to AMDE is not well constrained. Here. Hg and halogens were measured in lichens hanging in tree branches around Hudson Bay where AMDE were reported. Hg concentrations are strongly correlated to halogen elements Br, Cl and I (r(2) of 0.91, 0.76, 0.81) and decrease with distance from Hudson Bay. We interpret this trend as the result of AMDE, supported by a 1D numerical Br and BrO oxidation model for He. Organic carbon normalized Hg contents of down-core lake sediments reported in the literature also show a decreasing trend away from Hudson Bay. Combined observations suggest that at least 50% of Hg-0 deposited during AMDE is reemitted to the atmosphere. Finally, the latitudinal Hg gradient observed in lake sediments suggests that AMDE were active in the Hudson Bay area during the last 90 to 200 years. (C) 2010 Elsevier Ltd. All rights reserved.</t>
  </si>
  <si>
    <t>[Carignan, Jean] Nancy Univ, CNRS INSU, CRPG, F-54501 Vandoeuvre Les Nancy, France; [Sonke, Jeroen] Univ Toulouse 3, IRD, OMP LMTG UMR CNRS 5563, F-31400 Toulouse, France</t>
  </si>
  <si>
    <t>Centre National de la Recherche Scientifique (CNRS); CNRS - National Institute for Earth Sciences &amp; Astronomy (INSU); Universite de Lorraine; Universite de Toulouse; Universite Toulouse III - Paul Sabatier; Centre National de la Recherche Scientifique (CNRS); Institut de Recherche pour le Developpement (IRD)</t>
  </si>
  <si>
    <t>Carignan, J (corresponding author), Nancy Univ, CNRS INSU, CRPG, 15 Rue Notre Dame des Pauvres,BP 20, F-54501 Vandoeuvre Les Nancy, France.</t>
  </si>
  <si>
    <t>carignan@crpg.cnrs-nancy.fr</t>
  </si>
  <si>
    <t>Sonke, Jeroen E/A-2444-2010</t>
  </si>
  <si>
    <t>Sonke, Jeroen/0000-0001-7146-3035</t>
  </si>
  <si>
    <t>CNRS/CRPG; ANR [ANR-09-JCJC-0035-01]</t>
  </si>
  <si>
    <t>CNRS/CRPG(Centre National de la Recherche Scientifique (CNRS)); ANR(Agence Nationale de la Recherche (ANR))</t>
  </si>
  <si>
    <t>The authors wish to thank everybody involved either in the sampling or preparation/analysis of lichens for this study, namely B. Caron, C. Gariepy, L Mann, P.Y. Martin, T. Gulon. Financial support for Hg analyses was provided by CNRS/CRPG and ANR research grant ANR-09-JCJC-0035-01. This the CRPG contribution # 2070.</t>
  </si>
  <si>
    <t>PERGAMON-ELSEVIER SCIENCE LTD</t>
  </si>
  <si>
    <t>OXFORD</t>
  </si>
  <si>
    <t>THE BOULEVARD, LANGFORD LANE, KIDLINGTON, OXFORD OX5 1GB, ENGLAND</t>
  </si>
  <si>
    <t>1352-2310</t>
  </si>
  <si>
    <t>1873-2844</t>
  </si>
  <si>
    <t>ATMOS ENVIRON</t>
  </si>
  <si>
    <t>Atmos. Environ.</t>
  </si>
  <si>
    <t>10.1016/j.atmosenv.2010.07.052</t>
  </si>
  <si>
    <t>Environmental Sciences; Meteorology &amp; Atmospheric Sciences</t>
  </si>
  <si>
    <t>Environmental Sciences &amp; Ecology; Meteorology &amp; Atmospheric Sciences</t>
  </si>
  <si>
    <t>672FL</t>
  </si>
  <si>
    <t>WOS:000283568300006</t>
  </si>
  <si>
    <t>Beyersdorf, AJ; Blake, DR; Swanson, A; Meinardi, S; Rowland, FS; Davis, D</t>
  </si>
  <si>
    <t>Beyersdorf, Andreas J.; Blake, Donald R.; Swanson, Aaron; Meinardi, Simone; Rowland, F. S.; Davis, Douglas</t>
  </si>
  <si>
    <t>Abundances and variability of tropospheric volatile organic compounds at the South Pole and other Antarctic locations</t>
  </si>
  <si>
    <t>Antarctic troposphere; Airborne measurements; Alkyl nitrate production; Mount Erebus; VOC seasonal variability; ANTCI</t>
  </si>
  <si>
    <t>DURVILLE COASTAL ANTARCTICA; SALT SULFATE AEROSOLS; BOUNDARY-LAYER; NONMETHANE HYDROCARBONS; DIMETHYL SULFIDE; ISCAT 2000; ALKYL NITRATES; ATMOSPHERIC DIMETHYLSULFIDE; SEASONAL-VARIATIONS; PACIFIC-OCEAN</t>
  </si>
  <si>
    <t>Multiyear (2000-2006) seasonal measurements of carbon monoxide, hydrocarbons, halogenated species, dimethyl sulfide, carbonyl sulfide and C(1)-C(4) alkyl nitrates at the South Pole are presented for the first time. At the South Pole, short-lived species (such as the alkenes) typically were not observed above their limits of detection because of long transit times from source regions. Peak mixing ratios of the longer lived species with anthropogenic sources were measured in late winter (August and September) with decreasing mixing ratios throughout the spring. In comparison, compounds with a strong oceanic source, such as bromoform and methyl iodide, had peak mixing ratios earlier in the winter (June and July) because of decreased oceanic production during the winter months. Dimethyl sulfide (DMS), which is also oceanically emitted but has a short lifetime, was rarely measured above 5 pptv. This is in contrast to high DMS mixing ratios at coastal locations and shows the importance of photochemical removal during transport to the pole. Alkyl nitrate mixing ratios peaked during April and then decreased throughout the winter. The dominant source of the alkyl nitrates in the region is believed to be oceanic emissions rather than photochemical production due to low alkane levels. Sampling of other tropospheric environments via a Twin Otter aircraft included the west coast of the Ross Sea and large stretches of the Antarctic Plateau. In the coastal atmosphere, a vertical gradient was found with the highest mixing ratios of marine emitted compounds at low altitudes. Conversely, for anthropogenically produced species the highest mixing ratios were measured at the highest altitudes, suggesting long-range transport to the continent. Flights flown through the plume of Mount Erebus, an active volcano, revealed that both carbon monoxide and carbonyl sulfide are emitted with an OCS/CO molar ratio of 3.3 x 10(-3) consistent with direct observations by other investigators within the crater rim. Published by Elsevier Ltd.</t>
  </si>
  <si>
    <t>[Beyersdorf, Andreas J.] NASA, Langley Res Ctr, Hampton, VA 23662 USA; [Blake, Donald R.; Meinardi, Simone; Rowland, F. S.] Univ Calif Irvine, Irvine, CA 92697 USA; [Swanson, Aaron] Northrop Grumman Aerosp Syst, Redondo Beach, CA 90278 USA; [Davis, Douglas] Georgia Inst Technol, Atlanta, GA 30332 USA</t>
  </si>
  <si>
    <t>National Aeronautics &amp; Space Administration (NASA); NASA Langley Research Center; University of California System; University of California Irvine; University System of Georgia; Georgia Institute of Technology</t>
  </si>
  <si>
    <t>Beyersdorf, AJ (corresponding author), NASA, Langley Res Ctr, Mail Stop 483, Hampton, VA 23681 USA.</t>
  </si>
  <si>
    <t>andreas.j.beyersdorf@nasa.gov</t>
  </si>
  <si>
    <t>Beyersdorf, Andreas J/N-1247-2013</t>
  </si>
  <si>
    <t>Blake, Donald/0000-0002-8283-5014</t>
  </si>
  <si>
    <t>NSF</t>
  </si>
  <si>
    <t>NSF(National Science Foundation (NSF))</t>
  </si>
  <si>
    <t>This research was supported by NSF. This work could not be performed without the help of the staff at the South Pole and McMurdo research stations with particular gratitude to Stephanie Koes and the South Pole winter-over staff. Assistance with the airborne sample collection was provided by the entire ANTCI science group but particularly by Saewung Kim, Ed Kosciuch, Lee Mauldin and Dave Tanner. At UC Irvine, the assistance of Barbara Chisholm, Gloria Liu and Brent Love is appreciated. We also thank William Neff at NOAA's Boulder lab for his helpful suggestions regarding transport processes in defining South Pole trace gas levels.</t>
  </si>
  <si>
    <t>10.1016/j.atmosenv.2010.08.025</t>
  </si>
  <si>
    <t>672FO</t>
  </si>
  <si>
    <t>WOS:000283568600005</t>
  </si>
  <si>
    <t>Wilson, DI; Piketh, SJ; Smirnov, A; Holben, BN; Kuyper, B</t>
  </si>
  <si>
    <t>Wilson, D. I.; Piketh, S. J.; Smirnov, A.; Holben, B. N.; Kuyper, B.</t>
  </si>
  <si>
    <t>Aerosol optical properties over the South Atlantic and Southern Ocean during the 140th cruise of the M/V SA Agulhas</t>
  </si>
  <si>
    <t>ATMOSPHERIC RESEARCH</t>
  </si>
  <si>
    <t>Aerosols; Angstrom exponent; AERONET; Antarctica; Aerosol optical properties; Climate; HYSPLIT; South Atlantic; Southern Ocean; MODIS</t>
  </si>
  <si>
    <t>ATMOSPHERIC AEROSOL; SEA-SALT; THICKNESS; ANTARCTICA</t>
  </si>
  <si>
    <t>The research analysed the aerosol optical properties of the South Atlantic and Southern Ocean regions during the South African National Antarctic Expedition 2007/2008 (SANAE 47) take-over cruise on board the MN S.A. Agulhas Very low aerosol optical thickness values were obtained for the Antarctic Coastal region with a mean AOT 500 nm of 003 and a mean Angstrom exponent of 1 77 The South Atlantic region showed a mean AOT 500 nm of 006 and a mean Angstrom exponent of 0 69 AOT values for the South African coastal region were similar to those in the South Atlantic and had a mean AOT 500 nm of 007 and a mean Angstrom exponent of 076 A discrepancy exists between the MODIS TERRA and AQUA aerosol product and the acquired dataset using the Microtops II Sunphotometer (c) 2010 Elsevier BV All rights reserved</t>
  </si>
  <si>
    <t>[Wilson, D. I.; Piketh, S. J.] Univ Witwatersrand, Climatol Res Grp, ZA-2050 Johannesburg, South Africa; [Smirnov, A.; Holben, B. N.] NASA, Goddard Space Flight Ctr, Biospher Sci Branch, Greenbelt, MD 20771 USA; [Kuyper, B.] Univ Cape Town, Dept Oceanog, ZA-7925 Cape Town, South Africa</t>
  </si>
  <si>
    <t>University of Witwatersrand; National Aeronautics &amp; Space Administration (NASA); NASA Goddard Space Flight Center; University of Cape Town</t>
  </si>
  <si>
    <t>Wilson, DI (corresponding author), Univ Witwatersrand, Climatol Res Grp, Private Bag X3, ZA-2050 Johannesburg, South Africa.</t>
  </si>
  <si>
    <t>Piketh, Stuart/AAS-8987-2021; Smirnov, Alexander/C-2121-2009</t>
  </si>
  <si>
    <t>Smirnov, Alexander/0000-0002-8208-1304; Kuyper, Brett/0000-0001-6945-7939; Piketh, Stuart/0000-0002-2804-879X</t>
  </si>
  <si>
    <t>NASA</t>
  </si>
  <si>
    <t>NASA(National Aeronautics &amp; Space Administration (NASA))</t>
  </si>
  <si>
    <t>The authors wish to thank operational and managerial support from the South African National Antarctic (SANAP), the Department of Environmental Affairs and Tourism (DEAT), Isabelle Ansorge (UCT Oceanography Department) and Roelof Burger (Climatology Research Group) This research was supported by NASA s Giovanni an online data visualization and analysis tool maintained by the Goddard Earth Sciences (GES) Data and Information Services Centre (DISC), a part of the NASA Earth-Sun System Division The authors would also like to acknowledge the constructive criticism of the anonymous reviewers during the publication review</t>
  </si>
  <si>
    <t>ELSEVIER SCIENCE INC</t>
  </si>
  <si>
    <t>NEW YORK</t>
  </si>
  <si>
    <t>STE 800, 230 PARK AVE, NEW YORK, NY 10169 USA</t>
  </si>
  <si>
    <t>0169-8095</t>
  </si>
  <si>
    <t>1873-2895</t>
  </si>
  <si>
    <t>ATMOS RES</t>
  </si>
  <si>
    <t>Atmos. Res.</t>
  </si>
  <si>
    <t>NOV-DEC</t>
  </si>
  <si>
    <t>2-4</t>
  </si>
  <si>
    <t>10.1016/j.atmosres.2010.07.007</t>
  </si>
  <si>
    <t>Meteorology &amp; Atmospheric Sciences</t>
  </si>
  <si>
    <t>690DT</t>
  </si>
  <si>
    <t>WOS:000284983400011</t>
  </si>
  <si>
    <t>Clarke, A; Portner, HO</t>
  </si>
  <si>
    <t>Clarke, Andrew; Portner, Hans-Otto</t>
  </si>
  <si>
    <t>Temperature, metabolic power and the evolution of endothermy</t>
  </si>
  <si>
    <t>BIOLOGICAL REVIEWS</t>
  </si>
  <si>
    <t>Review</t>
  </si>
  <si>
    <t>aerobic scope; body temperature; endothermy; mitochondria; muscle power output</t>
  </si>
  <si>
    <t>AEROBIC CAPACITY MODEL; LIMITED THERMAL TOLERANCE; LUGWORM ARENICOLA-MARINA; BODY-TEMPERATURE; OXYGEN-CONSUMPTION; LOCOMOTOR PERFORMANCE; MAMMALIAN ENDOTHERMY; PARENTAL CARE; MUSCLE POWER; AIR-SACS</t>
  </si>
  <si>
    <t>Endothermy has evolved at least twice, in the precursors to modern mammals and birds. The most widely accepted explanation for the evolution of endothermy has been selection for enhanced aerobic capacity. We review this hypothesis in the light of advances in our understanding of ATP generation by mitochondria and muscle performance. Together with the development of isotope-based techniques for the measurement of metabolic rate in free-ranging vertebrates these have confirmed the importance of aerobic scope in the evolution of endothermy: absolute aerobic scope, ATP generation by mitochondria and muscle power output are all strongly temperature-dependent, indicating that there would have been significant improvement in whole-organism locomotor ability with a warmer body. New data on mitochondrial ATP generation and proton leak suggest that the thermal physiology of mitochondria may differ between organisms of contrasting ecology and thermal flexibility. Together with recent biophysical modelling, this strengthens the long-held view that endothermy originated in smaller, active eurythermal ectotherms living in a cool but variable thermal environment. We propose that rather than being a secondary consequence of the evolution of an enhanced aerobic scope, a warmer body was the means by which that enhanced aerobic scope was achieved. This modified hypothesis requires that the rise in metabolic rate and the insulation necessary to retain metabolic heat arose early in the lineages leading to birds and mammals. Large dinosaurs were warm, but were not endotherms, and the metabolic status of pterosaurs remains unresolved.</t>
  </si>
  <si>
    <t>[Clarke, Andrew] British Antarctic Survey, NERC, Cambridge CB3 0ET, England; [Portner, Hans-Otto] Alfred Wegener Inst, D-27570 Bremerhaven, Germany</t>
  </si>
  <si>
    <t>UK Research &amp; Innovation (UKRI); Natural Environment Research Council (NERC); NERC British Antarctic Survey; Helmholtz Association; Alfred Wegener Institute, Helmholtz Centre for Polar &amp; Marine Research</t>
  </si>
  <si>
    <t>Clarke, A (corresponding author), British Antarctic Survey, NERC, Madingley Rd, Cambridge CB3 0ET, England.</t>
  </si>
  <si>
    <t>accl@bas.ac.uk</t>
  </si>
  <si>
    <t>Pörtner, Hans-O./K-9429-2016; Pörtner, Hans-O./ISU-9397-2023</t>
  </si>
  <si>
    <t>Pörtner, Hans-O./0000-0001-6535-6575;</t>
  </si>
  <si>
    <t>NERC [bas010013, bas0100025] Funding Source: UKRI; Natural Environment Research Council [bas0100025, bas010013] Funding Source: researchfish</t>
  </si>
  <si>
    <t>NERC(UK Research &amp; Innovation (UKRI)Natural Environment Research Council (NERC)); Natural Environment Research Council(UK Research &amp; Innovation (UKRI)Natural Environment Research Council (NERC))</t>
  </si>
  <si>
    <t>WILEY-BLACKWELL</t>
  </si>
  <si>
    <t>HOBOKEN</t>
  </si>
  <si>
    <t>111 RIVER ST, HOBOKEN 07030-5774, NJ USA</t>
  </si>
  <si>
    <t>1464-7931</t>
  </si>
  <si>
    <t>1469-185X</t>
  </si>
  <si>
    <t>BIOL REV</t>
  </si>
  <si>
    <t>Biol. Rev.</t>
  </si>
  <si>
    <t>10.1111/j.1469-185X.2010.00122.x</t>
  </si>
  <si>
    <t>Biology</t>
  </si>
  <si>
    <t>Life Sciences &amp; Biomedicine - Other Topics</t>
  </si>
  <si>
    <t>663JL</t>
  </si>
  <si>
    <t>WOS:000282880900002</t>
  </si>
  <si>
    <t>Zlatanov, M; Pavlova, K; Antova, G; Angelova-Romova, M; Georgieva, K; Rousenova-Videva, S</t>
  </si>
  <si>
    <t>Zlatanov, M.; Pavlova, K.; Antova, G.; Angelova-Romova, M.; Georgieva, K.; Rousenova-Videva, S.</t>
  </si>
  <si>
    <t>BIOMASS PRODUCTION BY ANTARCTIC YEAST STRAINS: AN INVESTIGATION ON THE LIPID COMPOSITION</t>
  </si>
  <si>
    <t>BIOTECHNOLOGY &amp; BIOTECHNOLOGICAL EQUIPMENT</t>
  </si>
  <si>
    <t>psychrophilic yeast strains; biosynthesis of the yeasts; lipids; fatty acids; phospholipids; sterols; tocopherols</t>
  </si>
  <si>
    <t>LIVINGSTON ISLAND</t>
  </si>
  <si>
    <t>Psychrophilic yeast strains Rhodotorula glutinis AL(107), Sporobolomyces roseus AL(108) Cryptococcus albidus AL(55) Cryptococcus laurentu AL(56) and Cryptococcus laurentu AL(58) isolated from soil sample taken from the region of the Bulgarien base on Livingston Island Antarctica were studied The biomass production was followed after cultivation of the yeasts in a medium with pH 5 3 at 15 degrees C for 120 h The biomass concentration by psychrophilic yeast strains was R glutinis AL(107)-6 05 g/l S roseus AL(108)-5 78 g/l Cr albidus AL55 Cr laurentu AL56 and Cr laurentu AL(58)-6 52 g/l 6 84 g/l and 6 24 g/l respectively The extracted and separated lipids from the samples were supplied to analysis and the compositions of fatty acids phospholipids sterols as well as tocopherols were determined Unsaturated fatty acids mainly oleic (58 6-63 5%) and of saturated palmitic (18 2-24 5%) predominated in triacylglycerols Sterols (0 1-0 3%) were valued in the dry yeast biomass The content of phospholipids mainly phosphatidylcholine phosphatidylinositole and phosphatidylethanolamine was found to be in the range of 0 2-1 6% The quantity of tocopherols was 0-26 3 mg/kg All of tocopherol classes were established</t>
  </si>
  <si>
    <t>[Zlatanov, M.; Antova, G.; Angelova-Romova, M.] Paisij Hilendarski Univ Plovdiv, Dept Chem Technol, BG-4000 Plovdiv, Bulgaria; [Pavlova, K.; Georgieva, K.; Rousenova-Videva, S.] Bulgarian Acad Sci, Inst Microbiol, Appl Microbiol Lab, BU-1113 Sofia, Bulgaria</t>
  </si>
  <si>
    <t>Plovdiv University; Medical University Sofia; Bulgarian Academy of Sciences</t>
  </si>
  <si>
    <t>Zlatanov, M (corresponding author), Paisij Hilendarski Univ Plovdiv, Dept Chem Technol, BG-4000 Plovdiv, Bulgaria.</t>
  </si>
  <si>
    <t>Antova, Ginka/J-9865-2019</t>
  </si>
  <si>
    <t>Antova, Ginka/0000-0002-6660-4531; Angelova-Romova, Maria/0000-0003-4704-8039</t>
  </si>
  <si>
    <t>University of Plovdiv Paisii Hilendarski [X-25/2009]</t>
  </si>
  <si>
    <t>University of Plovdiv Paisii Hilendarski</t>
  </si>
  <si>
    <t>The investigations were carried out by the financial support of University of Plovdiv Paisii Hilendarski, the Grant X-25/2009</t>
  </si>
  <si>
    <t>1310-2818</t>
  </si>
  <si>
    <t>1314-3530</t>
  </si>
  <si>
    <t>BIOTECHNOL BIOTEC EQ</t>
  </si>
  <si>
    <t>Biotechnol. Biotechnol. Equip.</t>
  </si>
  <si>
    <t>10.2478/V10133-010-0084-5</t>
  </si>
  <si>
    <t>Biotechnology &amp; Applied Microbiology</t>
  </si>
  <si>
    <t>686TF</t>
  </si>
  <si>
    <t>WOS:000284717900010</t>
  </si>
  <si>
    <t>Kunugi, M; Abe, S; Tsurukawa, M; Matsumura, C; Fujimori, K; Nakano, T</t>
  </si>
  <si>
    <t>Kunugi, Masayuki; Abe, Sachiko; Tsurukawa, Masahiro; Matsumura, Chisato; Fujimori, Kazuo; Nakano, Takeshi</t>
  </si>
  <si>
    <t>Monitoring of the Global Scale Pollution in Seawater with Persistent Organic Pollutants Deployed on Voluntary Observation Ships - Monitoring on Pacific Ocean</t>
  </si>
  <si>
    <t>BUNSEKI KAGAKU</t>
  </si>
  <si>
    <t>Japanese</t>
  </si>
  <si>
    <t>persistent organic pollutants; voluntary observation ships; long-range transport; Pacific Ocean; solid-phase extraction</t>
  </si>
  <si>
    <t>LONG-RANGE TRANSPORT; ORGANOCHLORINE PESTICIDES; TEMPORAL TRENDS; AIR; HEXACHLOROCYCLOHEXANE; POPS</t>
  </si>
  <si>
    <t>To clarify the spatial and temporal variations and the chemodynamics of persistent organic pollutants in seawater on a global scale, we developed monitoring systems and installed them in merchant vessels as voluntary observation ships. We also observed persistent organic pollutants in seawater in the Pacific Ocean and the South China Sea. We used a balk carrier between Japan and Australia, a cruse vessel on the South Pacific Ocean and Antarctic Ocean, and a container ship between East Asia and North America as voluntary observation ships. For sampling persistent organic pollutants, we used a solid-phase extraction method, and 100 L of seawater was passed through columns containing solid-phase extractors, and immediately the sample was stored on the vessel at -20 degrees C. The sample was stored in a freezer at the National Institute for Environment Studies, and analyzed by the HRGC/HRMS-SIM method. We detected persistent organic pollutants in all samples, and their concentrations and contents of isomer were very characteristic. These data give much information for analyzing the emission source and the transporting route.</t>
  </si>
  <si>
    <t>[Kunugi, Masayuki] Natl Inst Environm Studies, Tsukuba, Ibaraki 3058506, Japan; [Abe, Sachiko] Hyogo Environm Advancement Assoc, Suma Ku, Kobe, Hyogo 6540037, Japan; [Tsurukawa, Masahiro; Matsumura, Chisato; Fujimori, Kazuo; Nakano, Takeshi] Hyogo Prefectural Inst Environm Sci, Suma Ku, Kobe, Hyogo 6540037, Japan; Tokyo Univ Sci, Noda, Chiba 2788510, Japan</t>
  </si>
  <si>
    <t>National Institute for Environmental Studies - Japan; Tokyo University of Science</t>
  </si>
  <si>
    <t>Kunugi, M (corresponding author), Natl Inst Environm Studies, 16-2 Onogawa, Tsukuba, Ibaraki 3058506, Japan.</t>
  </si>
  <si>
    <t>Nakano, Takeshi/0000-0002-4329-5860</t>
  </si>
  <si>
    <t>JAPAN SOC ANALYTICAL CHEMISTRY</t>
  </si>
  <si>
    <t>TOKYO</t>
  </si>
  <si>
    <t>26-2 NISHIGOTANDA 1 CHOME SHINAGAWA-KU, TOKYO, 141, JAPAN</t>
  </si>
  <si>
    <t>0525-1931</t>
  </si>
  <si>
    <t>Bunseki Kagaku</t>
  </si>
  <si>
    <t>10.2116/bunsekikagaku.59.967</t>
  </si>
  <si>
    <t>Chemistry, Analytical</t>
  </si>
  <si>
    <t>Chemistry</t>
  </si>
  <si>
    <t>682FN</t>
  </si>
  <si>
    <t>Bronze</t>
  </si>
  <si>
    <t>WOS:000284386900004</t>
  </si>
  <si>
    <t>Peltier, R; Brimble, MA; Wojnar, JM; Williams, DE; Evans, CW; DeVries, AL</t>
  </si>
  <si>
    <t>Peltier, Raoul; Brimble, Margaret A.; Wojnar, Joanna M.; Williams, David E.; Evans, Clive W.; DeVries, Arthur L.</t>
  </si>
  <si>
    <t>Synthesis and antifreeze activity of fish antifreeze glycoproteins and their analogues</t>
  </si>
  <si>
    <t>CHEMICAL SCIENCE</t>
  </si>
  <si>
    <t>POINT-DEPRESSING GLYCOPROTEINS; SOLID-PHASE SYNTHESIS; ICE RECRYSTALLIZATION; MOLECULAR-WEIGHT; ANTARCTIC FISH; POLAR FISH; FREEZING RESISTANCE; THERMAL HYSTERESIS; PROTEINS; INHIBITION</t>
  </si>
  <si>
    <t>Fishes from both Arctic and Antarctic waters produce antifreeze glycoproteins (AFGPs) that modify and inhibit the growth of ice crystals, allowing them to survive in extreme cold conditions. These glycoproteins exhibit thermal hysteresis activity, i.e. they work in a non-colligative manner, separating the melting and freezing points of a solution. Such compounds have many potential applications; unfortunately their development is hampered by the difficulty of obtaining pure material. The synthesis of AFGPs is therefore a challenge that numerous groups have been tackling. The AFGPs consist predominantly of a repetitive three amino acid unit (Ala-Ala-Thr)(n) with the disaccharide beta-D-galactosyl-(1-3)-alpha-D-N-acetylgalactosamine attached to the hydroxyl oxygen of each threonine residue. A large number of analogues have also been synthesized in order to find compounds that exhibit the same activity but that are easier to prepare. Starting from the early years of the AFGP discovery and including the more recent research, this perspective summarizes the different routes used to synthesize native AFGPs and lists the most relevant analogues synthesized, along with some information on their synthesis and their antifreeze activity, if evaluated. In this perspective we have taken special care to differentiate compounds that induce thermal hysteresis, compounds that modify the normal growth habit of ice crystals, and compounds that exhibit recrystallization inhibition properties.</t>
  </si>
  <si>
    <t>[Peltier, Raoul; Brimble, Margaret A.; Wojnar, Joanna M.; Williams, David E.] Univ Auckland, Dept Chem, Auckland 1142, New Zealand; [Evans, Clive W.] Univ Auckland, Sch Biol Sci, Auckland 1142, New Zealand; [DeVries, Arthur L.] Univ Illinois, Dept Anim Biol, Urbana, IL 61801 USA</t>
  </si>
  <si>
    <t>University of Auckland; University of Auckland; University of Illinois System; University of Illinois Urbana-Champaign</t>
  </si>
  <si>
    <t>Brimble, MA (corresponding author), Univ Auckland, Dept Chem, Private Bag 92019, Auckland 1142, New Zealand.</t>
  </si>
  <si>
    <t>m.brimble@auckland.ac.nz</t>
  </si>
  <si>
    <t>Evans, Clive/AAZ-4699-2021; Williams, David E/B-3222-2012</t>
  </si>
  <si>
    <t>Williams, David E/0000-0003-4123-5626; Dowle, Joanna/0000-0002-7319-565X; Brimble, Margaret/0000-0002-7086-4096; Evans, Clive/0000-0003-2888-842X</t>
  </si>
  <si>
    <t>Human Frontiers Science Program; Mac-Diarmid Institute for Advanced Materials and Nanotechnology; Maurice Wilkins Center for Molecular Biodiscovery</t>
  </si>
  <si>
    <t>Human Frontiers Science Program(Human Frontier Science Program); Mac-Diarmid Institute for Advanced Materials and Nanotechnology; Maurice Wilkins Center for Molecular Biodiscovery</t>
  </si>
  <si>
    <t>We thank the Human Frontiers Science Program, the Mac-Diarmid Institute for Advanced Materials and Nanotechnology and the Maurice Wilkins Center for Molecular Biodiscovery for financial support.</t>
  </si>
  <si>
    <t>ROYAL SOC CHEMISTRY</t>
  </si>
  <si>
    <t>CAMBRIDGE</t>
  </si>
  <si>
    <t>THOMAS GRAHAM HOUSE, SCIENCE PARK, MILTON RD, CAMBRIDGE CB4 0WF, CAMBS, ENGLAND</t>
  </si>
  <si>
    <t>2041-6520</t>
  </si>
  <si>
    <t>2041-6539</t>
  </si>
  <si>
    <t>CHEM SCI</t>
  </si>
  <si>
    <t>Chem. Sci.</t>
  </si>
  <si>
    <t>10.1039/c0sc00194e</t>
  </si>
  <si>
    <t>Chemistry, Multidisciplinary</t>
  </si>
  <si>
    <t>677FJ</t>
  </si>
  <si>
    <t>WOS:000283974200001</t>
  </si>
  <si>
    <t>Tian, CC; Tian, J</t>
  </si>
  <si>
    <t>Tian CuiCui; Tian Jun</t>
  </si>
  <si>
    <t>Warming magnitude of Indonesian Throughflow during the penultimate deglaciation (Termination II) and its relationship with climate change in high-latitude regions</t>
  </si>
  <si>
    <t>CHINESE SCIENCE BULLETIN</t>
  </si>
  <si>
    <t>Indonesian Throughflow; Termination II; tropic sea surface temperature; high-latitude; phase relationship</t>
  </si>
  <si>
    <t>SEA-SURFACE TEMPERATURE; SOUTH CHINA SEA; PLANKTONIC-FORAMINIFERA; OCEAN CIRCULATION; DELTA-O-18 RECORD; TROPICAL PACIFIC; WATER; POOL; GREENLAND; HISTORY</t>
  </si>
  <si>
    <t>The tropical oceans are important source areas for global heat and water vapor transport, and changes in tropical sea surface temperature (SST) will have important impacts on high-latitude and global climate change. It is crucial to establish the precise phase relationship between tropical and high-latitude climate variability to gain insight into the mechanisms of global climate change. Here, we present multi-proxy records across the penultimate deglaciation (Termination II) from sediment Core SO18459, which is located in the outflow area of the Indonesian Throughflow (ITF) of the Timor Sea. These proxy records include planktonic and benthic foraminifera delta O-18, planktonic foraminifera G. ruber Mg/Ca-derived SST, and delta O-18(w) of sea surface water. The Mg/Ca-SST records indicate a warming of 4.1 degrees C in the Timor Sea over Termination 11, which is in phase with decrease in planktonic and benthic delta O-18. Our results suggest that at millennial timescales, climate change of the tropical oceans is synchronous with high-latitude ice volume changes. Furthermore, warming of the Timor Sea is almost simultaneous with warming of the Antarctic, suggesting a rapid heat transfer from the tropics to the Antarctic via the atmosphere and/or ocean circulations. The G. ruber delta O-18 and SST records of Core SO18459 show a marked YD-like event during Termination II, which is probably caused by decrease in Australian rainfall or strengthening of the Western Pacific Warm Pool. However, a similar YD-like event is not observed in East Asian rainfall records. This discrepancy indicates that different tropical climate systems may have different responses to the same forcing, such as El Nino Southern Oscillation. A similar YD-like event is observed in the global benthic foraminiferal delta O-18 records during Termination II, implying teleconnection of millennial scale climate change between the tropical regions and high latitudes.</t>
  </si>
  <si>
    <t>[Tian CuiCui; Tian Jun] Tongji Univ, State Key Lab Marine Geol, Shanghai 200092, Peoples R China</t>
  </si>
  <si>
    <t>Tongji University</t>
  </si>
  <si>
    <t>Tian, CC (corresponding author), Tongji Univ, State Key Lab Marine Geol, Shanghai 200092, Peoples R China.</t>
  </si>
  <si>
    <t>cct1234@163.com; tianjun@tongji.edu.cn</t>
  </si>
  <si>
    <t>National Natural Science Foundation of China [40776028, 40976024]; National Key Basic Research Special Foundation of China [2007CB815902]; Foundation for the Author of National Excellent Doctoral Dissertation of China [2005036]; Shanghai Rising-Star Program [10QH1402600]; Fok Ying Tong Education Foundation [111016]; Program for New Century Excellent Talents in University [NCET-08-0401]</t>
  </si>
  <si>
    <t>National Natural Science Foundation of China(National Natural Science Foundation of China (NSFC)); National Key Basic Research Special Foundation of China(National Basic Research Program of China); Foundation for the Author of National Excellent Doctoral Dissertation of China(Foundation for the Author of National Excellent Doctoral Dissertation of China); Shanghai Rising-Star Program; Fok Ying Tong Education Foundation(Fok Ying Tung Education Foundation); Program for New Century Excellent Talents in University(Program for New Century Excellent Talents in University (NCET))</t>
  </si>
  <si>
    <t>This work was supported by the National Natural Science Foundation of China (40776028 and 40976024), the National Key Basic Research Special Foundation of China (2007CB815902) and the Foundation for the Author of National Excellent Doctoral Dissertation of China (2005036) and the Shanghai Rising-Star Program (10QH1402600), the Fok Ying Tong Education Foundation (111016) and the Program for New Century Excellent Talents in University (NCET-08-0401).</t>
  </si>
  <si>
    <t>SCIENCE PRESS</t>
  </si>
  <si>
    <t>BEIJING</t>
  </si>
  <si>
    <t>16 DONGHUANGCHENGGEN NORTH ST, BEIJING 100717, PEOPLES R CHINA</t>
  </si>
  <si>
    <t>1001-6538</t>
  </si>
  <si>
    <t>1861-9541</t>
  </si>
  <si>
    <t>CHINESE SCI BULL</t>
  </si>
  <si>
    <t>Chin. Sci. Bull.</t>
  </si>
  <si>
    <t>10.1007/s11434-010-4172-6</t>
  </si>
  <si>
    <t>Multidisciplinary Sciences</t>
  </si>
  <si>
    <t>Science &amp; Technology - Other Topics</t>
  </si>
  <si>
    <t>690SG</t>
  </si>
  <si>
    <t>WOS:000285026300013</t>
  </si>
  <si>
    <t>de la Cámara, A; Mechoso, CR; Ide, K; Walterscheid, R; Schubert, G</t>
  </si>
  <si>
    <t>de la Camara, Alvaro; Mechoso, C. R.; Ide, K.; Walterscheid, R.; Schubert, G.</t>
  </si>
  <si>
    <t>Polar night vortex breakdown and large-scale stirring in the southern stratosphere</t>
  </si>
  <si>
    <t>CLIMATE DYNAMICS</t>
  </si>
  <si>
    <t>Stratospheric polar vortex dynamics; Vortex breakdown; Large-scale stirring; Finite-time Lyapunov exponents; Hyperbolic manifolds</t>
  </si>
  <si>
    <t>LAGRANGIAN COHERENT STRUCTURES; ANTARCTIC LOWER STRATOSPHERE; ROSSBY-WAVE BREAKING; BALLOON FLIGHTS; LONG-DURATION; PHASE SPEEDS; TRANSPORT BARRIERS; APERIODIC FLOWS; MOMENTUM FLUX; ZONAL JETS</t>
  </si>
  <si>
    <t>The present paper examines the vortex breakdown and large-scale stirring during the final warming of the Southern Hemisphere stratosphere during the spring of 2005. A unique set of in situ observations collected by 27 superpressure balloons (SPBs) is used. The balloons, which were launched from McMurdo, Antarctica, by the Strat,ole/VORCORE project, drifted for several weeks on two different isopycnic levels in the lower stratosphere. We describe balloon trajectories and compare them with simulations obtained on the basis of the velocity field from the GEOS-5 and NCEP/NCAR reanalyses performed with and without VORCORE data. To gain insight on the mechanisms responsible for the horizontal transport of air inside and outside the well-isolated vortex we examine the balloon trajectories in the framework of the Lagrangian properties of the stratospheric flow. Coherent structures of the flow are visualized by computing finite-time Lyapunov exponents (FTLE). A combination of isentropic analysis and FTLE distributions reveals that air is stripped away from the vortex's interior as stable manifolds eventually cross the vortex's edge. It is shown that two SPBs escaped from the vortex within high potential vorticity tongues that developed in association with wave breaking at locations along the vortex's edge where forward and backward FTLE maxima approximately intersect. The trajectories of three SPBs flying as a group at the same isopycnic level are examined and their behavior is interpreted in reference to the FTLE field. These results support the concept of stable and unstable manifolds governing transport of air masses across the periphery of the stratospheric polar vortex.</t>
  </si>
  <si>
    <t>[de la Camara, Alvaro] Univ Complutense Madrid, Dept Geofis &amp; Meteorol, Madrid, Spain; [de la Camara, Alvaro; Mechoso, C. R.; Ide, K.] Univ Calif Los Angeles, Dept Atmospher &amp; Ocean Sci, Los Angeles, CA USA; [Ide, K.] Univ Maryland, Dept Atmospher &amp; Ocean Sci, College Pk, MD 20742 USA; [Walterscheid, R.] Aerosp Corp, Space Sci Lab, Los Angeles, CA 90009 USA; [Schubert, G.] Univ Calif Los Angeles, Dept Earth &amp; Space Sci, Inst Geophys &amp; Planetary Phys, Los Angeles, CA 90024 USA</t>
  </si>
  <si>
    <t>Complutense University of Madrid; University of California System; University of California Los Angeles; University System of Maryland; University of Maryland College Park; Aerospace Corporation - USA; University of California System; University of California Los Angeles</t>
  </si>
  <si>
    <t>de la Cámara, A (corresponding author), Univ Complutense Madrid, Dept Geofis &amp; Meteorol, Madrid, Spain.</t>
  </si>
  <si>
    <t>alvarocamara@fis.ucm.es</t>
  </si>
  <si>
    <t>Ide, Kayo/F-8443-2010; de la Camara, Alvaro/P-7062-2016</t>
  </si>
  <si>
    <t>de la Camara, Alvaro/0000-0002-8831-4789</t>
  </si>
  <si>
    <t>Centre National de la Reserche Scientifique (CNRS), France; Centre National d'Etudes Spatiales (CNES), France; National Science Foundation (NSF), USA; NSF [ATM-0732222]; Office of Naval Research [N00014040191, N000140910418]; Spanish Ministry of Science and Innovation [CGL2008-06295]</t>
  </si>
  <si>
    <t>Centre National de la Reserche Scientifique (CNRS), France(Centre National de la Recherche Scientifique (CNRS)); Centre National d'Etudes Spatiales (CNES), France(Centre National D'etudes Spatiales); National Science Foundation (NSF), USA(National Science Foundation (NSF)); NSF(National Science Foundation (NSF)); Office of Naval Research(Office of Naval Research); Spanish Ministry of Science and Innovation(Spanish Government)</t>
  </si>
  <si>
    <t>The authors especially thank Andrew V. Tangborn, from the National Aeronautics and Space Administration (NASA), for providing with the GEOS5 data and Lynette J. Gelinas for helpful discussion. The authors are also grateful to the two anonymous reviewers for their constructive and useful comments that help improve the manuscript. VORCORE was jointly supported by Centre National de la Reserche Scientifique (CNRS), France, the Centre National d'Etudes Spatiales (CNES), France, and the National Science Foundation (NSF), USA. The research was supported by NSF Grant ATM-0732222 and by Office of Naval Research Grants N00014040191 and N000140910418 and by the Spanish Ministry of Science and Innovation project CGL2008-06295.</t>
  </si>
  <si>
    <t>SPRINGER</t>
  </si>
  <si>
    <t>233 SPRING ST, NEW YORK, NY 10013 USA</t>
  </si>
  <si>
    <t>0930-7575</t>
  </si>
  <si>
    <t>1432-0894</t>
  </si>
  <si>
    <t>CLIM DYNAM</t>
  </si>
  <si>
    <t>Clim. Dyn.</t>
  </si>
  <si>
    <t>10.1007/s00382-009-0632-6</t>
  </si>
  <si>
    <t>668VE</t>
  </si>
  <si>
    <t>WOS:000283298900004</t>
  </si>
  <si>
    <t>Miller, AK; Kappes, MA; Trivelpiece, SG; Trivelpiece, WZ</t>
  </si>
  <si>
    <t>Miller, Aileen K.; Kappes, Michelle A.; Trivelpiece, Susan G.; Trivelpiece, Wayne Z.</t>
  </si>
  <si>
    <t>FORAGING-NICHE SEPARATION OF BREEDING GENTOO AND CHINSTRAP PENGUINS, SOUTH SHETLAND ISLANDS, ANTARCTICA</t>
  </si>
  <si>
    <t>CONDOR</t>
  </si>
  <si>
    <t>Gentoo Penguin; Chinstrap Penguin; Pygoscelis papua; Pygoscelis antarctica; niche; foraging ecology</t>
  </si>
  <si>
    <t>KING-GEORGE-ISLAND; PYGOSCELIS-PAPUA; PROVISIONING STRATEGIES; DIVING BEHAVIOR; ADELIE PENGUINS; ORKNEY ISLANDS; SIGNY ISLAND; URIA-AALGE; DIET; KRILL</t>
  </si>
  <si>
    <t>The realized niches of closely related species must differ if these species are to co-exist stably. The Gentoo (Pygoscelis papua) and Chinstrap Penguins (P. antarctica) breed concurrently in the Scotia Sea and Antarctic Peninsula regions. To identify species- and site-specific foraging niches, we compared the two species' foraging niches, including diet and foraging locations, at two sites in the South Shetland Islands with contrasting marine habitats. Both species fed primarily on Antarctic krill (Euphausia superba), though fish was also a component of the Gentoo Penguin's diet. Gentoo Penguins foraged closer to shore than did Chinstrap Penguins. Gentoo Penguins foraged during the day, while Chinstrap Penguins foraged throughout the diet cycle, sometimes traveling farther from shore on overnight foraging trips. In most cases, these species-specific foraging patterns were consistent with trends seen elsewhere in the region. However, within each species, site-specific differences in foraging niches were still evident. Overall, we observed that Gentoo Penguins traveled within consistent and limited distances from their colonies, but their diets varied by site in both meal mass and content. Chinstrap Penguins, in contrast, had a uniform diet of krill at both sites but varied the distance from shore and times at which they foraged.</t>
  </si>
  <si>
    <t>[Miller, Aileen K.; Kappes, Michelle A.; Trivelpiece, Susan G.; Trivelpiece, Wayne Z.] SW Fisheries Sci Ctr, Antarctic Ecosyst Res Div, La Jolla, CA 92037 USA</t>
  </si>
  <si>
    <t>Miller, AK (corresponding author), SW Fisheries Sci Ctr, Antarctic Ecosyst Res Div, 8604 La Jolla Shores Dr, La Jolla, CA 92037 USA.</t>
  </si>
  <si>
    <t>aileenkmiller@yahoo.com</t>
  </si>
  <si>
    <t>U.S. AMLR; NSF's Office of Polar Programs; Pew Charitable Trusts; Oceanites Foundation</t>
  </si>
  <si>
    <t>We thank all those who assisted in the collection of the diet data over the 7 years of our study at Cape Shirreff and Admiralty Bay. In particular, we are grateful to Steve Agius, Matt Becker, Stacey Buckelew, Terry Carten, Sarah Chisholm, Elaine Leung, Stephan Kropidlowski, Dave Loomis, Rachael Orben, Mike Polito, Ladi Rektoris, Iris Saxer, Laina Shill, and Michael Taft, each of whom supervised portions of the field work for this study. We thank our Chilean colleagues who assisted us at Cape Shirreff and personnel at the Polish Academy of Sciences' Arctowski Station for their hospitality and logistical support during this period. We are grateful to the many people that assisted us from the Antarctic logistical-support groups of the U.S. AMLR program and National Science Foundation (NSF). Helpful comments on earlier drafts of this paper were provided by P. Kappes, A. Takahashi, and an anonymous reviewer. J. Hinke assisted with figure preparation. This research was supported by the U.S. AMLR Program, grants from the NSF's Office of Polar Programs, the Lenfest Ocean Program of the Pew Charitable Trusts, and the Oceanites Foundation.</t>
  </si>
  <si>
    <t>COOPER ORNITHOLOGICAL SOC</t>
  </si>
  <si>
    <t>LAWRENCE</t>
  </si>
  <si>
    <t>ORNITHOLOGICAL SOC NORTH AMER PO BOX 1897, LAWRENCE, KS 66044-8897 USA</t>
  </si>
  <si>
    <t>0010-5422</t>
  </si>
  <si>
    <t>Condor</t>
  </si>
  <si>
    <t>10.1525/cond.2010.090221</t>
  </si>
  <si>
    <t>Ornithology</t>
  </si>
  <si>
    <t>Zoology</t>
  </si>
  <si>
    <t>700HD</t>
  </si>
  <si>
    <t>WOS:000285727700007</t>
  </si>
  <si>
    <t>Van de Vijver, B; Ector, L; de Haan, M; Zidarova, R</t>
  </si>
  <si>
    <t>Van de Vijver, Bart; Ector, Luc; de Haan, Myriam; Zidarova, Ralitsa</t>
  </si>
  <si>
    <t>THE GENUS MICROCOSTATUS IN THE ANTARCTIC REGION</t>
  </si>
  <si>
    <t>DIATOM RESEARCH</t>
  </si>
  <si>
    <t>JAMES-ROSS-ISLAND; SOUTH SHETLAND ISLANDS; FRESH-WATER; DIATOM COMMUNITIES; MARINE DIATOMS; SP NOV.; DIVERSITY; BACILLARIOPHYCEAE; PATTERNS; STREAMS</t>
  </si>
  <si>
    <t>The genus Microcostatus was erected in 1998 by Johansen &amp; Sray to accommodate a small number of tiny naviculoid species belonging to the former section Naviculae minusculae, characterized by the presence of the typical microcostae a series of external transapical costae near the axial area, the possession of a simple raphe system and the lack of a conopeum typical for the genus Fallacia During a survey of the Antarctic non-marine diatom flora, two Microcostatus species were found in several localities in the southern Atlantic and Indian Ocean Comparison with type material and with the sparse literature that exists on the genus Microcostatus, the Antarctic species were identified as Microcostatus naumannit (Hustedt) Lange-Bertalot and M mace, la (Schimanski) Lange-Bertalot The species showed the typical northern distribution although some older records of M naumanni were known from the Antarctic Region The purpose of this study was the morphological characterization of both species using detailed light and scanning electron microscopy observations Their ecology and worldwide biogeographical distribution was discussed in the view of the debate on the global distribution of micro-organisms</t>
  </si>
  <si>
    <t>[Van de Vijver, Bart; de Haan, Myriam] Dept Bryophyta &amp; Thallophvta, Natl Bot Garden Belgium, B-1860 Meise, Belgium; [Ector, Luc] Ctr Rech Publ Gabriel Lippmann, Dept Environm &amp; Agro Biotechnol, L-4422 Belvaux, Grand Duchy, Luxembourg; [Zidarova, Ralitsa] Cent Lab Gen Ecol BASc, Sofia 1113, Bulgaria</t>
  </si>
  <si>
    <t>Luxembourg Institute of Science &amp; Technology; Bulgarian Academy of Sciences</t>
  </si>
  <si>
    <t>Van de Vijver, B (corresponding author), Dept Bryophyta &amp; Thallophvta, Natl Bot Garden Belgium, B-1860 Meise, Belgium.</t>
  </si>
  <si>
    <t>Zidarova, Ralitsa/I-3793-2017</t>
  </si>
  <si>
    <t>Ector, Luc/0000-0002-4573-9445; Zidarova, Ralitsa/0000-0002-6451-0099</t>
  </si>
  <si>
    <t>EU; FWO [G 0533 07]</t>
  </si>
  <si>
    <t>EU(European Union (EU)); FWO(FWO)</t>
  </si>
  <si>
    <t>The authors wish to thank Dr S Blanco and Dr J Taylor for stimulating discussions on the biogeography of Microcostatus species Mrs Friedel Hinz is thanked for the picture of the type material of M maceria This research received support from the EU Synthesys project and FWO project G 0533 07</t>
  </si>
  <si>
    <t>BIOPRESS LIMITED</t>
  </si>
  <si>
    <t>BRISTOL</t>
  </si>
  <si>
    <t>THE ORCHARD, CLANAGE RD, BRISTOL BS3 2JX, ENGLAND</t>
  </si>
  <si>
    <t>0269-249X</t>
  </si>
  <si>
    <t>DIATOM RES</t>
  </si>
  <si>
    <t>Diatom Res.</t>
  </si>
  <si>
    <t>Marine &amp; Freshwater Biology</t>
  </si>
  <si>
    <t>683ZF</t>
  </si>
  <si>
    <t>WOS:000284516100013</t>
  </si>
  <si>
    <t>Van de Vijver, B; Sterken, M; Vyverman, W; Mataloni, G; Nedbalova, L; Kopalova, K; Elster, J; Verleyen, E; Sabbe, K</t>
  </si>
  <si>
    <t>Van de Vijver, Bart; Sterken, Mieke; Vyverman, Wim; Mataloni, Gabriela; Nedbalova, Linda; Kopalova, Katerina; Elster, Josef; Verleyen, Elie; Sabbe, Koen</t>
  </si>
  <si>
    <t>FOUR NEW NON-MARINE DIATOM TAXA FROM THE SUBANTARCTIC AND ANTARCTIC REGIONS</t>
  </si>
  <si>
    <t>FRESH-WATER; SP NOV.; ISLAND; COMMUNITIES; LAKES; HILLS</t>
  </si>
  <si>
    <t>A recent survey of the non-marine diatoms from islands in the Atlantic sector of the Southern Ocean (King George Hand, Deception Island Livingston Island, James Ross Island, Signy Island, South Georgia and Beak Island) resulted in the description of four new diatom species Chamaepinnularia gerlacher Van de Vijver &amp; Sterken sp nov , Craticula antarctica Van de Vijver &amp; Sabbe sp nov Craticula subpampeana Van de Vijver &amp; Sterken sp nov and Diadesmis australis Van de Vijver &amp; Sabbe sp nov The morphology of each species is described on the basis of light and electron microscopy The new species are compared to similar taxa especially to those present in the Subantarctic and Antarctic Region Preliminary observations on the ecology and biogeography of each species are provided</t>
  </si>
  <si>
    <t>[Van de Vijver, Bart] Dept Bryophytes &amp; Thallophytes, Natl Bot Garden Belgium, B-1680 Meise, Belgium; [Sterken, Mieke; Vyverman, Wim; Verleyen, Elie; Sabbe, Koen] Univ Ghent, Lab Protistol &amp; Aquat Ecol, B-9000 Ghent, Belgium; [Mataloni, Gabriela] UBA Pab II, Lab Limnol, Dept Ecol Genet &amp; Evoluc, Fac Cs Exactas &amp; Nat, Buenos Aires, DF, Argentina; [Nedbalova, Linda; Kopalova, Katerina] Charles Univ Prague, Fac Sci, Dept Ecol, Prague 12841 2, Czech Republic; [Elster, Josef] Acad Sci Czech Republ, Inst Bot, Ctr Phycol, CS-37982 Trebon, Czech Republic</t>
  </si>
  <si>
    <t>Ghent University; Charles University Prague; Czech Academy of Sciences; Institute of Botany of the Czech Academy of Sciences</t>
  </si>
  <si>
    <t>Van de Vijver, B (corresponding author), Dept Bryophytes &amp; Thallophytes, Natl Bot Garden Belgium, B-1680 Meise, Belgium.</t>
  </si>
  <si>
    <t>Nedbalová, Linda/AAF-1001-2022; Kopalová, Kateřina/H-1598-2014; Nedbalová, Linda/AFF-8321-2022; Elster, Josef/B-1031-2008; Kopalova, Katerina/M-6207-2017</t>
  </si>
  <si>
    <t>Nedbalová, Linda/0000-0003-1800-714X; Nedbalová, Linda/0000-0003-1800-714X; Elster, Josef/0000-0002-4535-5636; Kopalova, Katerina/0000-0002-7905-4268; Mataloni, Gabriela/0000-0002-6852-6143</t>
  </si>
  <si>
    <t>BelSPO HOLANT; FWO [G 0533 07]; Czech Ministry of Education Youth and Sports [ME 945, MSMT 002162082]</t>
  </si>
  <si>
    <t>BelSPO HOLANT; FWO(FWO); Czech Ministry of Education Youth and Sports(Ministry of Education, Youth &amp; Sports - Czech Republic)</t>
  </si>
  <si>
    <t>The authors wish to thank Prof Dr Louis Beyens (University of Antwerp) who collected the sample from King George Island in 1998 Mrs Myriam de Haan is thanked for her technical assistance using the Scanning Electron Microscope Part of this research was funded within the BelSPO HOLANT project and the FWO project G 0533 07 Elie Verleyen is a post-doctoral research Fellow with the Fund for Scientific Research, Flanders The fieldwork on James Ross Island was supported by the projects of the Czech Ministry of Education Youth and Sports ME 945 and MSMT 002162082 Two anonymous referees are thanked for their valuable comments that greatly improved the manuscript</t>
  </si>
  <si>
    <t>2159-8347</t>
  </si>
  <si>
    <t>WOS:000284516100014</t>
  </si>
  <si>
    <t>Sasgen, I; Dobslaw, H; Martinec, Z; Thomas, M</t>
  </si>
  <si>
    <t>Sasgen, I.; Dobslaw, H.; Martinec, Z.; Thomas, M.</t>
  </si>
  <si>
    <t>Satellite gravimetry observation of Antarctic snow accumulation related to ENSO</t>
  </si>
  <si>
    <t>EARTH AND PLANETARY SCIENCE LETTERS</t>
  </si>
  <si>
    <t>Antarctica; GRACE; ECMWF; ENSO; accumulation variability</t>
  </si>
  <si>
    <t>SOUTHERN-OSCILLATION; MASS-BALANCE; POLAR MM5; ICE LOSS; VARIABILITY; GRACE; PRECIPITATION; CLIMATE; CIRCULATION; SIGNAL</t>
  </si>
  <si>
    <t>Interannual ice-mass variations along the Antarctic Peninsula (AP) and in the Amundsen Sea Sector (AS) are obtained for the years 2002 until 2009 using satellite data of the Gravity Recovery and Climate Experiment, that correlate well (r approximate to 0.7) with accumulation variations based on the net precipitation from the European Centre for Medium Range Weather Forecasts. Moreover, mass signals for AP and AS are anti-correlated in time (r approximate to -0.4) and contain El Nino Southern Oscillation signatures related to the strength of the Amundsen Sea Low pressure system, that has a dominant influence on West Antarctic atmospheric moisture transports. The GRACE interannual mass variations exhibit root-mean squared amplitudes of: 16.4 +/- 4.1 Gt (AP) and 28.6 +/- 10.5 Gt (AS), which are significant compared to the mean annual mass loss of -110.2 +/- 6.7 Gt/a in coastal West Antarctica. (C) 2010 Elsevier B.V. All rights reserved.</t>
  </si>
  <si>
    <t>[Sasgen, I.; Dobslaw, H.; Thomas, M.] Helmholtz Ctr Potsdam, Dept Geodesy &amp; Remote Sensing, D-14473 Potsdam, Germany; [Martinec, Z.] Charles Univ Prague, Fac Math &amp; Phys, Dept Geophys, Prague, Czech Republic; [Martinec, Z.] Dublin Inst Adv Studies, Sch Theoret Phys, Dublin 4, Ireland; [Thomas, M.] Free Univ Berlin, Inst Meteorol, D-12165 Berlin, Germany</t>
  </si>
  <si>
    <t>Helmholtz Association; Helmholtz-Center Potsdam GFZ German Research Center for Geosciences; Charles University Prague; Dublin Institute for Advanced Studies; Free University of Berlin</t>
  </si>
  <si>
    <t>Sasgen, I (corresponding author), Helmholtz Ctr Potsdam, Dept Geodesy &amp; Remote Sensing, Telegrafenberg A17, D-14473 Potsdam, Germany.</t>
  </si>
  <si>
    <t>sasgen@gfz-potsdam.de; dobslaw@gfz-potsdam.de; zdenek@cp.dias.ie; mthomas@gfz-potsdam.de</t>
  </si>
  <si>
    <t>Martinec, Zdenek/M-9860-2017; Martinec, Zdenek/AAA-6095-2022; Dobslaw, Henryk/AFI-0131-2022</t>
  </si>
  <si>
    <t>Martinec, Zdenek/0000-0002-7036-2571; Dobslaw, Henryk/0000-0003-1776-3314</t>
  </si>
  <si>
    <t>Deutsche Forschungsgemeinschaft (DFG, German Research Foundation) [MA 3432/3-1 (SPP1257)]; Grant Agency of the Czech Republic [205/09/0546]</t>
  </si>
  <si>
    <t>Deutsche Forschungsgemeinschaft (DFG, German Research Foundation)(German Research Foundation (DFG)); Grant Agency of the Czech Republic(Grant Agency of the Czech RepublicNorwegian Agency for Development Cooperation - NORAD)</t>
  </si>
  <si>
    <t>We thank two anonymous reviewers for their detailed comments that have helped to greatly improve the manuscript. The first author acknowledges support from the Deutsche Forschungsgemeinschaft (DFG, German Research Foundation) through grant MA 3432/3-1 (SPP1257); the third author acknowledges support from the Grant Agency of the Czech Republic through grant 205/09/0546. Deutscher Wetterdienst, Offenbach, Germany, and the European Centre for Medium Range Weather Forecasts, Reading, U.K., are acknowledged for providing ECMWF analysis data. We would like to thank the German Space Operations Center (GSOC) of the German Aerospace Center (DLR) for providing continuously and nearly 100% of the raw telemetry data of the twin GRACE satellites.</t>
  </si>
  <si>
    <t>ELSEVIER SCIENCE BV</t>
  </si>
  <si>
    <t>AMSTERDAM</t>
  </si>
  <si>
    <t>PO BOX 211, 1000 AE AMSTERDAM, NETHERLANDS</t>
  </si>
  <si>
    <t>0012-821X</t>
  </si>
  <si>
    <t>EARTH PLANET SC LETT</t>
  </si>
  <si>
    <t>Earth Planet. Sci. Lett.</t>
  </si>
  <si>
    <t>NOV 1</t>
  </si>
  <si>
    <t>3-4</t>
  </si>
  <si>
    <t>10.1016/j.epsl.2010.09.015</t>
  </si>
  <si>
    <t>Geochemistry &amp; Geophysics</t>
  </si>
  <si>
    <t>687CI</t>
  </si>
  <si>
    <t>WOS:000284751200010</t>
  </si>
  <si>
    <t>Janion, C; Leinaas, HP; Terblanche, JS; Chown, SL</t>
  </si>
  <si>
    <t>Janion, Charlene; Leinaas, Hans Petter; Terblanche, John S.; Chown, Steven L.</t>
  </si>
  <si>
    <t>Trait means and reaction norms: the consequences of climate change/invasion interactions at the organism level</t>
  </si>
  <si>
    <t>EVOLUTIONARY ECOLOGY</t>
  </si>
  <si>
    <t>Biological invasions; Climate change; Development rate; Phenotypic plasticity; Soil arthropod</t>
  </si>
  <si>
    <t>ADAPTIVE PHENOTYPIC PLASTICITY; BIOLOGICAL INVASIONS; SPECIES INVASION; PLANT INVASIONS; MARION ISLAND; EVOLUTION; TEMPERATURE; CONSERVATION; PERFORMANCE; RESPONSES</t>
  </si>
  <si>
    <t>How the impacts of climate change on biological invasions will play out at the mechanistic level is not well understood. Two major hypotheses have been proposed: invasive species have a suite of traits that enhance their performance relative to indigenous ones over a reasonably wide set of circumstances; invasive species have greater phenotypic plasticity than their indigenous counterparts and will be better able to retain performance under altered conditions. Thus, two possibly independent, but complementary mechanistic perspectives can be adopted: based on trait means and on reaction norms. Here, to demonstrate how this approach might be applied to understand interactions between climate change and invasion, we investigate variation in the egg development times and their sensitivity to temperature amongst indigenous and introduced springtail species in a cool temperate ecosystem (Marion Island, 46 degrees 54'S37 degrees 54'E) that is undergoing significant climate change. Generalized linear model analyses of the linear part of the development rate curves revealed significantly higher mean trait values in the invasive species compared to indigenous species, but no significant interactions were found when comparing the thermal reaction norms. In addition, the invasive species had a higher hatching success than the indigenous species at high temperatures. This work demonstrates the value of explicitly examining variation in trait means and reaction norms among indigenous and invasive species to understand the mechanistic basis of variable responses to climate change among these groups.</t>
  </si>
  <si>
    <t>[Janion, Charlene; Chown, Steven L.] Univ Stellenbosch, Dept Bot &amp; Zool, Ctr Invas Biol, ZA-7602 Matieland, South Africa; [Leinaas, Hans Petter] Univ Oslo, Dept Biol, N-0316 Oslo, Norway; [Terblanche, John S.] Univ Stellenbosch, Dept Conservat Ecol &amp; Entomol, ZA-7602 Matieland, South Africa</t>
  </si>
  <si>
    <t>Stellenbosch University; University of Oslo; Stellenbosch University</t>
  </si>
  <si>
    <t>Janion, C (corresponding author), Univ Stellenbosch, Dept Bot &amp; Zool, Ctr Invas Biol, Private Bag X1, ZA-7602 Matieland, South Africa.</t>
  </si>
  <si>
    <t>cjanion@sun.ac.za</t>
  </si>
  <si>
    <t>Chown, Steven/ABD-7646-2021; Terblanche, John/AAB-4457-2020; Chown, Steven/H-3347-2011</t>
  </si>
  <si>
    <t>Terblanche, John/0000-0001-9665-9405; Janion-Scheepers, Charlene/0000-0001-5942-7912; Chown, Steven/0000-0001-6069-5105</t>
  </si>
  <si>
    <t>SA-Norway</t>
  </si>
  <si>
    <t>We thank Erika Nortje, Heidi Sjursen Konestabo and various members of the Marion Island relief teams for assistance in the field. Bettine Jansen van Vuuren and Angela McGaughran assisted with the COI sequence data and phylogenetic analysis. Janne Bengtsson, Melodie McGeoch and two anonymous referees provided useful comments on a previous version of the ms. The South African National Antarctic Programme provided logistic support. This work was funded partly by a SA-Norway science liaison grant awarded jointly to HPL and SLC. The work forms a contribution to the SCAR EBA Programme.</t>
  </si>
  <si>
    <t>DORDRECHT</t>
  </si>
  <si>
    <t>VAN GODEWIJCKSTRAAT 30, 3311 GZ DORDRECHT, NETHERLANDS</t>
  </si>
  <si>
    <t>0269-7653</t>
  </si>
  <si>
    <t>1573-8477</t>
  </si>
  <si>
    <t>EVOL ECOL</t>
  </si>
  <si>
    <t>Evol. Ecol.</t>
  </si>
  <si>
    <t>SI</t>
  </si>
  <si>
    <t>10.1007/s10682-010-9405-2</t>
  </si>
  <si>
    <t>Ecology; Evolutionary Biology; Genetics &amp; Heredity</t>
  </si>
  <si>
    <t>Environmental Sciences &amp; Ecology; Evolutionary Biology; Genetics &amp; Heredity</t>
  </si>
  <si>
    <t>724TU</t>
  </si>
  <si>
    <t>WOS:000287599900007</t>
  </si>
  <si>
    <t>Poli, A; Anzelmo, G; Tommonaro, G; Pavlova, K; Casaburi, A; Nicolaus, B</t>
  </si>
  <si>
    <t>Poli, A.; Anzelmo, G.; Tommonaro, G.; Pavlova, K.; Casaburi, A.; Nicolaus, B.</t>
  </si>
  <si>
    <t>Production and chemical characterization of an exopolysaccharide synthesized by psychrophilic yeast strain Sporobolomyces salmonicolor AL1 isolated from Livingston Island, Antarctica</t>
  </si>
  <si>
    <t>FOLIA MICROBIOLOGICA</t>
  </si>
  <si>
    <t>EXTRACELLULAR PRODUCT; CANDIDA-UTILIS; GLUCOMANNAN; POLYSACCHARIDES</t>
  </si>
  <si>
    <t>The exopolysaccharide (EPS) production by psychrophilic Antarctic yeast Sporobolomyces salmonicolor AL(1) reached the maximum yield in medium containing sucrose (50 g/L) and diammonium sulfate (2.5 g/L) after a 5-d fermentation (5.64 g/L) at 22 A degrees C, the dynamic viscosity of the culture broth reaching (after 5 d) 15.4 mPa s. EPS showed a mannan-like structure and high molar mass, and did not affect cellular viability and proliferation of murine macrophages. It exhibited also a protective effect against the toxic activity of Avarol.</t>
  </si>
  <si>
    <t>[Poli, A.; Anzelmo, G.; Tommonaro, G.; Casaburi, A.; Nicolaus, B.] CNR, Inst Biomol Chem, I-80078 Pozzuoli, Italy; [Pavlova, K.] Bulgarian Acad Sci, Inst Microbiol, Dept Microbial Biosynth &amp; Biotechnol, Plovdiv 4002, Bulgaria</t>
  </si>
  <si>
    <t>Consiglio Nazionale delle Ricerche (CNR); Bulgarian Academy of Sciences; Medical University Plovdiv</t>
  </si>
  <si>
    <t>Poli, A (corresponding author), CNR, Inst Biomol Chem, I-80078 Pozzuoli, Italy.</t>
  </si>
  <si>
    <t>annarita.poli@icb.cnr.it</t>
  </si>
  <si>
    <t>Tommonaro, Giuseppina/C-3005-2015; Tommonaro, Giuseppina/AAX-9587-2021</t>
  </si>
  <si>
    <t>Tommonaro, Giuseppina/0000-0002-9613-1843</t>
  </si>
  <si>
    <t>Bulgarian Ministry of Education [A-B-801]; Bilateral Project [BAN/CNR 132.01]</t>
  </si>
  <si>
    <t>Bulgarian Ministry of Education; Bilateral Project</t>
  </si>
  <si>
    <t>We are grateful to the Prof. R. Mecheva and Dipl.Ing. Y. Yankov for providing the Antarctic samples. The investigation was supported by National Fund for Scientific Research of the Bulgarian Ministry of Education (grant A-B-801) and partially supported by Bilateral Project BAN/CNR 132.01. The authors thank Prof. M. Kambourova for helpful discussion and for the organization of scientific meeting in Plovdiv (Bulgaria).</t>
  </si>
  <si>
    <t>0015-5632</t>
  </si>
  <si>
    <t>1874-9356</t>
  </si>
  <si>
    <t>FOLIA MICROBIOL</t>
  </si>
  <si>
    <t>Folia Microbiol.</t>
  </si>
  <si>
    <t>10.1007/s12223-010-0092-8</t>
  </si>
  <si>
    <t>Biotechnology &amp; Applied Microbiology; Microbiology</t>
  </si>
  <si>
    <t>709UG</t>
  </si>
  <si>
    <t>WOS:000286466300005</t>
  </si>
  <si>
    <t>Barrat, JA; Yamaguchi, A; Zanda, B; Bollinger, C; Bohn, M</t>
  </si>
  <si>
    <t>Barrat, Jean-Alix; Yamaguchi, Akira; Zanda, Brigitte; Bollinger, Claire; Bohn, Marcel</t>
  </si>
  <si>
    <t>Relative chronology of crust formation on asteroid Vesta: Insights from the geochemistry of diogenites</t>
  </si>
  <si>
    <t>GEOCHIMICA ET COSMOCHIMICA ACTA</t>
  </si>
  <si>
    <t>TRACE-ELEMENT GEOCHEMISTRY; RARE-EARTH-ELEMENTS; OLIVINE DIOGENITES; EUCRITES; CONSTRAINTS; PETROLOGY; PETROGENESIS; SIDEROPHILE; TIMESCALES; HOWARDITE</t>
  </si>
  <si>
    <t>The eucrites and diogenites are meteorites that probably originate from asteroid 4-Vesta. The upper part of the crust of this body is certainly composed of eucrites which are basaltic or gabbroic rocks. Diogenites are ultramafic cumulates whose relationships with eucritic lithologies are unknown. Here, we show that the orthopyroxenes of some diogenites display very deep negative Eu anomalies (Eu/Eu* close to 0.1 or lower). The contamination of the parental magmas of diogenites by melts derived by partial melting of the eucritic crust can satisfactorily explain the range of the Eu anomalies displayed by diogenites. Thus, these anomalies are the first firm indication that parental melts of diogenites have intruded the eucritic crust, and consequently are younger than eucrites. (C) 2010 Elsevier Ltd. All rights reserved.</t>
  </si>
  <si>
    <t>[Barrat, Jean-Alix; Bollinger, Claire; Bohn, Marcel] Univ Brest, CNRS, UMR Domaines Ocean 6538, IUEM, F-29280 Plouzane, France; [Barrat, Jean-Alix; Bollinger, Claire; Bohn, Marcel] Univ Europeenne Bretagne, Bretagne, France; [Yamaguchi, Akira] Natl Inst Polar Res, Antarctic Meteorites Res Ctr, Tokyo 1908518, Japan; [Zanda, Brigitte] Museum Natl Hist Nat, CNRS, Lab Mineral &amp; Cosmochim Museum, UMR 7202, F-75005 Paris, France</t>
  </si>
  <si>
    <t>Centre National de la Recherche Scientifique (CNRS); CNRS - National Institute for Earth Sciences &amp; Astronomy (INSU); Universite de Bretagne Occidentale; Institut Universitaire Europeen de la Mer (IUEM); Universite de Bretagne Occidentale; Research Organization of Information &amp; Systems (ROIS); National Institute of Polar Research (NIPR) - Japan; Museum National d'Histoire Naturelle (MNHN); Centre National de la Recherche Scientifique (CNRS)</t>
  </si>
  <si>
    <t>Barrat, JA (corresponding author), Univ Brest, CNRS, UMR Domaines Ocean 6538, IUEM, Pl Nicolas Copernic, F-29280 Plouzane, France.</t>
  </si>
  <si>
    <t>barrat@univ-brest.fr</t>
  </si>
  <si>
    <t>Jean-Alix, BARRAT/F-8035-2012; Zanda, Brigitte/D-6787-2015; IMPMC, ROCKS @/U-8478-2017; Barrat, Jean Alix/C-8416-2017</t>
  </si>
  <si>
    <t>Zanda, Brigitte/0000-0002-4210-7151; Barrat, Jean Alix/0000-0003-3158-3109</t>
  </si>
  <si>
    <t>National de Planetologie de l'Institut National des Sciences de l'Univers; National Institut of Polar Research; Museum national d'Histoire Naturelle de Paris; American Museum of Natural History, New York; Royal Ontario Museum</t>
  </si>
  <si>
    <t>Financial support from the Programme National de Planetologie de l'Institut National des Sciences de l'Univers is acknowledged. We thank the National Institut of Polar Research, the Meteorite Working Group (NASA), the Museum national d'Histoire Naturelle de Paris, the American Museum of Natural History, New York, the Royal Ontario Museum, Alain Carion, Michel Franco, and Ali Hmani for providing the meteorites samples; R. Hewins, A.W. Beck, M. Toplis, R.C. Greenwood for critically reading an early version of the manuscript. We thank C. Koeberl for the editorial handling, C. Floss and K. Righter for their critical and constructive reviews. J.A.B. acknowledges Pascale Barrat for her help. This research has made use of NASA's Astrophysics Data System Abstract Service.</t>
  </si>
  <si>
    <t>0016-7037</t>
  </si>
  <si>
    <t>1872-9533</t>
  </si>
  <si>
    <t>GEOCHIM COSMOCHIM AC</t>
  </si>
  <si>
    <t>Geochim. Cosmochim. Acta</t>
  </si>
  <si>
    <t>10.1016/j.gca.2010.07.028</t>
  </si>
  <si>
    <t>658OQ</t>
  </si>
  <si>
    <t>Green Published</t>
  </si>
  <si>
    <t>WOS:000282499700016</t>
  </si>
  <si>
    <t>Eagles, G</t>
  </si>
  <si>
    <t>Eagles, Graeme</t>
  </si>
  <si>
    <t>The age and origin of the central Scotia Sea</t>
  </si>
  <si>
    <t>GEOPHYSICAL JOURNAL INTERNATIONAL</t>
  </si>
  <si>
    <t>Tectonics and climate interactions; Kinematics of crustal and mantle deformation; Antarctica; South America</t>
  </si>
  <si>
    <t>SOUTHERNMOST SOUTH-AMERICA; BACK-ARC EXTENSION; DRAKE PASSAGE; HEAT-FLOW; ANTARCTIC PENINSULA; TECTONIC EVOLUTION; MANTLE FLOW; OCEAN; BASIN; ATLANTIC</t>
  </si>
  <si>
    <t>P&gt;Opening of the Drake Passage gateway between the Pacific and Atlantic oceans has been linked in various ways to Cenozoic climate changes. From the oceanic floor of Drake Passage, the largest of the remaining uncertainties in understanding this opening is in the timing and process of the opening of the central Scotia Sea. All but one of the available constraints on the age of the central Scotia Sea is diagnostic of, or consistent with, a Mesozoic age. Comparison of tectonic and magnetic features on the seafloor with plate kinematic models shows that it is likely to have accreted to a mid-ocean ridge between the South American and Antarctic plates following their separation in Jurassic times. Subsequent regional shallowing may be related to subduction-related processes that preceded backarc extension in the East Scotia Sea. The presence of a fragment of Jurassic-Cretaceous ocean floor in the gateway implies that deep water connections through the Scotia Sea basin complex may have been possible since Eocene times when the continental tips of South America and the Antarctic Peninsula first passed each other.</t>
  </si>
  <si>
    <t>Royal Holloway Univ London, Dept Earth Sci, Egham TW20 0EX, Surrey, England</t>
  </si>
  <si>
    <t>University of London; Royal Holloway University London</t>
  </si>
  <si>
    <t>Eagles, G (corresponding author), Royal Holloway Univ London, Dept Earth Sci, Egham TW20 0EX, Surrey, England.</t>
  </si>
  <si>
    <t>g.eagles@gl.rhul.ac.uk</t>
  </si>
  <si>
    <t>Eagles, Graeme/0000-0001-5325-0810</t>
  </si>
  <si>
    <t>NERC [GT22/95/ANT4/3]</t>
  </si>
  <si>
    <t>NERC(UK Research &amp; Innovation (UKRI)Natural Environment Research Council (NERC))</t>
  </si>
  <si>
    <t>The embryonic stage of this work was funded from NERC award GT22/95/ANT4/3, made under the Antarctic Special Topic, and appeared in my PhD thesis. Roy Livermore and Derek Fairhead supervised that work. Peter Morris compiled the total field magnetic anomaly grid. Karsten Gohl, Ed King, Rob Larter and Fred Vine gave helpful opinions and Keith Nicholls and Ross Haacke very generously gave up their time to provide much-needed guidance in heat flow modelling. The manuscript benefited from constructive reviews by Udo Barckhausen and Carmen Gaina.</t>
  </si>
  <si>
    <t>OXFORD UNIV PRESS</t>
  </si>
  <si>
    <t>GREAT CLARENDON ST, OXFORD OX2 6DP, ENGLAND</t>
  </si>
  <si>
    <t>0956-540X</t>
  </si>
  <si>
    <t>1365-246X</t>
  </si>
  <si>
    <t>GEOPHYS J INT</t>
  </si>
  <si>
    <t>Geophys. J. Int.</t>
  </si>
  <si>
    <t>10.1111/j.1365-246X.2010.04781.x</t>
  </si>
  <si>
    <t>667DF</t>
  </si>
  <si>
    <t>WOS:000283172100007</t>
  </si>
  <si>
    <t>Sachs, T; Giebels, M; Boike, J; Kutzbach, L</t>
  </si>
  <si>
    <t>Sachs, Torsten; Giebels, Michael; Boike, Julia; Kutzbach, Lars</t>
  </si>
  <si>
    <t>Environmental controls on CH4 emission from polygonal tundra on the microsite scale in the Lena river delta, Siberia</t>
  </si>
  <si>
    <t>GLOBAL CHANGE BIOLOGY</t>
  </si>
  <si>
    <t>Arctic; closed chambers; eddy covariance; methane; permafrost; scaling; tundra</t>
  </si>
  <si>
    <t>METHANE EMISSION; ARCTIC TUNDRA; SPATIAL VARIATION; NORTHERN SIBERIA; EDDY-CORRELATION; CO2 EXCHANGE; WETLANDS; FLUX; VEGETATION; CLIMATE</t>
  </si>
  <si>
    <t>The carbon budgets of the atmosphere and terrestrial ecosystems are closely coupled by vertical gas exchange fluxes. Uncertainties remain with respect to high latitude ecosystems and the processes driving their temporally and spatially highly variable methane (CH4) exchange. Problems associated with scaling plot measurements to larger areas in heterogeneous environments are addressed based on intensive field studies on two nested spatial scales in Northern Siberia. CH4 fluxes on the microsite scale (0.1-100 m2) were measured in the Lena River Delta from July through September 2006 by closed chambers and were compared with simultaneous ecosystem scale (104-106 m2) flux measurements by the eddy covariance (EC) method. Closed chamber measurements were conducted almost daily on 15 plots in four differently developed polygon centers and on a polygon rim. Controls on CH4 emission were identified by stepwise multiple regression. In contrast to relatively low ecosystem-scale fluxes controlled mainly by near-surface turbulence, fluxes on the microsite scale were almost an order of magnitude higher at the wet polygon centers and near zero at the drier polygon rim and high-center polygon. Microsite scale CH4 fluxes varied strongly even within the same microsites. The only statistically significant control on chamber-based fluxes was surface temperature calculated using the Stefan-Boltzmann equation in the wet polygon centers, whereas no significant control was found for the low emissions from the dry sites. The comparison with the EC measurements reveals differences in controls and the seasonal dynamics between the two measurement scales, which may have consequences for scaling and process-based models. Despite those differences, closed chamber measurements from within the EC footprint could be scaled by an area-weighting approach of landcover classes based on high-resolution imagery to match the total ecosystem-scale emission. Our nested sampling design allowed for checking scaling results against measurements and to identify potentially missed sources or sinks.</t>
  </si>
  <si>
    <t>[Sachs, Torsten; Boike, Julia] Res Unit Potsdam, Alfred Wegener Inst Polar &amp; Marine Res, D-14473 Potsdam, Germany; [Giebels, Michael] Tech Univ Carolo Wilhelmina Braunschweig, Inst Geoecol, D-38106 Braunschweig, Germany; [Kutzbach, Lars] Ernst Moritz Arndt Univ Greifswald, Inst Bot &amp; Landscape Ecol, D-17487 Greifswald, Germany</t>
  </si>
  <si>
    <t>Helmholtz Association; Alfred Wegener Institute, Helmholtz Centre for Polar &amp; Marine Research; Braunschweig University of Technology; Universitat Greifswald</t>
  </si>
  <si>
    <t>Sachs, T (corresponding author), GFZ German Res Ctr Geosci, Helmholtz Ctr Potsdam, D-14473 Potsdam, Germany.</t>
  </si>
  <si>
    <t>torsten.sachs@gfz-potsdam.de</t>
  </si>
  <si>
    <t>Boike, Julia/JZT-8129-2024; Boike, Julia/R-4766-2016; Sachs, Torsten/P-8840-2015; Boike, Julia/JCE-5402-2023; Kutzbach, Lars/L-5765-2015</t>
  </si>
  <si>
    <t>Boike, Julia/0000-0002-5875-2112; Boike, Julia/0000-0002-5875-2112; Sachs, Torsten/0000-0002-9959-4771; Kutzbach, Lars/0000-0003-2631-2742</t>
  </si>
  <si>
    <t>German Science Foundation (D. F. G.)</t>
  </si>
  <si>
    <t>German Science Foundation (D. F. G.)(German Research Foundation (DFG))</t>
  </si>
  <si>
    <t>We would like to thank the members of the joint Russian-German expedition LENA-2006, especially Waldemar Schneider (Alfred Wegener Institute), Dmitry Yu. Bolshianov (Arctic and Antarctic Research Institute, St Petersburg), Mikhail N. Grigoriev (Permafrost Institute, Yakutsk), Alexander Y. Derevyagin (Moscow State University), and Dmitri V. Melnitschenko (Hydro Base, Tiksi) for all logistical, travel, and administrative arrangements. Merten Minke kindly provided the detailed vegetation cover. We are also grateful to Gunther 'Molo' Stoof for technical support in the field and to Peter Schreiber for help with Fig. 3. We greatly appreciate support from Eva-Maria Pfeiffer, Barnim Thees, and Sina Muster on various aspects of this study, as well as thoughtful comments from Christian Wille and all anonymous reviewers that helped improving the manuscript. Lars Kutzbach was supported through the Cluster of Excellence 'CliSAP' (EXC177), University of Hamburg, funded through the German Science Foundation (D. F. G.).</t>
  </si>
  <si>
    <t>MALDEN</t>
  </si>
  <si>
    <t>COMMERCE PLACE, 350 MAIN ST, MALDEN 02148, MA USA</t>
  </si>
  <si>
    <t>1354-1013</t>
  </si>
  <si>
    <t>GLOBAL CHANGE BIOL</t>
  </si>
  <si>
    <t>Glob. Change Biol.</t>
  </si>
  <si>
    <t>10.1111/j.1365-2486.2010.02232.x</t>
  </si>
  <si>
    <t>Biodiversity Conservation; Ecology; Environmental Sciences</t>
  </si>
  <si>
    <t>Biodiversity &amp; Conservation; Environmental Sciences &amp; Ecology</t>
  </si>
  <si>
    <t>656XZ</t>
  </si>
  <si>
    <t>WOS:000282375700016</t>
  </si>
  <si>
    <t>Barnes, DKA; Peck, LS; Morley, SA</t>
  </si>
  <si>
    <t>Barnes, D. K. A.; Peck, L. S.; Morley, S. A.</t>
  </si>
  <si>
    <t>Ecological relevance of laboratory determined temperature limits: colonization potential, biogeography and resilience of Antarctic invertebrates to environmental change</t>
  </si>
  <si>
    <t>acclimation; benthos; cold physiology; rates of change; tolerance; warming</t>
  </si>
  <si>
    <t>BENTHIC MARINE-INVERTEBRATES; PELAGIC LARVAE; SOUTHERN-OCEAN; THERMAL TOLERANCE; NACELLA-CONCINNA; CLIMATE-CHANGE; METABOLISM; SEA; BIODIVERSITY; ACCLIMATION</t>
  </si>
  <si>
    <t>The relevance of laboratory experiments in predicting effects of climate change has been questioned, especially in Antarctica where sea temperatures are remarkably stable. Laboratory studies of Southern Ocean marine animal capacities to survive increasing temperature mainly utilize rapid temperature elevations, 100 x -10 000 x faster than sea temperature is predicted to rise. However, due to small-scale temperature fluctuations these studies may be crucial for understanding colonization patterns and predicting survival particularly through interactions between thermal tolerance and migration. The colonization of disjunct shelves around Antarctica by larvae or adult drift requires crossing or exposure to, rapid temperature changes of up to 2-4 degrees C over days to weeks. Analyses of responses to warming at varying rates of temperature change in the laboratory allow better predictions of the potential species have for colonizing disjunct shelf areas (such as the Scotia Arc). Inhabiting greater diversities of localities increases the geographic and thermal range species experience. We suggest a strong link between short-term temperature tolerance, environmental range and prospects for surviving changing environments.</t>
  </si>
  <si>
    <t>[Barnes, D. K. A.; Peck, L. S.; Morley, S. A.] British Antarctic Survey, NERC, Cambridge CB3 0ET, England</t>
  </si>
  <si>
    <t>UK Research &amp; Innovation (UKRI); Natural Environment Research Council (NERC); NERC British Antarctic Survey</t>
  </si>
  <si>
    <t>Barnes, DKA (corresponding author), British Antarctic Survey, NERC, High Cross,Madingley Rd, Cambridge CB3 0ET, England.</t>
  </si>
  <si>
    <t>dkab@bas.ac.uk</t>
  </si>
  <si>
    <t>NERC [bas0100025] Funding Source: UKRI; Natural Environment Research Council [bas0100025] Funding Source: researchfish</t>
  </si>
  <si>
    <t>10.1111/j.1365-2486.2010.02176.x</t>
  </si>
  <si>
    <t>WOS:000282375700022</t>
  </si>
  <si>
    <t>Graham, TR; Harvey, JT; Benson, SR; Renfree, JS; Demer, DA</t>
  </si>
  <si>
    <t>Graham, Tanya R.; Harvey, James T.; Benson, Scott R.; Renfree, Josiah S.; Demer, David A.</t>
  </si>
  <si>
    <t>The acoustic identification and enumeration of scyphozoan jellyfish, prey for leatherback sea turtles (Dermochelys coriacea), off central California</t>
  </si>
  <si>
    <t>ICES JOURNAL OF MARINE SCIENCE</t>
  </si>
  <si>
    <t>acoustic survey; echosounder; leatherback turtle; multifrequency; scyphozoan jellyfish; target strength</t>
  </si>
  <si>
    <t>TARGET STRENGTH MEASUREMENTS; WAVE BORN APPROXIMATION; AURELIA-AURITA; GELATINOUS ZOOPLANKTON; SOUND-SCATTERING; COMMON JELLYFISH; ANTARCTIC KRILL; MONTEREY BAY; AGGREGATIONS; REPRODUCTION</t>
  </si>
  <si>
    <t>Graham, T. R., Harvey, J. T., Benson, S. R., Renfree, J. S., and Demer, D. A. 2010. The acoustic identification and enumeration of scyphozoan jellyfish, prey for leatherback sea turtles (Dermochelys coriacea), off central California. - ICES Journal of Marine Science, 67: 1739-1748.</t>
  </si>
  <si>
    <t>[Graham, Tanya R.; Harvey, James T.] Moss Landing Marine Labs, Moss Landing, CA 95039 USA; [Benson, Scott R.] Southwest Fisheries Sci Ctr, MLML Norte, Protected Resources Div, Moss Landing, CA 95039 USA; [Renfree, Josiah S.; Demer, David A.] Southwest Fisheries Sci Ctr, Adv Survey Technol Program, La Jolla, CA 92037 USA</t>
  </si>
  <si>
    <t>Moss Landing Marine Laboratories; Moss Landing Marine Laboratories</t>
  </si>
  <si>
    <t>Graham, TR (corresponding author), Moss Landing Marine Labs, 8272 Moss Landing Rd, Moss Landing, CA 95039 USA.</t>
  </si>
  <si>
    <t>tanya.r.graham@gmail.com</t>
  </si>
  <si>
    <t>, David/ABC-8990-2022</t>
  </si>
  <si>
    <t>, David/0000-0001-5083-8854</t>
  </si>
  <si>
    <t>1054-3139</t>
  </si>
  <si>
    <t>ICES J MAR SCI</t>
  </si>
  <si>
    <t>ICES J. Mar. Sci.</t>
  </si>
  <si>
    <t>10.1093/icesjms/fsq112</t>
  </si>
  <si>
    <t>Fisheries; Marine &amp; Freshwater Biology; Oceanography</t>
  </si>
  <si>
    <t>666NK</t>
  </si>
  <si>
    <t>WOS:000283121900021</t>
  </si>
  <si>
    <t>Li, HR; Yu, Y; Luo, W; Zeng, YX</t>
  </si>
  <si>
    <t>Li, Hui-Rong; Yu, Yong; Luo, Wei; Zeng, Yin-Xin</t>
  </si>
  <si>
    <t>Marisediminicola antarctica gen. nov., sp. nov., an actinobacterium isolated from the Antarctic</t>
  </si>
  <si>
    <t>INTERNATIONAL JOURNAL OF SYSTEMATIC AND EVOLUTIONARY MICROBIOLOGY</t>
  </si>
  <si>
    <t>PERFORMANCE LIQUID-CHROMATOGRAPHY; NONSALINE ALKALINE GROUNDWATER; FAMILY MICROBACTERIACEAE; COMB-NOV; PROPOSAL; ACID; DNA; ACTINOMYCETE; MICROCELLA; GRASSES</t>
  </si>
  <si>
    <t>Strain ZS314(T) was isolated from a sandy intertidal sediment sample collected from the coastal area off the Chinese Antarctic Zhongshan Station, east Antarctica (69 degrees 22' 13 '' S 76 degrees 21' 41 '' E). The cells were Gram-positive, motile, short rods. The temperature range for growth was 0-26 degrees C and the pH for growth ranged from 5 to 10, with optimum growth occurring within the temperature range 18-23 degrees C and pH range 6.0-8.0. Growth occurred in the presence of 0-6% (w/v) NaCl, with optimum growth occurring in the presence of 2-4% (w/v) NaCl. Strain ZS314(T) had MK-10 as the major menaquinone and anteiso-C-15:0, iso-C-16:0 and anteiso-C-17:0 as major fatty acids. The cell-wall peptidoglycan type was B2 beta with ornithine as the diagnostic diamino acid. The major polar lipids were diphosphatidylglycerol and phosphatidylglycerol. The genomic DNA G+C content was approximately 67 mol%. Phylogenetic analysis based on 16S rRNA gene sequence similarity showed that strain ZS314(T) represents a new lineage in the family Microbacteriaceae. On the basis of the phylogenetic analyses and phenotypic characteristics, a new genus, namely Marisediminicola gen. nov., is proposed, harbouring the novel species Marisediminicola antarctica sp. nov. with the type strain ZS314(T) (=DSM 22350(T) =CCTCC AB 209077(T)).</t>
  </si>
  <si>
    <t>[Li, Hui-Rong; Yu, Yong; Luo, Wei; Zeng, Yin-Xin] Polar Res Inst China, SOA Key Lab Polar Sci, Shanghai 200136, Peoples R China</t>
  </si>
  <si>
    <t>Polar Research Institute of China</t>
  </si>
  <si>
    <t>Li, HR (corresponding author), Polar Res Inst China, SOA Key Lab Polar Sci, Shanghai 200136, Peoples R China.</t>
  </si>
  <si>
    <t>lihuirong@pric.gov.cn</t>
  </si>
  <si>
    <t>Luo, Wei/0000-0002-4472-2182</t>
  </si>
  <si>
    <t>National Natural Science Foundation of China [40876097, 30500001, 40806073]; Key International S&amp;T Cooperation Projects [2008DFA20420]; Polar Strategic Research Foundation of China</t>
  </si>
  <si>
    <t>National Natural Science Foundation of China(National Natural Science Foundation of China (NSFC)); Key International S&amp;T Cooperation Projects; Polar Strategic Research Foundation of China</t>
  </si>
  <si>
    <t>We appreciate the assistance of the Chinese Arctic and Antarctic Administration (CAA) which supports the CHINARE 23 field work of this study. We also thank the scientists of the Identification Service of the DSMZ, especially Dr S. Verbarg for the menaquinone and fatty acids analyses, Dr B. J. Tindall for the polar lipids analyses and Dr P. Schumann for determination of G+C content of DNA and the analyses of peptidoglycan structure. This work was supported by the National Natural Science Foundation of China (40876097, 30500001, 40806073), Key International S&amp;T Cooperation Projects (2008DFA20420) and the Polar Strategic Research Foundation of China.</t>
  </si>
  <si>
    <t>SOC GENERAL MICROBIOLOGY</t>
  </si>
  <si>
    <t>READING</t>
  </si>
  <si>
    <t>MARLBOROUGH HOUSE, BASINGSTOKE RD, SPENCERS WOODS, READING RG7 1AG, BERKS, ENGLAND</t>
  </si>
  <si>
    <t>1466-5026</t>
  </si>
  <si>
    <t>INT J SYST EVOL MICR</t>
  </si>
  <si>
    <t>Int. J. Syst. Evol. Microbiol.</t>
  </si>
  <si>
    <t>10.1099/ijs.0.018754-0</t>
  </si>
  <si>
    <t>Microbiology</t>
  </si>
  <si>
    <t>687BB</t>
  </si>
  <si>
    <t>WOS:000284747600005</t>
  </si>
  <si>
    <t>Charlier, RH; Chaineux, MCP; Finkl, CW; Thys, AC</t>
  </si>
  <si>
    <t>Charlier, Roger H.; Chaineux, Marie-Claire P.; Finkl, Charles W.; Thys, Alexandre C.</t>
  </si>
  <si>
    <t>Belgica's Antarctic Toponymic Legacy</t>
  </si>
  <si>
    <t>JOURNAL OF COASTAL RESEARCH</t>
  </si>
  <si>
    <t>It might be argued that this paper does not sensu stricto contribute to polar science It however rekindles aspects of its history and of that of both oceanography and cartography Obviously the interest for the polar regions was keen in the 19th century and elicited financial support The paper may lift anew the veil that has somewhat dimmed the light that should shine on polar science achievements of Belgian explorers and scientists Knowledge of the names of geographic features in the Antarctic is probably less widespread and yet there are many Belgian names on and near the southernmost continent Most names were given by the head of the first ever Antarctic expedition to spend a winter on the southernmost continent Belgian Royal Navy Lieutenant Adrien de Gerlache de Gomery's expedition in the Antarctic brought back a wealth of scientific information His trip ended precisely 111 years ago, and has been-literally-carved in stone as the Belgica is indeed one of the 20 oceanographic vessels Prince Albert I of Monaco selected to be represented on the facade of the Musee Oceanographique de Monaco</t>
  </si>
  <si>
    <t>[Charlier, Roger H.; Thys, Alexandre C.] Vrije Univ Brussel, Brussels, Belgium; [Chaineux, Marie-Claire P.] Inst Ste Marie, Brussels, Belgium; [Finkl, Charles W.] Coastal Educ &amp; Res Fdn, W Palm Beach, FL USA</t>
  </si>
  <si>
    <t>Vrije Universiteit Brussel</t>
  </si>
  <si>
    <t>Charlier, RH (corresponding author), Vrije Univ Brussel, Brussels, Belgium.</t>
  </si>
  <si>
    <t>Thys, Alexandre/0000-0002-3451-9199</t>
  </si>
  <si>
    <t>COASTAL EDUCATION &amp; RESEARCH FOUNDATION</t>
  </si>
  <si>
    <t>810 EAST 10TH STREET, LAWRENCE, KS 66044 USA</t>
  </si>
  <si>
    <t>0749-0208</t>
  </si>
  <si>
    <t>J COASTAL RES</t>
  </si>
  <si>
    <t>J. Coast. Res.</t>
  </si>
  <si>
    <t>10.2112/10A-00005.1</t>
  </si>
  <si>
    <t>Environmental Sciences; Geography, Physical; Geosciences, Multidisciplinary</t>
  </si>
  <si>
    <t>Environmental Sciences &amp; Ecology; Physical Geography; Geology</t>
  </si>
  <si>
    <t>682YP</t>
  </si>
  <si>
    <t>WOS:000284439200020</t>
  </si>
  <si>
    <t>Hanuise, N; Bost, CA; Huin, W; Auber, A; Halsey, LG; Handrich, Y</t>
  </si>
  <si>
    <t>Hanuise, Nicolas; Bost, Charles-Andre; Huin, William; Auber, Arnaud; Halsey, Lewis G.; Handrich, Yves</t>
  </si>
  <si>
    <t>Measuring foraging activity in a deep-diving bird: comparing wiggles, oesophageal temperatures and beak-opening angles as proxies of feeding</t>
  </si>
  <si>
    <t>JOURNAL OF EXPERIMENTAL BIOLOGY</t>
  </si>
  <si>
    <t>diving; foraging; Hall sensor; ingestion; king penguin; oesophageal temperature; wiggle</t>
  </si>
  <si>
    <t>TURTLES DERMOCHELYS-CORIACEA; KING PENGUINS; MARINE RESOURCES; WEDDELL SEALS; CROZET; CONSUMPTION; BEHAVIOR; ENERGETICS; INGESTION; MOVEMENT</t>
  </si>
  <si>
    <t>Quantification of prey consumption by marine predators is key to understanding the organisation of ecosystems. This especially concerns penguins, which are major consumers of southern food webs. As direct observation of their feeding activity is not possible, several indirect methods have been developed that take advantage of miniaturised data logging technology, most commonly: detection of (i) anomalies in diving profiles (wiggles), (ii) drops in oesophageal temperature and (iii) the opening of mouth parts (recorded with a Hall sensor). In the present study, we used these three techniques to compare their validity and obtain information about the feeding activity of two free-ranging king penguins (Aptenodytes patagonicus). Crucially, and for the first time, two types of beak-opening events were identified. Type A was believed to correspond to failed prey-capture attempts and type B to successful attempts, because, in nearly all cases, only type B was followed by a drop in oesophageal temperature. The number of beak-opening events, oesophageal temperature drops and wiggles per dive were all correlated. However, for a given dive, the number of wiggles and oesophageal temperature drops were lower than the number of beak-opening events. Our results suggest that recording beak opening is a very accurate method for detecting prey ingestions by diving seabirds at a fine scale. However, these advantages are counterbalanced by the difficulty, and hence potential adverse effects, of instrumenting birds with the necessary sensor/magnet, which is in contrast to the less accurate but more practicable methods of measuring dive profiles or, to a lesser extent, oesophageal temperature.</t>
  </si>
  <si>
    <t>[Hanuise, Nicolas; Bost, Charles-Andre; Huin, William] CEBC, CNRS, UPR 1934, F-79360 Villiers En Bois, France; [Hanuise, Nicolas; Auber, Arnaud; Handrich, Yves] IPHC, CNRS ULP UMR 7178, DEPE, F-67087 Strasbourg 2, France; [Halsey, Lewis G.] Roehampton Univ, Dept Life Sci, London W15 4JD, England</t>
  </si>
  <si>
    <t>Centre National de la Recherche Scientifique (CNRS); Centre National de la Recherche Scientifique (CNRS); CNRS - National Institute of Nuclear and Particle Physics (IN2P3); Roehampton University</t>
  </si>
  <si>
    <t>Hanuise, N (corresponding author), CEBC, CNRS, UPR 1934, F-79360 Villiers En Bois, France.</t>
  </si>
  <si>
    <t>n.hanuise@gmail.com</t>
  </si>
  <si>
    <t>Hanuise, Nicolas/B-8657-2011; Auber, Arnaud/IQW-7770-2023; Halsey, Lewis/B-8498-2011; Auber, Arnaud/AAI-8794-2021; auber, arnaud/AAY-5532-2021; Handrich, Yves/AAD-6472-2022</t>
  </si>
  <si>
    <t>Halsey, Lewis/0000-0002-0786-7585; Auber, Arnaud/0000-0002-8415-1652</t>
  </si>
  <si>
    <t>IPEV (Institut Polaire Francais) [394]</t>
  </si>
  <si>
    <t>IPEV (Institut Polaire Francais)</t>
  </si>
  <si>
    <t>We are indebted to the IPEV (Institut Polaire Francais) for financial support of Antarctic research programs (IPEV Prog. 394, resp. C.A.B.). The Terres Australes et Antarctiques Francaises also provided logistical support. We thank A. Kato and two anonymous referees who have considerably improved the paper through useful criticisms and detailed comments. We are grateful to all our colleagues who have enabled this work to be undertaken through their enthusiasm and the time they gave us in the field, and to V. A. Viblanc for preliminary analyses.</t>
  </si>
  <si>
    <t>COMPANY BIOLOGISTS LTD</t>
  </si>
  <si>
    <t>BIDDER BUILDING, STATION RD, HISTON, CAMBRIDGE CB24 9LF, ENGLAND</t>
  </si>
  <si>
    <t>0022-0949</t>
  </si>
  <si>
    <t>1477-9145</t>
  </si>
  <si>
    <t>J EXP BIOL</t>
  </si>
  <si>
    <t>J. Exp. Biol.</t>
  </si>
  <si>
    <t>10.1242/jeb.044057</t>
  </si>
  <si>
    <t>673IO</t>
  </si>
  <si>
    <t>WOS:000283653100019</t>
  </si>
  <si>
    <t>Goodge, JW; Fanning, CM; Brecke, DM; Licht, KJ; Palmer, EF</t>
  </si>
  <si>
    <t>Goodge, John W.; Fanning, C. Mark; Brecke, Devon M.; Licht, Kathy J.; Palmer, Emerson F.</t>
  </si>
  <si>
    <t>Continuation of the Laurentian Grenville Province across the Ross Sea Margin of East Antarctica</t>
  </si>
  <si>
    <t>JOURNAL OF GEOLOGY</t>
  </si>
  <si>
    <t>PRIEST RIVER COMPLEX; DETRITAL-ZIRCON AGES; U-PB; UNITED-STATES; TRANSANTARCTIC MOUNTAINS; SILICICLASTIC ROCKS; METAMORPHIC EVENTS; WESTERN-AUSTRALIA; LLANO UPLIFT; A-TYPE</t>
  </si>
  <si>
    <t>Zircon U-Pb ages from glacial clasts in Quaternary tills of the central Transantarctic Mountains indicate the presence of Grenville-age crust along the Ross Sea margin of East Antarctica. The polymict tills contain a variety of igneous, metaigneous, and metasedimentary clasts with Proterozoic ages not known from basement exposure. Four orthogneiss clasts have igneous ages of similar to 1065-1100 Ma and Ross Orogen metamorphic overgrowths of similar to 500-550 Ma. The latter ages indicate that these clasts are not glacially far traveled. Grenville-like signatures also come from a paragneiss containing detrital zircons ranging from 925 to 1130 Ma, an early Ross granitoid (similar to 563 Ma) containing inherited zircons of similar to 1020 Ma, and detrital zircons from Neogene and Quaternary glacial deposits with a composite age peak of similar to 1045 Ma. Other igneous clasts with ages of similar to 1460, similar to 1580, and similar to 1880 Ma provide further evidence of Proterozoic crust and corroborate earlier finding of an similar to 1440-Ma A-type granite clast with isotopic signatures matching similar-age granites in Laurentia. Together, the glacial clasts indicate that similar to 1.1-Ga Grenville-age igneous crust lies beneath the ice sheet along the Ross Sea margin of East Antarctica. The clast ages are similar to those of Mesoproterozoic relicts in other parts of East Antarctica, and they resemble the ages of basement rocks in western Laurentia, including igneous rocks in west Texas (1070-1120 Ma) where the Grenville Orogen (sensu stricto) terminates abruptly, or, alternatively, metamorphic assemblages within Proterozoic rift-margin strata of northern Idaho (1000-1150 Ma). The glacial clasts provide new evidence that an similar to 1.1-Ga-age belt extends from western Laurentia into central East Antarctica inboard of the present-day Pacific margin, supporting both the SWEAT (southwest U. S.-East Antarctic) fit of Rodinia cratons and the suggestion that a Mesoproterozoic orogen integral to Rodinia assembly crosses East Antarctica.</t>
  </si>
  <si>
    <t>[Goodge, John W.] Univ Minnesota, Dept Geol Sci, Duluth, MN 55812 USA; [Fanning, C. Mark] Australian Natl Univ, Res Sch Earth Sci, Canberra, ACT 0200, Australia; [Brecke, Devon M.] Univ Minnesota, Nat Resources Res Inst, Duluth, MN 55811 USA; [Licht, Kathy J.; Palmer, Emerson F.] Indiana Univ Purdue Univ, Dept Earth Sci, Indianapolis, IN 46202 USA</t>
  </si>
  <si>
    <t>University of Minnesota System; University of Minnesota Duluth; Australian National University; University of Minnesota System; University of Minnesota Duluth; Indiana University System; Indiana University-Purdue University Indianapolis</t>
  </si>
  <si>
    <t>Goodge, JW (corresponding author), Univ Minnesota, Dept Geol Sci, Duluth, MN 55812 USA.</t>
  </si>
  <si>
    <t>jgoodge@d.umn.edu</t>
  </si>
  <si>
    <t>Goodge, John/GQI-3878-2022; Fanning, Christopher Mark/I-6449-2016</t>
  </si>
  <si>
    <t>Licht, Kathy/0000-0002-2233-2853; Fanning, Christopher Mark/0000-0003-3331-3145; Goodge, John/0000-0003-2578-3147</t>
  </si>
  <si>
    <t>National Science Foundation [0440160, 0440885]; Directorate For Geosciences [0440160] Funding Source: National Science Foundation; Division Of Polar Programs [0440160] Funding Source: National Science Foundation</t>
  </si>
  <si>
    <t>National Science Foundation(National Science Foundation (NSF)); Directorate For Geosciences(National Science Foundation (NSF)NSF - Directorate for Geosciences (GEO)); Division Of Polar Programs(National Science Foundation (NSF)NSF - Directorate for Geosciences (GEO))</t>
  </si>
  <si>
    <t>This work was supported by grants from the National Science Foundation (0440160 to J. W. Goodge and 0440885 to K. J. Licht). Fieldwork was made possible by the expert help provided by P. Braddock and A. Barth, along with Twin Otter flight crews of Kenn Borek Air; we are grateful for their many spectacular and safe field landings. We thank A. Ashworth and D. Harwood for providing sediment samples of the Sirius Group. We are grateful to V. Hansen for review of an earlier manuscript, and we appreciate the constructive suggestions provided by journal reviewers P. Cawood and I. Dalziel.</t>
  </si>
  <si>
    <t>UNIV CHICAGO PRESS</t>
  </si>
  <si>
    <t>CHICAGO</t>
  </si>
  <si>
    <t>1427 E 60TH ST, CHICAGO, IL 60637-2954 USA</t>
  </si>
  <si>
    <t>0022-1376</t>
  </si>
  <si>
    <t>1537-5269</t>
  </si>
  <si>
    <t>J GEOL</t>
  </si>
  <si>
    <t>J. Geol.</t>
  </si>
  <si>
    <t>10.1086/656385</t>
  </si>
  <si>
    <t>Geology</t>
  </si>
  <si>
    <t>655CV</t>
  </si>
  <si>
    <t>WOS:000282221400002</t>
  </si>
  <si>
    <t>Heimeier, D; Lavery, S; Sewell, MA</t>
  </si>
  <si>
    <t>Heimeier, Dorothea; Lavery, Shane; Sewell, Mary A.</t>
  </si>
  <si>
    <t>Molecular Species Identification of Astrotoma agassizii from Planktonic Embryos: Further Evidence for a Cryptic Species Complex</t>
  </si>
  <si>
    <t>JOURNAL OF HEREDITY</t>
  </si>
  <si>
    <t>Antarctica; Astrotoma agassizii; brooding; cryptic species; Ross Sea biodiversity</t>
  </si>
  <si>
    <t>MEROPLANKTON COMMUNITY; LIFE-HISTORY; OCEAN BARRIERS; ROSS SEA; ASTEROIDEA</t>
  </si>
  <si>
    <t>The phrynophiurid brittle star Astrotoma agassizii is abundant in the cold temperate Magellanic region of South America and has a circumpolar Antarctic distribution. Three genetically distinct lineages were recently identified, with one in Antarctica geographically and genetically isolated from both South American lineages (Hunter R, Halanych KM. 2008. Evaluating connectivity in the brooding brittle star Astrotoma agassizii across the Drake Passage in the Southern Ocean. J Hered. 99:137-148.). Despite being an apparent brooding species, A. agassizii displayed a high genetic homogeneity at 2 mitochondrial markers (16s and COII) across a geographical range of more than 500 km along the Antarctic Peninsula. Here, using 16s ribosomal RNA sequences, we match a variety of early developmental stages (fertilized eggs, embryos; n = 12) collected from plankton samples in the Ross Sea to sequences of A. agassizii from the Antarctic Peninsula. The single 16s haplotype reported here is an identical match to one 16s haplotype found for A. agassizii from the Antarctic Peninsula, more than 5000 km away. Based on the regular occurrence of A. agassizii developmental stages in plankton samples, we propose that the Antarctic lineage of this species has a planktonic dispersive stage, with brooding restricted to the South American lineages. A different developmental mode would provide further evidence for cryptic speciation in this brittle star.</t>
  </si>
  <si>
    <t>[Heimeier, Dorothea; Lavery, Shane; Sewell, Mary A.] Univ Auckland, Sch Biol Sci, Auckland 1142, New Zealand</t>
  </si>
  <si>
    <t>University of Auckland</t>
  </si>
  <si>
    <t>Sewell, MA (corresponding author), Univ Auckland, Sch Biol Sci, Auckland 1142, New Zealand.</t>
  </si>
  <si>
    <t>m.sewell@auckland.ac.nz</t>
  </si>
  <si>
    <t>Sewell, Mary A/C-9017-2009; Lavery, Shane/AFX-7929-2022</t>
  </si>
  <si>
    <t>Sewell, Mary A/0000-0002-1595-7951; Lavery, Shane/0000-0003-3038-292X</t>
  </si>
  <si>
    <t>University of Auckland Research Committee; Ministry of Fisheries [ZBD 2002-02]</t>
  </si>
  <si>
    <t>University of Auckland Research Committee; Ministry of Fisheries</t>
  </si>
  <si>
    <t>University of Auckland Research Committee; Ministry of Fisheries (Contract ZBD 2002-02); the logistics support of Antarctica New Zealand.</t>
  </si>
  <si>
    <t>OXFORD UNIV PRESS INC</t>
  </si>
  <si>
    <t>CARY</t>
  </si>
  <si>
    <t>JOURNALS DEPT, 2001 EVANS RD, CARY, NC 27513 USA</t>
  </si>
  <si>
    <t>0022-1503</t>
  </si>
  <si>
    <t>1465-7333</t>
  </si>
  <si>
    <t>J HERED</t>
  </si>
  <si>
    <t>J. Hered.</t>
  </si>
  <si>
    <t>10.1093/jhered/esq074</t>
  </si>
  <si>
    <t>Evolutionary Biology; Genetics &amp; Heredity</t>
  </si>
  <si>
    <t>673VG</t>
  </si>
  <si>
    <t>WOS:000283691400012</t>
  </si>
  <si>
    <t>Sallaberry, MA; Yury-Yáñez, RE; Otero, RA; Soto-Acuña, S; Torres, T</t>
  </si>
  <si>
    <t>Sallaberry, Michel A.; Yury-Yanez, Roberto E.; Otero, Rodrigo A.; Soto-Acuna, Sergio; Torres G, Teresa</t>
  </si>
  <si>
    <t>EOCENE BIRDS FROM THE WESTERN MARGIN OF SOUTHERNMOST SOUTH AMERICA</t>
  </si>
  <si>
    <t>JOURNAL OF PALEONTOLOGY</t>
  </si>
  <si>
    <t>SEYMOUR ISLAND; PENGUINS; ANTARCTICA; RECORD; BIOGEOGRAPHY</t>
  </si>
  <si>
    <t>This study presents the first record of Eocene birds from the western margin of southernmost South America. Three localities in Magallanes, southern Chile, have yielded a total of eleven bird remains, including Sphenisciformes (penguins) and one record tentatively assigned to cf. Ardeidae (egrets). Two different groups of penguins have been recognized from these localities. The first group is similar in size to the smallest taxa previously described from Seymour Island, Marambiornis Myrcha et al., 2002, Mesetaornis Myrcha et al., 2002, and Delphinornis Wiman, 1905. The second recognized group is similar in size to the biggest taxa from Seymour Island; based on the available remains, we recognize the genus Palaeeudyptes Huxley, 1859, one of the most widespread penguin genera in the Southern Hemisphere during the Eocene. The stratigraphic context of the localities indicates a certain level of correlation with the geological units described on Seymour Island. The newly studied materials cast more light on the paleobiogeography of the group, extending the known ranges to the South American continent. In addition to the newly discovered birds, the presence of several taxa of elasmobranchs previously recovered exclusively from Eocene beds in the Southern Hemisphere help to clarify the age of the studied localities, widely discussed during the last decades. This paper verifies the presence of extensive Eocene sedimentary successions with fossil vertebrates along the western margin of southern South America, contrary to the previous assumption that such a record is lacking in Chile.</t>
  </si>
  <si>
    <t>[Sallaberry, Michel A.; Yury-Yanez, Roberto E.; Otero, Rodrigo A.; Soto-Acuna, Sergio] Univ Chile, Fac Ciencias, Dept Ciencias Ecol, Lab Zool Vertebrados, Santiago, Chile; [Otero, Rodrigo A.] Consejo Monumentos Nacl, Area Patrimonio Nat, Santiago, Chile; [Torres G, Teresa] Univ Chile, Fac Ciencias Agron, Santiago, Chile</t>
  </si>
  <si>
    <t>Universidad de Chile; Universidad de Chile</t>
  </si>
  <si>
    <t>Sallaberry, MA (corresponding author), Univ Chile, Fac Ciencias, Dept Ciencias Ecol, Lab Zool Vertebrados, Las Palmeras 3425, Santiago, Chile.</t>
  </si>
  <si>
    <t>msallabe@uchile.cl; robyury@ug.uchile.cl; paracrioceras@gmail.com; arcosaurio@gmail.com; terexylon@gmail.com</t>
  </si>
  <si>
    <t>Otero, Rodrigo/0000-0002-3046-2973; Soto Acuna, Sergio/0000-0002-9311-9355; Torres, Teresa/0000-0001-7900-4394</t>
  </si>
  <si>
    <t>Proyecto Bicentenario de Ciencia y Tecnologia Anillo Antartico, Conicyt, Chile [PBCT-ARTG-04]</t>
  </si>
  <si>
    <t>Proyecto Bicentenario de Ciencia y Tecnologia Anillo Antartico, Conicyt, Chile(Comision Nacional de Investigacion Cientifica y Tecnologica (CONICYT)CONICYT PIA/ANILLOS)</t>
  </si>
  <si>
    <t>This study was supported by the Antarctic Ring Bicentenary Project (Proyecto Bicentenario de Ciencia y Tecnologia Anillo Antartico, PBCT-ARTG-04, Conicyt, Chile), directed by Dr. T. Torres. Our special thanks to J. Maclean for his assistance with logistics, access to the outcrops and goodwill that allowed us to study Sierra Baguales. J. L. Oyarzun (Puerto Natales) is also thanked for his valuable support in the field, organizing the logistics and access, and for the collection of part of the materials. We thank C. Acosta Hospitaleche (Museo de la Plata) for sharing information and literature with us. J. P. Le Roux (Departmento de Geologia, Universidad de Chile) is thanked for checking the English of the manuscript. We are grateful to N. D. Pyenson (University of British Columbia) who made comments that significantly improved the manuscript. The comments of P. Jadwiszczak, C. P. Tambussi, G. Dyke and one anonymous reviewer were invaluable.</t>
  </si>
  <si>
    <t>CAMBRIDGE UNIV PRESS</t>
  </si>
  <si>
    <t>32 AVENUE OF THE AMERICAS, NEW YORK, NY 10013-2473 USA</t>
  </si>
  <si>
    <t>0022-3360</t>
  </si>
  <si>
    <t>1937-2337</t>
  </si>
  <si>
    <t>J PALEONTOL</t>
  </si>
  <si>
    <t>J. Paleontol.</t>
  </si>
  <si>
    <t>10.1666/09-157.1</t>
  </si>
  <si>
    <t>Paleontology</t>
  </si>
  <si>
    <t>679WA</t>
  </si>
  <si>
    <t>WOS:000284190300006</t>
  </si>
  <si>
    <t>Marschall, HR; Hawkesworth, CJ; Storey, CD; Dhuime, B; Leat, PT; Meyer, HP; Tamm-Buckle, S</t>
  </si>
  <si>
    <t>Marschall, Horst R.; Hawkesworth, Chris J.; Storey, Craig D.; Dhuime, Bruno; Leat, Philip T.; Meyer, Hans-Peter; Tamm-Buckle, Sune</t>
  </si>
  <si>
    <t>The Annandagstoppane Granite, East Antarctica: Evidence for Archaean Intracrustal Recycling in the Kaapvaal-Grunehogna Craton from Zircon O and Hf Isotopes</t>
  </si>
  <si>
    <t>JOURNAL OF PETROLOGY</t>
  </si>
  <si>
    <t>Hf model age; zircon O isotopes; Dronning Maud Land; Archaean; craton</t>
  </si>
  <si>
    <t>DRONNING-MAUD-LAND; BARBERTON GREENSTONE-BELT; GRENVILLE-AGE METAMORPHISM; BILLION YEARS AGO; U-PB; SOUTH-AFRICA; CRUSTAL EVOLUTION; KALAHARI CRATON; LU-HF; OXYGEN ISOTOPES</t>
  </si>
  <si>
    <t>The Grunehogna Craton (GC, East Antarctica) is interpreted as part of the Archaean Kaapvaal Craton of southern Africa prior to Gondwana breakup. The basement of the GC is exposed only within a small area comprising the dominantly leucocratic Annandagstoppane (ADT) S-type granite. The granite (and hence the craton) has been dated previously only by Rb-Sr and Pb-Pb mica and whole-rock methods. Here, the crystallization age of the granite is determined to be 3067 +/- 8 Ma by U-Pb dating of zircon. This age is coeval with that of granitoids and volcanic rocks in the Swaziland and Witwatersrand blocks of the Kaapvaal Craton. Inherited grains in the ADT granite have ages of up to 3433 +/- 7 Ma, and are the first evidence of Palaeoarchaean basement in Dronning Maud Land. The age spectrum of the inherited grains reflects well-known tectono-magmatic events in the Kaapvaal Craton and forms important evidence for the connection of the GC to the Kaapvaal Craton for at least 2 center dot 5 billion years and probably longer. Whole-rock chemistry and zircon O isotopes demonstrate a supracrustal sedimentary source for the granite, and Hf model ages show that at least two or three crustal sources contributed to the magma with model ages of similar to 3 center dot 50, similar to 3 center dot 75 and possibly similar to 3 center dot 90 Ga. The 3 center dot 1 Ga granites covering similar to 60% of the outcrop area of the Kaapvaal-Grunehogna Craton played a major role in the mechanical stabilization of the continental crust during the establishment of the craton in the Mesoarchaean. Combined zircon Hf-O isotope data and the lack of juvenile additions to the crust in the Mesoarchaean strongly suggest that crustal melting and granite formation was caused by the deep burial of clastic sediments and subsequent incubational heating of the crust. Intracrustal recycling of this type may be an important process during cratonization and the long-term stabilization of continental crust.</t>
  </si>
  <si>
    <t>[Marschall, Horst R.; Dhuime, Bruno] Univ Bristol, Dept Earth Sci, Bristol BS8 1RJ, Avon, England; [Hawkesworth, Chris J.] Univ St Andrews, St Andrews KY16 9AJ, Fife, Scotland; [Storey, Craig D.] Univ Portsmouth, Sch Earth &amp; Environm Sci, Portsmouth PO1 3QL, Hants, England; [Leat, Philip T.; Tamm-Buckle, Sune] British Antarctic Survey, Cambridge CB3 0ET, England; [Meyer, Hans-Peter] Heidelberg Univ, Inst Geowissensch, D-69120 Heidelberg, Germany</t>
  </si>
  <si>
    <t>University of Bristol; University of St Andrews; University of Portsmouth; UK Research &amp; Innovation (UKRI); Natural Environment Research Council (NERC); NERC British Antarctic Survey; Ruprecht Karls University Heidelberg</t>
  </si>
  <si>
    <t>Marschall, HR (corresponding author), Univ Bristol, Dept Earth Sci, Wills Mem Bldg,Queens Rd, Bristol BS8 1RJ, Avon, England.</t>
  </si>
  <si>
    <t>Horst.Marschall@bristol.ac.uk</t>
  </si>
  <si>
    <t>EIMF, EIMF/AAD-8512-2020; Dhuime, Bruno/A-6262-2016; Marschall, Horst/E-1661-2011; Storey, Craig/AAC-7832-2020</t>
  </si>
  <si>
    <t>EIMF, EIMF/0000-0001-6248-6657; Marschall, Horst/0000-0002-0609-682X; Storey, Craig/0000-0002-4945-7381; /0000-0002-4146-4739</t>
  </si>
  <si>
    <t>NERC Antarctic Funding Initiative [AFI7-03]; NERC [IMF364/1008]; Natural Environment Research Council [NE/E005225/1, bas0100026, IMF010001, NE/D008891/2] Funding Source: researchfish; NERC [IMF010001, NE/E005225/1, NE/D008891/2, bas0100026] Funding Source: UKRI</t>
  </si>
  <si>
    <t>NERC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</si>
  <si>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financially supported by the NERC Antarctic Funding Initiative (grant No. AFI7-03) and by a NERC analytical grant (grant No. IMF364/1008).</t>
  </si>
  <si>
    <t>0022-3530</t>
  </si>
  <si>
    <t>1460-2415</t>
  </si>
  <si>
    <t>J PETROL</t>
  </si>
  <si>
    <t>J. Petrol.</t>
  </si>
  <si>
    <t>10.1093/petrology/egq057</t>
  </si>
  <si>
    <t>673PP</t>
  </si>
  <si>
    <t>WOS:000283675700004</t>
  </si>
  <si>
    <t>Smith, JN; Ressler, PH; Warren, JD</t>
  </si>
  <si>
    <t>Smith, Joy N.; Ressler, Patrick H.; Warren, Joseph D.</t>
  </si>
  <si>
    <t>Material properties of euphausiids and other zooplankton from the Bering Sea</t>
  </si>
  <si>
    <t>JOURNAL OF THE ACOUSTICAL SOCIETY OF AMERICA</t>
  </si>
  <si>
    <t>POLLOCK THERAGRA-CHALCOGRAMMA; SOUND-SPEED; ACOUSTIC SCATTERING; PRIBILOF ISLANDS; ANTARCTIC KRILL; BACKSCATTERING; DENSITY; VARIABILITY; CONTRASTS; ABUNDANCE</t>
  </si>
  <si>
    <t>Acoustic assessment of Bering Sea euphausiids and their predators can provide useful data for ecosystem studies if the acoustic scattering characteristics of these animals are known. The amount of acoustic energy that is scattered by different marine zooplankton taxa is strongly affected by the contrast of the animal's density (g) and sound speed (h) with the surrounding seawater. Density and sound speed contrast were measured in the Bering Sea during the summer of 2008 for several different zooplankton and nekton taxa including: euphausiids (Thysanoessa inermis, Thysanoessa raschii, and Thysanoessa spinifera), copepods, amphipods, chaetognaths, gastropods, fish larvae, jellyfish, and squid. Density contrast values varied between different taxa as well as between individual animals within the same species. Sound speed contrast was measured for monospecific groups of animals and differences were found among taxa. The range, mean, and standard deviation of g and h for all euphausiid species were: g=1.001-1.041; 1.018 +/- 0.009 and h=0.990-1.017; 1.006 +/- 0.008. Changes in the relationship between euphausiid material properties and animal length, seawater temperature, seawater density, and geographic location were also evaluated. Results suggest that environmental conditions at different sample locations led to significant differences in animal density and material properties. (C) 2010 Acoustical Society of America. [DOI: 10.1121/1.3488673]</t>
  </si>
  <si>
    <t>[Smith, Joy N.; Warren, Joseph D.] SUNY Stony Brook, Sch Marine &amp; Atmospher Sci, Southampton, NY 11968 USA; [Ressler, Patrick H.] NOAA, Natl Marine Fisheries Serv, Alaska Fisheries Sci Ctr, Resource Assessment &amp; Conservat Engn Div, Seattle, WA 98115 USA</t>
  </si>
  <si>
    <t>State University of New York (SUNY) System; State University of New York (SUNY) Stony Brook; National Oceanic Atmospheric Admin (NOAA) - USA</t>
  </si>
  <si>
    <t>Warren, JD (corresponding author), SUNY Stony Brook, Sch Marine &amp; Atmospher Sci, 239 Montauk Highway, Southampton, NY 11968 USA.</t>
  </si>
  <si>
    <t>joe.warren@stonybrook.edu</t>
  </si>
  <si>
    <t>Warren, Joseph/Y-4078-2019</t>
  </si>
  <si>
    <t>Alaska Fisheries Science Center; National Marine Fisheries Service; NOAA; North Pacific Research Board</t>
  </si>
  <si>
    <t>Alaska Fisheries Science Center; National Marine Fisheries Service; NOAA(National Oceanic Atmospheric Admin (NOAA) - USA); North Pacific Research Board</t>
  </si>
  <si>
    <t>This project was supported by the Alaska Fisheries Science Center, National Marine Fisheries Service, NOAA, and the North Pacific Research Board's Bering Sea Integrated Ecosystem Research Program. The captain, crew, and scientists aboard the NOAA ship Oscar Dyson provided excellent logistical support and sampling assistance. Abigail McCarthy helped us greatly with the set up and maintenance of the on board aquaria as well as with the trawl sampling operations. We acknowledge the taxonomic advice of Elaina Jorgensen (squid) and Claudia Mills (hydromedusae). We would like to thank Alex De Robertis and Neal Williamson for their comments and suggestions on this manuscript.</t>
  </si>
  <si>
    <t>ACOUSTICAL SOC AMER AMER INST PHYSICS</t>
  </si>
  <si>
    <t>MELVILLE</t>
  </si>
  <si>
    <t>STE 1 NO 1, 2 HUNTINGTON QUADRANGLE, MELVILLE, NY 11747-4502 USA</t>
  </si>
  <si>
    <t>0001-4966</t>
  </si>
  <si>
    <t>1520-8524</t>
  </si>
  <si>
    <t>J ACOUST SOC AM</t>
  </si>
  <si>
    <t>J. Acoust. Soc. Am.</t>
  </si>
  <si>
    <t>10.1121/1.3488673</t>
  </si>
  <si>
    <t>Acoustics; Audiology &amp; Speech-Language Pathology</t>
  </si>
  <si>
    <t>685GT</t>
  </si>
  <si>
    <t>WOS:000284617900037</t>
  </si>
  <si>
    <t>Straza, TRA; Ducklow, HW; Murray, AE; Kirchman, DL</t>
  </si>
  <si>
    <t>Straza, Tiffany R. A.; Ducklow, Hugh W.; Murray, Alison E.; Kirchman, David L.</t>
  </si>
  <si>
    <t>Abundance and single-cell activity of bacterial groups in Antarctic coastal waters</t>
  </si>
  <si>
    <t>LIMNOLOGY AND OCEANOGRAPHY</t>
  </si>
  <si>
    <t>DISSOLVED ORGANIC-MATTER; IN-SITU HYBRIDIZATION; WESTERN ARCTIC-OCEAN; BIOMASS PRODUCTION; MARINE BACTERIOPLANKTON; LEUCINE INCORPORATION; DELAWARE ESTUARY; SOUTHERN-OCEAN; ATLANTIC-OCEAN; NORTH-SEA</t>
  </si>
  <si>
    <t>We estimated the abundance and single-cell activity of bacterial groups in waters off the West Antarctic Peninsula (WAP) using a combination of microautoradiography and fluorescent in situ hybridization (FISH). The abundance of the Ant4D3 subgroup, detected by a new FISH probe, was 10% of the total community and half of the gammaproteobacterial population. The Ant4D3, Polaribacter, and SAR11 subgroups accounted for the majority of the Gammaproteobacteria, Sphingobacteria-Flavobacteria, and Alphaproteobacteria, respectively. Approximately 40% of the total microbial community actively incorporated leucine (added at 20 nmol L-1), while a smaller fraction (12-22%) used protein and an amino acid mixture (added at tracer concentrations). The fractions of SAR11, Polaribacter, and Ant4D3 that were active differed from each other and varied among substrates. SAR11 had the largest fraction of active cells incorporating leucine, while Polaribacter dominated the community using protein. The fraction of Ant4D3 using different compounds did not vary, but this group dominated the incorporation of amino acids, and was an abundant and active component of the bacterial community. Bacteria in the WAP region were as active as bacteria in the Mid-Atlantic Bight, even though total bacterial production was lower in the WAP. Though persistently cold (0-1 degrees C) and dominated by different bacterial taxa, the single-cell activity of this summertime Antarctic bacterial community was comparable to that of temperate communities.</t>
  </si>
  <si>
    <t>[Straza, Tiffany R. A.; Kirchman, David L.] Univ Delaware, Sch Marine Sci &amp; Policy, Lewes, DE 19958 USA; [Ducklow, Hugh W.] Marine Biol Lab, Ctr Ecosyst, Woods Hole, MA 02543 USA; [Murray, Alison E.] Univ Nevada, Desert Res Inst, Reno, NV 89506 USA</t>
  </si>
  <si>
    <t>University of Delaware; Marine Biological Laboratory - Woods Hole; Nevada System of Higher Education (NSHE); Desert Research Institute NSHE; University of Nevada Reno</t>
  </si>
  <si>
    <t>Kirchman, DL (corresponding author), Univ Delaware, Sch Marine Sci &amp; Policy, Lewes, DE 19958 USA.</t>
  </si>
  <si>
    <t>kirchman@udel.edu</t>
  </si>
  <si>
    <t>Straza, Tiffany/0000-0002-1129-1080</t>
  </si>
  <si>
    <t>National Science Foundation Office of Polar Programs (OPP) [0217282, 0823101, 0632233]; Directorate For Geosciences; Office of Polar Programs (OPP) [0823101, 0632233, 0217282] Funding Source: National Science Foundation</t>
  </si>
  <si>
    <t>National Science Foundation Office of Polar Programs (OPP)(National Science Foundation (NSF)); Directorate For Geosciences; Office of Polar Programs (OPP)(National Science Foundation (NSF)NSF - Directorate for Geosciences (GEO))</t>
  </si>
  <si>
    <t>We thank M. Cottrell for assistance with designing the Ant4D3 probe and Raytheon Polar Services personnel for assistance with sampling. We also thank two anonymous reviewers for their helpful comments. This work was conducted aboard Palmer Long-Term Ecological Research (LTER) Cruise 0701, and was supported by National Science Foundation Office of Polar Programs (OPP) grants 0217282 and 0823101 to H. W. D. and OPP 0632233 to D. L. K.</t>
  </si>
  <si>
    <t>WILEY</t>
  </si>
  <si>
    <t>0024-3590</t>
  </si>
  <si>
    <t>1939-5590</t>
  </si>
  <si>
    <t>LIMNOL OCEANOGR</t>
  </si>
  <si>
    <t>Limnol. Oceanogr.</t>
  </si>
  <si>
    <t>10.4319/lo.2010.55.6.2526</t>
  </si>
  <si>
    <t>Limnology; Oceanography</t>
  </si>
  <si>
    <t>Marine &amp; Freshwater Biology; Oceanography</t>
  </si>
  <si>
    <t>728AE</t>
  </si>
  <si>
    <t>WOS:000287844700024</t>
  </si>
  <si>
    <t>Staniland, IJ; Gales, N; Warren, NL; Robinson, SL; Goldsworthy, SD; Casper, RM</t>
  </si>
  <si>
    <t>Staniland, I. J.; Gales, N.; Warren, N. L.; Robinson, S. L.; Goldsworthy, S. D.; Casper, R. M.</t>
  </si>
  <si>
    <t>Geographical variation in the behaviour of a central place forager: Antarctic fur seals foraging in contrasting environments</t>
  </si>
  <si>
    <t>MARINE BIOLOGY</t>
  </si>
  <si>
    <t>ARCTOCEPHALUS-GAZELLA PETERS; BREEDING-SEASON; PUP PRODUCTION; DIET; VARIABILITY; TIME; ANESTHESIA; ALLOCATION; ENERGETICS; LOCATION</t>
  </si>
  <si>
    <t>Foragers show adaptive responses to changes within their environment, and such behavioural plasticity can be a significant driving force in speciation. We investigated how lactating Antarctic fur seals, Arctocephalus gazella, adapt their foraging within two contrasting ecosystems. Location and diving data were collected concurrently, between December 2003 and February 2004, from 43 seals at Bird Island, where krill, Euphausia superba, are the main prey, and 39 at Heard Island, where mostly fish are consumed. Seals at Heard Island were shorter and lighter than those at Bird Island and they spent longer at sea, dived more frequently and spent more time in the bottom phase of dives. Generalized additive mixed effects models showed that diving behaviours differed between the islands. Both populations exploited diel vertically migrating prey species but, on average, Heard Island seals dived deeper and exceeded their estimated aerobic dive limits. We propose that the recovery of the Heard Island population may be limited by the relative inaccessibility and scarcity of food, whereas at Bird Island, the presence of abundant krill resources helps sustain extremely high numbers of seals, even with increased intra- and inter-specific competition. Both populations of fur seals appear to be constrained by their physiological limits, in terms of their optimal diving behaviour. However, there does appear to be some flexibility in strategy at the level of trip with animals adjusting their time at sea and foraging effort, in order to maximize the rate of delivery of energy to their pups.</t>
  </si>
  <si>
    <t>[Staniland, I. J.; Warren, N. L.; Robinson, S. L.] British Antarctic Survey, NERC, High Cross,Madingley Rd, Cambridge CB3 0ET, England; [Gales, N.; Casper, R. M.] Australian Antarctic Div, Kingston, Tas 7050, Australia; [Goldsworthy, S. D.] Aquat Sci Ctr, S Australian Res &amp; Dev Inst, W Beach, SA 5024, Australia; [Casper, R. M.] Univ Tasmania, Sch Zool, Antarctic Wildlife Res Unit, Hobart, Tas 7001, Australia</t>
  </si>
  <si>
    <t>UK Research &amp; Innovation (UKRI); Natural Environment Research Council (NERC); NERC British Antarctic Survey; Australian Antarctic Division; University of Tasmania</t>
  </si>
  <si>
    <t>Staniland, IJ (corresponding author), British Antarctic Survey, NERC, High Cross,Madingley Rd, Cambridge CB3 0ET, England.</t>
  </si>
  <si>
    <t>ijst@bas.ac.uk</t>
  </si>
  <si>
    <t>Staniland, Iain/I-4725-2012</t>
  </si>
  <si>
    <t>Staniland, Iain/0000-0003-2736-9134; Goldsworthy, Simon/0000-0003-4988-9085</t>
  </si>
  <si>
    <t>SPRINGER HEIDELBERG</t>
  </si>
  <si>
    <t>HEIDELBERG</t>
  </si>
  <si>
    <t>TIERGARTENSTRASSE 17, D-69121 HEIDELBERG, GERMANY</t>
  </si>
  <si>
    <t>0025-3162</t>
  </si>
  <si>
    <t>1432-1793</t>
  </si>
  <si>
    <t>MAR BIOL</t>
  </si>
  <si>
    <t>Mar. Biol.</t>
  </si>
  <si>
    <t>10.1007/s00227-010-1503-8</t>
  </si>
  <si>
    <t>662RJ</t>
  </si>
  <si>
    <t>WOS:000282828900004</t>
  </si>
  <si>
    <t>Gwak, IG; Jung, WS; Kim, HJ; Kang, SH; Jin, E</t>
  </si>
  <si>
    <t>Gwak, In Gyu; Jung, Woong Sic; Kim, Hak Jun; Kang, Sung-Ho; Jin, EonSeon</t>
  </si>
  <si>
    <t>Antifreeze Protein in Antarctic Marine Diatom, Chaetoceros neogracile</t>
  </si>
  <si>
    <t>MARINE BIOTECHNOLOGY</t>
  </si>
  <si>
    <t>Antifreeze protein; Antarctic marine diatom; Chaetoceros neogracile; Thermal hysteresis</t>
  </si>
  <si>
    <t>THERMAL HYSTERESIS PROTEIN; ICE-BINDING PROTEINS; RICH-REPEAT PROTEIN; SEA-ICE; BITTERSWEET NIGHTSHADE; EXPRESSION; COLD; CLONING; PLANT; SURVIVAL</t>
  </si>
  <si>
    <t>The antifreeze protein gene (Cn-AFP) from the Antarctic marine diatom, Chaetoceros neogracile was cloned and characterized. The full-length Cn-AFP cDNA contained an open reading frame of 849 bp and the deduced 282 amino acid peptide chain encodes a 29.2 kDa protein, which includes a signal peptide of 30 amino acids at the N terminus. Both the Cn-AFP coding region with and without the signal sequence were cloned and expressed in Escherichia coli. Recombinant Cn-AFPs were shown to display antifreeze activities based on measuring the thermal hysteresis and modified morphology of single ice crystals. Recombinant mature Cn-AFP showed 16-fold higher thermal hysteresis activity than that of pre-mature Cn-AFP at the same concentration. The ice crystal shape changed to an elongated hexagonal shape in the presence of the recombinant mature Cn-AFP, while single ice crystal showed a circular disk shape in absence of Cn-AFP. Northern analysis demonstrated a dramatic accumulation of Cn-AFP transcripts when the cells were subjected to freezing stress. This rapid response to freeze stress, and the antifreeze activity of recombinant Cn-AFPs, indicates that Cn-AFP plays an important role in low temperature adaptation.</t>
  </si>
  <si>
    <t>[Gwak, In Gyu; Jung, Woong Sic; Jin, EonSeon] Hanyang Univ, Dept Life Sci, Res Inst Nat Sci, Seoul 133791, South Korea; [Kim, Hak Jun; Kang, Sung-Ho] Korea Polar Res Inst, Inchon, South Korea</t>
  </si>
  <si>
    <t>Hanyang University; Korea Polar Research Institute (KOPRI); Korea Institute of Ocean Science &amp; Technology (KIOST)</t>
  </si>
  <si>
    <t>Jin, E (corresponding author), Hanyang Univ, Dept Life Sci, Res Inst Nat Sci, Seoul 133791, South Korea.</t>
  </si>
  <si>
    <t>esjin@hanyang.ac.kr</t>
  </si>
  <si>
    <t>Jin, EonSeon/AAW-6839-2020</t>
  </si>
  <si>
    <t>Jin, EonSeon/0000-0001-5691-0124</t>
  </si>
  <si>
    <t>Korean Government (MOST) [R01-2006-000-10856-0]</t>
  </si>
  <si>
    <t>Korean Government (MOST)(Ministry of Science &amp; Technology (MOST), Republic of KoreaKorean Government)</t>
  </si>
  <si>
    <t>This work was supported by Grant No. R01-2006-000-10856-0 from the Korean Science and Engineering Foundation (KOSEF) funded by the Korean Government (MOST).</t>
  </si>
  <si>
    <t>ONE NEW YORK PLAZA, SUITE 4600, NEW YORK, NY, UNITED STATES</t>
  </si>
  <si>
    <t>1436-2228</t>
  </si>
  <si>
    <t>1436-2236</t>
  </si>
  <si>
    <t>MAR BIOTECHNOL</t>
  </si>
  <si>
    <t>Mar. Biotechnol.</t>
  </si>
  <si>
    <t>10.1007/s10126-009-9250-x</t>
  </si>
  <si>
    <t>Biotechnology &amp; Applied Microbiology; Marine &amp; Freshwater Biology</t>
  </si>
  <si>
    <t>685BM</t>
  </si>
  <si>
    <t>WOS:000284599000002</t>
  </si>
  <si>
    <t>Berkson, JM; Allen, AA; Murphy, DL; Boda, KJ</t>
  </si>
  <si>
    <t>Berkson, Jonathan M.; Allen, Arthur A.; Murphy, Donald L.; Boda, Kenneth J.</t>
  </si>
  <si>
    <t>Integrated Ocean Observing System (IOOS®) Supports Marine Operations: A Look from the US Coast Guard</t>
  </si>
  <si>
    <t>MARINE TECHNOLOGY SOCIETY JOURNAL</t>
  </si>
  <si>
    <t>Coast Guard; Arctic; Data buoy; Icebreakers; Polar</t>
  </si>
  <si>
    <t>The U.S. Coast Guard (USCG) is primarily a user of ocean observations but is also a provider of observations especially in high-latitude regions. USCG has a long history of making ocean observations for mission activities and in support of other federal agencies. USCG uses the Integrated Ocean Observing System (IOOS (R)) to understand maritime conditions while conducting the Coast Guard's roles of Maritime Safety, Maritime Security, and Maritime Stewardship. IOOS data are critical in planning search and rescue operations, ensuring safe navigation at high latitudes, responding to oil and hazardous spills, providing vessel traffic services, and maintaining maritime domain awareness (MDA). The International Ice Patrol makes and uses ocean observations to estimate drift and deterioration of icebergs. The North American Ice Service products are needed in polar and domestic ice operations. The National Oceanic Atmospheric Administration and the USCG are developing a way to disseminate the Physical Oceanographic Real-Time System data via the USCG Automatic Identification System. The Coast Guard provides personnel and vessel support for the National Data Buoy Center observational program, a component of the IOOS. Many key oceanographic, biologic, and geologic discoveries in the Arctic and Antarctic have been made from Coast Guard cutters. As oceanographic data acquisition moves from vessel observations to satellite remote sensing and unmanned in situ data acquisition systems, the USCG will continue to support this effort.</t>
  </si>
  <si>
    <t>[Berkson, Jonathan M.] US Coast Guard, Off Marine Transportat Syst, Washington, DC USA; [Allen, Arthur A.] US Coast Guard, Off Search &amp; Rescue, Washington, DC USA; [Boda, Kenneth J.] US Coast Guard, Off Strateg Anal, Washington, DC USA</t>
  </si>
  <si>
    <t>Berkson, JM (corresponding author), US Coast Guard, Off Marine Transportat Syst, Washington, DC USA.</t>
  </si>
  <si>
    <t>Jonathan.M.Berkson@uscg.mil</t>
  </si>
  <si>
    <t>MARINE TECHNOLOGY SOC INC</t>
  </si>
  <si>
    <t>COLUMBIA</t>
  </si>
  <si>
    <t>5565 STERRETT PLACE, STE 108, COLUMBIA, MD 21044 USA</t>
  </si>
  <si>
    <t>0025-3324</t>
  </si>
  <si>
    <t>1948-1209</t>
  </si>
  <si>
    <t>MAR TECHNOL SOC J</t>
  </si>
  <si>
    <t>Mar. Technol. Soc. J.</t>
  </si>
  <si>
    <t>10.4031/MTSJ.44.6.22</t>
  </si>
  <si>
    <t>Engineering, Ocean; Oceanography</t>
  </si>
  <si>
    <t>Engineering; Oceanography</t>
  </si>
  <si>
    <t>712FG</t>
  </si>
  <si>
    <t>hybrid</t>
  </si>
  <si>
    <t>WOS:000286649500020</t>
  </si>
  <si>
    <t>Kelly, LC; Cockell, CS; Piceno, YM; Andersen, GL; Thorsteinsson, T; Marteinsson, V</t>
  </si>
  <si>
    <t>Kelly, Laura C.; Cockell, Charles S.; Piceno, Yvette M.; Andersen, Gary L.; Thorsteinsson, Thorsteinn; Marteinsson, Viggo</t>
  </si>
  <si>
    <t>Bacterial Diversity of Weathered Terrestrial Icelandic Volcanic Glasses</t>
  </si>
  <si>
    <t>MICROBIAL ECOLOGY</t>
  </si>
  <si>
    <t>MICROBIAL COMMUNITY SUCCESSION; DISSOLUTION RATES; BASALTIC GLASS; DNA; 25-DEGREES-C; POLYMORPHISM; POPULATIONS; MICROARRAY; PALAGONITE; MECHANISM</t>
  </si>
  <si>
    <t>The diversity of microbial communities inhabiting two terrestrial volcanic glasses of contrasting mineralogy and age was characterised. Basaltic glass from a &lt;0.8 Ma hyaloclastite deposit (Valafell) harboured a more diverse Bacteria community than the younger rhyolitic glass from similar to 150-300 AD (Domadalshraun lava flow). Actinobacteria dominated 16S rRNA gene clone libraries from both sites, however, Proteobacteria, Acidobacteria and Cyanobacteria were also numerically abundant in each. A significant proportion (15-34%) of the sequenced clones displayed &lt;85% sequence similarities with current database sequences, thus suggesting the presence of novel microbial diversity in each volcanic glass. The majority of clone sequences shared the greatest similarity to uncultured organisms, mainly from soil environments, among these clones from Antarctic environments and Hawaiian and Andean volcanic deposits. Additionally, a large number of clones within the Cyanobacteria and Proteobacteria were more similar to sequences from other lithic environments, included among these Icelandic clones from crystalline basalt and rhyolite, however, no similarities to sequences reported from marine volcanic glasses were observed. PhyloChip analysis detected substantially greater numbers of phylotypes at both sites than the corresponding clone libraries, but nonetheless also identified the basaltic glass community as the richer, containing approximately 29% unique phylotypes compared to rhyolitic glass.</t>
  </si>
  <si>
    <t>[Kelly, Laura C.; Cockell, Charles S.] Open Univ, Geomicrobiol Res Grp, Planetary &amp; Space Sci Res Inst, Milton Keynes MK7 6AA, Bucks, England; [Piceno, Yvette M.; Andersen, Gary L.] Univ Calif Berkeley, Lawrence Berkeley Lab, Div Earth Sci, Dept Ecol, Berkeley, CA 94720 USA; [Thorsteinsson, Thorsteinn] Natl Energy Author, Hydrol Div, IS-108 Reykjavik, Iceland; [Marteinsson, Viggo] Matis Ohf Iceland Food &amp; Biotech R&amp;D, IS-113 Reykjavik, Iceland</t>
  </si>
  <si>
    <t>Open University - UK; University of California System; University of California Berkeley; United States Department of Energy (DOE); Lawrence Berkeley National Laboratory</t>
  </si>
  <si>
    <t>Kelly, LC (corresponding author), Open Univ, Geomicrobiol Res Grp, Planetary &amp; Space Sci Res Inst, Milton Keynes MK7 6AA, Bucks, England.</t>
  </si>
  <si>
    <t>laura.kelly@open.ac.uk</t>
  </si>
  <si>
    <t>Kelly, Laura/JDM-8939-2023; Piceno, Yvette M/I-6738-2016; Kelly, Laura/AAJ-9072-2020; Andersen, Gary/G-2792-2015</t>
  </si>
  <si>
    <t>Kelly, Laura/0000-0003-2020-146X; Marteinsson, Viggo/0000-0001-8340-821X; Piceno, Yvette/0000-0002-7915-4699; Andersen, Gary/0000-0002-1618-9827</t>
  </si>
  <si>
    <t>Leverhulme Trust [F/00 269/N]; Science and Technology Facilities Council [ST/F003102/1] Funding Source: researchfish; STFC [ST/F003102/1] Funding Source: UKRI</t>
  </si>
  <si>
    <t>Leverhulme Trust(Leverhulme Trust); Science and Technology Facilities Council(UK Research &amp; Innovation (UKRI)Science &amp; Technology Facilities Council (STFC)); STFC(UK Research &amp; Innovation (UKRI)Science &amp; Technology Facilities Council (STFC))</t>
  </si>
  <si>
    <t>This work was made possible and supported by the Leverhulme Trust (project number F/00 269/N). We thank Andy Tindle for the provision of the microprobe facilities (Department of Earth Science, Open University, UK). The authors are also grateful to Steve Blake and Steve Self (Earth and Environmental Sciences, Open University, UK) for helpful discussions and advice, and to Steve Summers for performing the analysis of similarity (Planetary and Space Sciences Research Institute, Open University, UK).</t>
  </si>
  <si>
    <t>0095-3628</t>
  </si>
  <si>
    <t>1432-184X</t>
  </si>
  <si>
    <t>MICROB ECOL</t>
  </si>
  <si>
    <t>Microb. Ecol.</t>
  </si>
  <si>
    <t>10.1007/s00248-010-9684-8</t>
  </si>
  <si>
    <t>Ecology; Marine &amp; Freshwater Biology; Microbiology</t>
  </si>
  <si>
    <t>Environmental Sciences &amp; Ecology; Marine &amp; Freshwater Biology; Microbiology</t>
  </si>
  <si>
    <t>680SW</t>
  </si>
  <si>
    <t>Green Accepted</t>
  </si>
  <si>
    <t>WOS:000284255700005</t>
  </si>
  <si>
    <t>Caroli, S; Bottoni, P</t>
  </si>
  <si>
    <t>Caroli, Sergio; Bottoni, Paola</t>
  </si>
  <si>
    <t>Survey on minor and trace elements in Antarctic and Arctic biota as indicators of local and global-scale pollution</t>
  </si>
  <si>
    <t>MICROCHEMICAL JOURNAL</t>
  </si>
  <si>
    <t>Trace elements; Polar chemistry; Antarctic; Arctic; Biota; Environmental pollution; Polar regions</t>
  </si>
  <si>
    <t>CERTIFIED REFERENCE MATERIAL; KING-GEORGE ISLAND; METAL CONCENTRATIONS; ADAMUSSIUM-COLBECKI; HEAVY-METALS; SEAL HAIRS; MERCURY; BIOINDICATOR; TERRESTRIAL; VARIABILITY</t>
  </si>
  <si>
    <t>Trace and minor elements in biota in the extreme regions of the planet (Antarctic, Arctic and related areas) play a pivotal role to assess global pollution and climate changes. The relevant scientific literature was scanned over the period 1978-2008 and the most recent trends in polar research in this field were outlined. In this context, two aspects were found to be of paramount importance, i.e.. the role of sentinel organisms in monitoring ongoing processes of environmental pollution caused by chemical elements and the implementation of quality systems to attach credibility to experimental information. (C) 2010 Elsevier B.V. All rights reserved.</t>
  </si>
  <si>
    <t>[Caroli, Sergio; Bottoni, Paola] Ist Super Sanita, I-00161 Rome, Italy</t>
  </si>
  <si>
    <t>Istituto Superiore di Sanita (ISS)</t>
  </si>
  <si>
    <t>Caroli, S (corresponding author), Ist Super Sanita, Viale Regina Elena 299, I-00161 Rome, Italy.</t>
  </si>
  <si>
    <t>caroli@iss.it; paola.bottoni@iss.it</t>
  </si>
  <si>
    <t>ELSEVIER</t>
  </si>
  <si>
    <t>RADARWEG 29, 1043 NX AMSTERDAM, NETHERLANDS</t>
  </si>
  <si>
    <t>0026-265X</t>
  </si>
  <si>
    <t>1095-9149</t>
  </si>
  <si>
    <t>MICROCHEM J</t>
  </si>
  <si>
    <t>Microchem J.</t>
  </si>
  <si>
    <t>10.1016/j.microc.2010.07.004</t>
  </si>
  <si>
    <t>663ZX</t>
  </si>
  <si>
    <t>WOS:000282929800002</t>
  </si>
  <si>
    <t>A new Antarctic certified reference material for trace elements: Adamussium colbecki</t>
  </si>
  <si>
    <t>Certified reference materials; Antarctica; Adamussium colbecki; Trace elements; Arsenic; Cadmium; Copper; Chromium; Iron; Manganese; Nickel; Zinc; Analytical techniques</t>
  </si>
  <si>
    <t>The certification of a new reference material for trace elements based on the Antarctic bivalve Adamussium colbecki is reported. This certified reference material (CRM), labelled IRMM 813, was produced in the frame of the Italian National Program for Research in Antarctica (Programma Nazionale di Ricerca in Antartide, PNRA). About 40 kg of the scallop were collected at Terra Nova Bay (Ross Sea). The raw material was freeze-dried, jet-milled and homogenized so as to make it suitable for certification. The elements selected for the certification project were As, Cd, Cu, Cr, Fe, Mn, Ni and Zn. Homogeneity and short- and long-term stability were preliminarily investigated so as to assess the suitability of the freeze-dried mass as a candidate CRM. The candidate material was found to be fit for purpose, thus allowing the following phases of the certification project to be undertaken, in the first place the selection of expert laboratories for the accomplishment of the certification campaign. Eighteen laboratories from twelve countries accepted to participate in the certification project which thus could be successfully completed. (C) 2010 Elsevier B.V. All rights reserved.</t>
  </si>
  <si>
    <t>10.1016/j.microc.2010.06.016</t>
  </si>
  <si>
    <t>WOS:000282929800003</t>
  </si>
  <si>
    <t>Turetta, C; Barbante, C; Capodaglio, G; Gambaro, A; Cescon, P</t>
  </si>
  <si>
    <t>Turetta, Clara; Barbante, Carlo; Capodaglio, Gabriele; Gambaro, Andrea; Cescon, Paolo</t>
  </si>
  <si>
    <t>The distribution of dissolved thallium in the different water masses of the western sector of the Ross Sea (Antarctica) during the austral summer</t>
  </si>
  <si>
    <t>Thallium; Ross Sea; Seawater; Reactive component; Non-conservative behaviour; Depth profile</t>
  </si>
  <si>
    <t>SOUTHWEST GUIZHOU; TRACE-METALS; FRESH-WATER; SEAWATER; CIRCULATION; SPECIATION; COMPLEXATION; MODEL</t>
  </si>
  <si>
    <t>Vertical profiles for total dissolved thallium were obtained at five sites in the western sector of the Ross Sea (Southern Ocean), Antarctica. Thallium is estimated to have a natural mean seawater concentration between 50 and 65 pmol L-1 with higher values in the North Pacific (65 +/- 5 pmol L-1) and lower in the Bay of Biscay and Irish Sea (49 +/- 3 pmol L-1). Our samples show a concentration varying from 22 to 55 pmol L-1 with a mean value of 46 pmol L-1, depending on depth, dissolved oxygen, salinity and local topographic characteristics. The analyses were performed using an ICP-SFMS that has enabled us to obtain reliable Tl concentration measurements with a relative standard deviation of better than 2.5% and a detection limit, calculated as three times the standard deviation of the blank signal of 0.69 pmol L-1(1.60 pmol L-1, obtained analysing four blank solutions (n=5) prepared with the same water and acid used for the dilution/acidification steps). Thallium appears to have a nearly conservative distribution in seawater as highlighted also from the comparison with the profiles of two seawater conservative elements: molybdenum and uranium; however it also highlights the presence of a reactive component of thallium, which is more influenced by the presence of particulate matter, oxygen content and fluorescence. (C) 2009 Elsevier B.V. All rights reserved.</t>
  </si>
  <si>
    <t>[Turetta, Clara; Barbante, Carlo; Capodaglio, Gabriele; Gambaro, Andrea; Cescon, Paolo] CNR, Inst Dynam Environm Proc, I-30123 Venice, Italy; [Barbante, Carlo; Capodaglio, Gabriele; Gambaro, Andrea; Cescon, Paolo] Univ Ca Foscari, Dept Environm Sci, I-30123 Venice, Italy</t>
  </si>
  <si>
    <t>Consiglio Nazionale delle Ricerche (CNR); Istituto per la Dinamica dei Processi Ambientali (IDPA-CNR); Universita Ca Foscari Venezia</t>
  </si>
  <si>
    <t>Turetta, C (corresponding author), CNR, Inst Dynam Environm Proc, Dorsoduro 2137, I-30123 Venice, Italy.</t>
  </si>
  <si>
    <t>clara.turetta@idpa.cnr.it</t>
  </si>
  <si>
    <t>Turetta, Clara/O-2849-2015; Capodaglio, Gabriele/D-5295-2014; Barbante, Carlo/B-3195-2011</t>
  </si>
  <si>
    <t>Turetta, Clara/0000-0003-3130-2901; Capodaglio, Gabriele/0000-0002-3689-4865; Barbante, Carlo/0000-0003-4177-2288; Cescon, Paolo/0000-0003-1836-6759</t>
  </si>
  <si>
    <t>Italian National Antarctic Research Programme (PNRA)</t>
  </si>
  <si>
    <t>This work was financially supported by the Italian National Antarctic Research Programme (PNRA). We are indebted to all the crew of R/V Italica for their help in sampling operations. We are also grateful to the scientists of the Sector 8 Oceanography for physical parameter measurements.</t>
  </si>
  <si>
    <t>10.1016/j.microc.2009.07.014</t>
  </si>
  <si>
    <t>WOS:000282929800004</t>
  </si>
  <si>
    <t>Ianni, C; Magi, E; Soggia, F; Rivaro, P; Frache, R</t>
  </si>
  <si>
    <t>Ianni, C.; Magi, E.; Soggia, F.; Rivaro, P.; Frache, R.</t>
  </si>
  <si>
    <t>Trace metal speciation in coastal and off-shore sediments from Ross Sea (Antarctica)</t>
  </si>
  <si>
    <t>Sediments; Trace metals; Antarctica; Speciation</t>
  </si>
  <si>
    <t>TERRA-NOVA BAY; SEQUENTIAL EXTRACTION PROCEDURE; HEAVY-METALS; MARINE-ENVIRONMENT; MCMURDO SOUND; CONTAMINATION; ELEMENTS; DYNAMICS; SOIL</t>
  </si>
  <si>
    <t>The information on total metal concentration in sediments is not sufficient to assess the metal behaviour in the environment, while speciation studies are more effective in estimating environmental impact of contaminated sediments. Concerning metal distribution in Antarctic marine sediments, several studies reported total or extractable (by means of a unique reagent) content, but only few publications dealt with metal speciation. This work presents the total content and speciation pattern of Al, Cd, Cr, Cu, Fe, Mn, Ni, Pb and Zn in 12 cm sediment cores, sampled both in coastal and off-shore sites of the Ross Sea shelf area, within the framework of the Italian National Antarctic Programme (PNRA). The total content results of metals are comparable with the background values and the speciation highlights good environmental quality of the studied areas. Only Cd and Pb, in fact, are present in significative amount in non residual phases (acid-extractable and reducible, respectively). (C) 2009 Elsevier B.V. All rights reserved.</t>
  </si>
  <si>
    <t>[Ianni, C.; Magi, E.; Soggia, F.; Rivaro, P.; Frache, R.] Univ Genoa, Dipartimento Chim &amp; Chim Ind, I-16146 Genoa, Italy</t>
  </si>
  <si>
    <t>University of Genoa</t>
  </si>
  <si>
    <t>Ianni, C (corresponding author), Univ Genoa, Dipartimento Chim &amp; Chim Ind, Via Dodecaneso 31, I-16146 Genoa, Italy.</t>
  </si>
  <si>
    <t>ianni@chimica.unige.it</t>
  </si>
  <si>
    <t>Rivaro, Paola/I-8305-2012; Magi, Emanuele/C-9564-2011</t>
  </si>
  <si>
    <t>Magi, Emanuele/0000-0002-8183-5020</t>
  </si>
  <si>
    <t>Italian National Program for Research in Antarctica (PNRA)</t>
  </si>
  <si>
    <t>Italian National Program for Research in Antarctica (PNRA)(Ministry of Education, Universities and Research (MIUR))</t>
  </si>
  <si>
    <t>This work was financially supported by the Italian National Program for Research in Antarctica (PNRA). The authors wish to thank Dr. Roberta Messa for technical support.</t>
  </si>
  <si>
    <t>10.1016/j.microc.2009.07.016</t>
  </si>
  <si>
    <t>WOS:000282929800005</t>
  </si>
  <si>
    <t>Minero, C; Maurino, V; Borghesi, D; Pelizzetti, E; Vione, D</t>
  </si>
  <si>
    <t>Minero, Claudio; Maurino, Valter; Borghesi, Daniele; Pelizzetti, Ezio; Vione, Davide</t>
  </si>
  <si>
    <t>An overview of possible processes able to account for the occurrence of nitro-PAHs in Antarctic particulate matter</t>
  </si>
  <si>
    <t>Gas-phase nitration; Nitration in particles; Nitronaphthalene; 9-Nitroanthracene</t>
  </si>
  <si>
    <t>POLYCYCLIC AROMATIC-HYDROCARBONS; NITRATION; PHASE; AEROSOL; CLOUD; NO3; GAS; AIR; 2-NITROFLUORANTHENE; TRANSFORMATIONS</t>
  </si>
  <si>
    <t>This paper gives an overview of the processes that can account for the occurrence of mononitro-PAHs (1-nitronaphthalene - 1NN-, 2-nitronaphthalene 2NN-, 9-nitroanthracene) in the Antarctic particulate matter. Long-range transport of these compounds from the continents to the Antarctica seems an unlikely possibility given the photolability of 1NN and 2NN. The alternative possibility is that nitration takes place in situ. The nitration of naphthalene is very likely to occur in the gas phase, because the parent compound is too volatile to be present in particulate matter, even at the low temperatures of the Antarctic summer near the coast. In contrast, the volatility of anthracene is sufficiently low under such conditions to allow this compound to be present in particles at a significant concentration. The field data on nitronaphthalene ratios, together with an evaluation of their removal rates, indicate that the gas-phase nitration of naphthalene is more likely to be initiated by (NO3+)-N-center dot (NO2)-N-center dot (yielding 1NN:2NN approximate to 2.5:1) than by (OH)-O-center dot + (NO2)-N-center dot (yielding 1NN:2NN approximate to 1:1). Nitronaphthalenes, less volatile than the parent compound, can then be found in particulate matter. In contrast, the occurrence of 9-nitroanthracene could be consistent with an electrophilic, condensed-phase nitration process. (C) 2009 Elsevier B.V. All rights reserved.</t>
  </si>
  <si>
    <t>[Minero, Claudio; Maurino, Valter; Borghesi, Daniele; Pelizzetti, Ezio; Vione, Davide] Univ Torino, Dipartimento Chim Analit, I-10125 Turin, Italy</t>
  </si>
  <si>
    <t>University of Turin</t>
  </si>
  <si>
    <t>Vione, D (corresponding author), Univ Torino, Dipartimento Chim Analit, Via Pietro Giuria 5, I-10125 Turin, Italy.</t>
  </si>
  <si>
    <t>davide.vione@unito.it</t>
  </si>
  <si>
    <t>Minero, Claudio/A-6444-2008; Vione, Davide/A-4047-2008</t>
  </si>
  <si>
    <t>Minero, Claudio/0000-0001-9484-130X; Maurino, Valter/0000-0001-8456-525X</t>
  </si>
  <si>
    <t>PNRA - Progetto Antartide; MIUR [2007L8Y4NB, 02, 36]; Universita di Torino - Ricerca Locale</t>
  </si>
  <si>
    <t>PNRA - Progetto Antartide; MIUR(Ministry of Education, Universities and Research (MIUR)); Universita di Torino - Ricerca Locale</t>
  </si>
  <si>
    <t>Financial support by PNRA - Progetto Antartide, MIUR-PRIN 2007 (2007L8Y4NB, Area 02, project n. 36) and Universita di Torino - Ricerca Locale is gratefully acknowledged.</t>
  </si>
  <si>
    <t>10.1016/j.microc.2009.07.013</t>
  </si>
  <si>
    <t>WOS:000282929800006</t>
  </si>
  <si>
    <t>Andris, M; Aradottir, GI; Arnau, G; Audzijonyte, A; Bess, EC; Bonadonna, F; Bourdel, G; Bried, J; Bugbee, GJ; Burger, PA; Chair, H; Charruau, PC; Ciampi, AY; Costet, L; Debarro, PJ; Delatte, H; Dubois, MP; Eldridge, MDB; England, PR; Enkhbileg, D; Fartek, B; Gardner, MG; Gray, KA; Gunasekera, RM; Hanley, SJ; Havil, N; Hereward, JP; Hirase, S; Hong, Y; Jarne, P; Qi, JF; Johnson, RN; Kanno, M; Kijima, A; Kim, HC; Kim, KS; Kim, WJ; Larue, E; Lee, JW; Lee, JH; Li, CH; Liao, MH; Lo, N; Lowe, AJ; Malausa, T; Malé, PJG; Marko, MD; Martin, JF; Messing, R; Miller, KJ; Min, BW; Myeong, JI; Nibouche, S; Noack, AE; Noh, JK; Orivel, J; Park, CJ; Petro, D; Prapayotin-Riveros, K; Quilichini, A; Reynaud, B; Riginos, C; Risterucci, AM; Rose, HA; Sampaio, I; Silbermayr, K; Silva, MB; Tero, N; Thum, RA; Vinson, CC; Vorsino, A; Vossbrinck, CR; Walzer, C; White, JC; Wieczorek, A; Wright, M</t>
  </si>
  <si>
    <t>Andris, Malvina; Aradottir, Gudbjorg I.; Arnau, G.; Audzijonyte, Asta; Bess, Emilie C.; Bonadonna, Francesco; Bourdel, G.; Bried, Joel; Bugbee, Gregory J.; Burger, P. A.; Chair, H.; Charruau, P. C.; Ciampi, A. Y.; Costet, L.; Debarro, Paul J.; Delatte, H.; Dubois, Marie-Pierre; Eldridge, Mark D. B.; England, Phillip R.; Enkhbileg, D.; Fartek, B.; Gardner, Michael G.; Gray, Karen-Ann; Gunasekera, Rasanthi M.; Hanley, Steven J.; Havil, Nathan; Hereward, James P.; Hirase, Shotaro; Hong, Yan; Jarne, Philippe; Qi Jianfei; Johnson, Rebecca N.; Kanno, Manami; Kijima, Akihiro; Kim, Hyun C.; Kim, Kwan S.; Kim, Woo-Jin; Larue, Elizabeth; Lee, Jang W.; Lee, Jeong-Ho; Li, Chunhong; Liao, Minghui; Lo, Nathan; Lowe, Andrew J.; Malausa, Thibaut; Male, Pierre-Jean G.; Marko, Michelle D.; Martin, Jean-Francois; Messing, Russell; Miller, Karen J.; Min, Byeong-Wha; Myeong, Jeong-In; Nibouche, S.; Noack, Ann E.; Noh, Jae K.; Orivel, Jerome; Park, Choul-Ji; Petro, D.; Prapayotin-Riveros, Kittipath; Quilichini, Angelique; Reynaud, B.; Riginos, Cynthia; Risterucci, A. M.; Rose, Harley A.; Sampaio, I.; Silbermayr, K.; Silva, M. B.; Tero, N.; Thum, Ryan A.; Vinson, C. C.; Vorsino, Adam; Vossbrinck, Charles R.; Walzer, C.; White, Jason C.; Wieczorek, Ania; Wright, Mark</t>
  </si>
  <si>
    <t>Mol Ecology Resources Primer Dev C</t>
  </si>
  <si>
    <t>Permanent Genetic Resources added to Molecular Ecology Resources Database 1 June 2010-31 July 2010</t>
  </si>
  <si>
    <t>MOLECULAR ECOLOGY RESOURCES</t>
  </si>
  <si>
    <t>This article documents the addition of 205 microsatellite marker loci to the Molecular Ecology Resources Database. Loci were developed for the following species: Bagassa guianensis, Bulweria bulwerii, Camelus bactrianus, Chaenogobius annularis, Creontiades dilutus, Diachasmimorpha tryoni, Dioscorea alata, Euhrychiopsis lecontei, Gmelina arborea, Haliotis discus hannai, Hirtella physophora, Melanaphis sacchari, Munida isos, Thaumastocoris peregrinus and Tuberolachnus salignus. These loci were cross-tested on the following species: Halobaena caerulea, Procellaria aequinoctialis, Oceanodroma monteiroi, Camelus ferus, Creontiades pacificus, Dioscorea rotundata, Dioscorea praehensilis, Dioscorea abyssinica, Dioscorea nummularia, Dioscorea transversa, Dioscorea esculenta, Dioscorea pentaphylla, Dioscorea trifida, Hirtella bicornis, Hirtella glandulosa, Licania alba, Licania canescens, Licania membranaceae, Couepia guianensis and 7 undescribed Thaumastocoris species.</t>
  </si>
  <si>
    <t>[Andris, Malvina; Bried, Joel] Univ Acores, Ctr IMAR, Dept Oceanog &amp; Pescas, P-9901862 Horta, Acores, Portugal; [Aradottir, Gudbjorg I.; Hanley, Steven J.] Ctr Bioenergy &amp; Climate Change, Plant &amp; Invertebrate Ecol Dept, Harpenden AL5 2JQ, Herts, England; [Aradottir, Gudbjorg I.] Univ London Imperial Coll Sci Technol &amp; Med, Ascot SL5 7PY, Berks, England; [Arnau, G.; Bourdel, G.; Chair, H.] CIRAD, UPR Multiplicat Vegetat, F-34398 Montpellier, France; [Audzijonyte, Asta; England, Phillip R.; Gunasekera, Rasanthi M.] CSIRO, Marine &amp; Atmospher Res &amp; Wealth Oceans Natl Res, Hobart, Tas 7001, Australia; [Bess, Emilie C.] Univ Illinois, Div Biodivers &amp; Econ Entomol, Illinois Nat Hist Survey, Champaign, IL 61820 USA; [Bonadonna, Francesco; Dubois, Marie-Pierre; Jarne, Philippe] CNRS, CEFE, UMR 5175, F-34293 Montpellier 5, France; [Bugbee, Gregory J.; Prapayotin-Riveros, Kittipath; Vossbrinck, Charles R.; White, Jason C.] Connecticut Agr Expt Stn, Dept Environm Sci, New Haven, CT 06511 USA; [Burger, P. A.; Charruau, P. C.; Tero, N.] Univ Vet Med, Dept Biomed Sci, Inst Populat Genet, A-1210 Vienna, Austria; [Burger, P. A.; Charruau, P. C.; Walzer, C.] Univ Vet Med, Res Inst Wildlife Ecol, A-1210 Vienna, Austria; [Ciampi, A. Y.] Embrapa Recursos Genet &amp; Biotecnol, BR-70770900 Brasilia, DF, Brazil; [Costet, L.; Delatte, H.; Fartek, B.; Nibouche, S.; Reynaud, B.] CIRAD, UMR PVBMT, F-97410 St Pierre, France; [Debarro, Paul J.] CSIRO Entomol, Indooroopilly, Qld 4068, Australia; [Eldridge, Mark D. B.; Gray, Karen-Ann; Johnson, Rebecca N.; Noack, Ann E.] Australian Museum, DNA Lab, Sydney, NSW 2010, Australia; [Enkhbileg, D.] Mongolian Acad Sci, Inst Biol, Wild Camel Protect Fdn, Ulaanbaatar 210351, Mongolia; [Fartek, B.] Univ Reunion, UMR, PVBMT, F-97410 St Pierre, France; [Gardner, Michael G.] Flinders Univ S Australia, Adelaide, SA 5001, Australia; [Havil, Nathan] USDA, Forest Serv, No Res Stn, Hamden, CT 06514 USA; [Hereward, James P.; Riginos, Cynthia] Univ Queensland, Sch Biol Sci, Brisbane, Qld 4072, Australia; [Hirase, Shotaro; Kanno, Manami; Kijima, Akihiro] Tohoku Univ, Grad Sch Agr Sci, Integrated Ctr Field Sci, Onagawa, Miyagi, Japan; [Hong, Yan; Qi Jianfei; Li, Chunhong; Liao, Minghui] Natl Univ Singapore, Temasek Life Sci Lab, Singapore 117604, Singapore; [Kim, Hyun C.; Kim, Kwan S.; Lee, Jang W.; Lee, Jeong-Ho; Min, Byeong-Wha; Myeong, Jeong-In; Noh, Jae K.; Park, Choul-Ji] Natl Fisheries Res &amp; Dev Inst, Genet &amp; Breeding Res Ctr, Geoje City 656842, South Korea; [Kim, Woo-Jin] Natl Fisheries Res &amp; Dev Inst, Biotechnol Res Inst, Pusan 619705, South Korea; [Larue, Elizabeth; Thum, Ryan A.] Grand Valley State Univ, Annis Water Resources Inst, Muskegon, MI 49441 USA; [Lo, Nathan; Noack, Ann E.] Univ Sydney, Sch Biol Sci, Sydney, NSW 2006, Australia; [Lowe, Andrew J.] Univ Adelaide, Sch Earth &amp; Environm Sci, Australian Ctr Evolutionary Biol &amp; Biodivers, Adelaide, SA 5005, Australia; [Malausa, Thibaut] CNRS, Inst Natl Rech Agronom, INRA,UNSA, UMR 1301, F-06903 Sophia Antipolis, France; [Male, Pierre-Jean G.; Orivel, Jerome] Univ Toulouse, UPS, EDB, Lab Evolut &amp; Diversite Biol, F-31062 Toulouse, France; [Male, Pierre-Jean G.; Orivel, Jerome] CNRS, Lab Evolut &amp; Diversite Biol, F-31062 Toulouse, France; [Marko, Michelle D.] Concordia Coll, S Moorhead, MN 56562 USA; [Martin, Jean-Francois] Montpellier SupAgro, Ctr Biol &amp; Gest Populat, INRA, CIRAD,IRD, F-34988 Montferrier Sur Lez, France; [Miller, Karen J.] Univ Hawaii Manoa, Dept Plant &amp; Environm Protect Sci, Honolulu, HI 96822 USA; [Miller, Karen J.] Univ Tasmania, Inst Antarctic &amp; So Ocean Studies, Hobart, Tas 7001, Australia; [Orivel, Jerome; Quilichini, Angelique] CNRS, UMR Ecol Forets Guyane, F-97379 Kourou, France; [Petro, D.] INRA, Agrosyst Tropicaux, UR 1321, F-97170 Petit Bourg, Guadeloupe, France; [Quilichini, Angelique] Jardin Botan Henri Gaussen, F-31062 Toulouse, France; [Risterucci, A. M.] CIRAD, UMR DAP, F-34398 Montpellier, France; [Rose, Harley A.] Univ Sydney, Fac Agr Food &amp; Nat Resources, Sydney, NSW 2006, Australia; [Sampaio, I.; Silva, M. B.; Vinson, C. C.] Fed Univ Para, BR-68600000 Braganca, Para, Brazil; [Silbermayr, K.] Univ Vet Med, Dept Biomed Sci, Inst Anim Breeding &amp; Genet, A-1210 Vienna, Austria; [Wieczorek, Ania] Univ Hawaii Manoa, Dept Trop Plant &amp; Soil Sci, Honolulu, HI 96822 USA</t>
  </si>
  <si>
    <t>Universidade dos Acores; Imperial College London; CIRAD; Commonwealth Scientific &amp; Industrial Research Organisation (CSIRO); University of Illinois System; University of Illinois Urbana-Champaign; Illinois Natural History Survey;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Connecticut Agricultural Experiment Station; University of Veterinary Medicine Vienna; University of Veterinary Medicine Vienna; Empresa Brasileira de Pesquisa Agropecuaria (EMBRAPA); CIRAD; Commonwealth Scientific &amp; Industrial Research Organisation (CSIRO); Australian Museum; Mongolian Academy of Sciences; University of La Reunion; Flinders University South Australia; United States Department of Agriculture (USDA); United States Forest Service; University of Queensland; Tohoku University; National University of Singapore; Grand Valley State University; University of Sydney; University of Adelaide; INRAE; Universite Cote d'Azur; Centre National de la Recherche Scientifique (CNRS); Universite de Toulouse; Universite Federale Toulouse Midi-Pyrenees (ComUE); Universite Toulouse III - Paul Sabatier; Ecole Nationale Formation Agronomique (ENSFEA); Centre National de la Recherche Scientifique (CNRS); Centre National de la Recherche Scientifique (CNRS); Institut de Recherche pour le Developpement (IRD); Institut Agro; Montpellier SupAgro; INRAE; CIRAD; University of Hawaii System; University of Hawaii Manoa; University of Tasmania; AgroParisTech; CIRAD; Centre National de la Recherche Scientifique (CNRS); Universite des Antilles; INRAE; CIRAD; University of Sydney; Universidade Federal do Para; University of Veterinary Medicine Vienna; University of Hawaii System; University of Hawaii Manoa</t>
  </si>
  <si>
    <t>Andris, M (corresponding author), Univ Acores, Ctr IMAR, Dept Oceanog &amp; Pescas, P-9901862 Horta, Acores, Portugal.</t>
  </si>
  <si>
    <t>Hong, Yan/D-5106-2014; Johnson, Rebecca N/JCE-0895-2023; Miller, Karen/V-4098-2019; Li, Chun/HKW-1738-2023; Costet, Laurent/C-2281-2011; Aradottir, Gudbjorg/ISB-1692-2023; SAMPAIO, IRACILDA/J-6514-2012; Quilichini, Angelique/G-7004-2011; Costet, Laurent/AAQ-1579-2020; Nibouche, Samuel/C-1964-2008; Audzijonyte, Asta/O-5598-2017; Lo, Nathan/E-6115-2010; Gunasekera, Rasanthi/A-2318-2012; Reynaud, Bernard/C-5461-2011; Miller, Karen/A-7902-2011; Wright, Mark G/A-7349-2009; De Barro, Paul J/C-1724-2008; Johnson, Rebecca N/U-6514-2017; LEE, JIEUN/HTN-1777-2023; Riginos, Cynthia/G-3320-2010; Liao, Minghui/J-9662-2019; Malé, Pierre-Jean G./A-7618-2010; Orivel, Jerome/C-4034-2011; Vorsino, Adam E/H-3435-2013; Bonadonna, Francesco/A-7456-2008; Lee, Jeong Ho/G-7361-2012; Hanley, Steven/D-1769-2017; Malausa, Thibaut/X-1614-2018; Hereward, James/K-8720-2012; Gardner, Michael/A-8280-2011</t>
  </si>
  <si>
    <t>Hong, Yan/0000-0002-2954-8788; SAMPAIO, IRACILDA/0000-0002-2137-4656; Costet, Laurent/0000-0003-3199-2885; Nibouche, Samuel/0000-0003-2675-1382; Lo, Nathan/0000-0003-2176-2840; Riginos, Cynthia/0000-0002-5485-4197; Liao, Minghui/0000-0002-2583-4314; Malé, Pierre-Jean G./0000-0003-0896-726X; Orivel, Jerome/0000-0002-5636-3228; Bonadonna, Francesco/0000-0002-2702-5801; Wright, Mark/0000-0002-1643-7560; Hanley, Steven/0000-0002-3187-9260; Malausa, Thibaut/0000-0003-1681-7958; Hereward, James/0000-0002-6468-6342; Eldridge, Mark/0000-0002-7109-0600; Walzer, Chris/0000-0002-0437-5147; La Rue, Elizabeth/0000-0002-9535-0630; Gardner, Michael/0000-0002-8629-354X; ARNAU, Gemma/0000-0003-0714-6830; Vinson, Christina/0000-0001-8779-8075; Johnson, Rebecca/0000-0003-3035-2827; Lowe, Andrew/0000-0003-1139-2516; Burger, Pamela/0000-0002-6941-0257</t>
  </si>
  <si>
    <t>1755-098X</t>
  </si>
  <si>
    <t>1755-0998</t>
  </si>
  <si>
    <t>MOL ECOL RESOUR</t>
  </si>
  <si>
    <t>Mol. Ecol. Resour.</t>
  </si>
  <si>
    <t>10.1111/j.1755-0998.2010.02916.x</t>
  </si>
  <si>
    <t>Biochemistry &amp; Molecular Biology; Ecology; Evolutionary Biology</t>
  </si>
  <si>
    <t>Biochemistry &amp; Molecular Biology; Environmental Sciences &amp; Ecology; Evolutionary Biology</t>
  </si>
  <si>
    <t>663IJ</t>
  </si>
  <si>
    <t>WOS:000282876300024</t>
  </si>
  <si>
    <t>Chantangsi, C; Hoppenrath, M; Leander, BS</t>
  </si>
  <si>
    <t>Chantangsi, Chitchai; Hoppenrath, Mona; Leander, Brian S.</t>
  </si>
  <si>
    <t>Evolutionary relationships among marine cercozoans as inferred from combined SSU and LSU rDNA sequences and polyubiquitin insertions</t>
  </si>
  <si>
    <t>MOLECULAR PHYLOGENETICS AND EVOLUTION</t>
  </si>
  <si>
    <t>Cercozoa; Ebria; LSU rDNA; Molecular phylogeny; Polyubiquitin; Protaspis</t>
  </si>
  <si>
    <t>SMALL-SUBUNIT; PHYLOGENETIC POSITION; RHIZARIA; CLASSIFICATION; REVEALS; AMEBAS; N.; DINOFLAGELLATE; EUKARYOTES; SUPPORT</t>
  </si>
  <si>
    <t>An insertion of one or two amino acids at the monomer-monomer junctions of polyubiquitin is a distinct and highly conserved molecular character that is shared by two very diverse clades of microeukaryotes, the Cercozoa and the Foraminifera. It has been suggested that an insertion consisting of one amino acid, like that found in foraminiferans and some cercozoans, represents an ancestral state, and an insertion consisting of two amino acids represents a derived state. However, the limited number of cercozoan taxa examined so far limits inferences about the number and frequency of state changes associated with this character over deep evolutionary time. Cercozoa include a very diverse assemblage of mainly uncultivated amoeboflagellates, and their tenuous phylogenetic interrelationships have been based largely on small subunit (SSU) rDNA sequences. Because concatenated datasets consisting of both SSU and large subunit (LSU) rDNA sequences have been shown to more robustly recover the phylogenetic relationships of other major groups of eukaryotes, we employed a similar approach for the Cercozoa. In order to reconstruct the evolutionary history of this group, we amplified twelve LSU rDNAs, three SSU rDNAs, and seven polyubiquitin sequences from several different cercozoans, especially uncultured taxa isolated from marine benthic habitats. The distribution of single amino acid insertions and double amino acid insertions on the phylogenetic trees inferred from the concatenated dataset indicates that the gain and loss of amino acid residues between polyubiquitin monomers occurred several times independently. Nonetheless, all of the cercozoans we examined possessed at least one amino acid insertion between the polyubiquitin monomers, which reinforced the significance of this feature as a molecular signature for identifying members of the Cercozoa and the Foraminifera. Our study also showed that analyses combining both SSU and LSU rDNA sequences leads to improved phylogenetic resolution and statistical support for deeper branches within the Cercozoa. (C) 2010 Elsevier Inc. All rights reserved.</t>
  </si>
  <si>
    <t>[Chantangsi, Chitchai; Hoppenrath, Mona; Leander, Brian S.] Univ British Columbia, Canadian Inst Adv Res, Program Integrated Microbial Biodivers, Dept Zool, Vancouver, BC V6T 1Z4, Canada; [Chantangsi, Chitchai; Hoppenrath, Mona; Leander, Brian S.] Univ British Columbia, Canadian Inst Adv Res, Program Integrated Microbial Biodivers, Dept Bot, Vancouver, BC V6T 1Z4, Canada; [Chantangsi, Chitchai] Chulalongkorn Univ, Fac Sci, Dept Biol, Bangkok 10330, Thailand</t>
  </si>
  <si>
    <t>Canadian Institute for Advanced Research (CIFAR); University of British Columbia; Canadian Institute for Advanced Research (CIFAR); University of British Columbia; Chulalongkorn University</t>
  </si>
  <si>
    <t>Chantangsi, C (corresponding author), Chulalongkorn Univ, Fac Sci, Dept Biol, Phayathai Rd, Bangkok 10330, Thailand.</t>
  </si>
  <si>
    <t>Chitchai.C@Chula.ac.th; mhoppenrath@senckenberg.de; bleander@interchange.ubc.ca</t>
  </si>
  <si>
    <t>Cooperative Research Network (CRN), the Government of Thailand; National Science and Engineering Research Council of Canada (NSERC) [283091-09]; Canadian Institute for Advanced Research</t>
  </si>
  <si>
    <t>Cooperative Research Network (CRN), the Government of Thailand; National Science and Engineering Research Council of Canada (NSERC)(Natural Sciences and Engineering Research Council of Canada (NSERC)); Canadian Institute for Advanced Research(Canadian Institute for Advanced Research (CIFAR))</t>
  </si>
  <si>
    <t>We are grateful to Drs. David A. Caron, Rebecca J. Gast, and Dawn M. Moran (Antarctic Protist Culture Collection) for kindly providing a culture of Cryothecomonas sp. (strain APCC MC5-1Cryo); to Gillian H. Gile for cultures of Gymnochlora stellata (strain CCMP 2057) and Lotharella vacuolata (strain CCMP 240); and to Thierry J. Heger for specimens of Placocista sp. C. Chantangsi was supported by a national scholarship awarded by the Cooperative Research Network (CRN), the Government of Thailand. This work was supported by grants to B.S. Leander from the National Science and Engineering Research Council of Canada (NSERC 283091-09) and the Canadian Institute for Advanced Research, Program in Integrated Microbial Biodiversity.</t>
  </si>
  <si>
    <t>ACADEMIC PRESS INC ELSEVIER SCIENCE</t>
  </si>
  <si>
    <t>SAN DIEGO</t>
  </si>
  <si>
    <t>525 B ST, STE 1900, SAN DIEGO, CA 92101-4495 USA</t>
  </si>
  <si>
    <t>1055-7903</t>
  </si>
  <si>
    <t>1095-9513</t>
  </si>
  <si>
    <t>MOL PHYLOGENET EVOL</t>
  </si>
  <si>
    <t>Mol. Phylogenet. Evol.</t>
  </si>
  <si>
    <t>10.1016/j.ympev.2010.07.007</t>
  </si>
  <si>
    <t>Biochemistry &amp; Molecular Biology; Evolutionary Biology; Genetics &amp; Heredity</t>
  </si>
  <si>
    <t>679QV</t>
  </si>
  <si>
    <t>WOS:000284176800004</t>
  </si>
  <si>
    <t>Peterson, KR; Pfister, DH; Bell, CD</t>
  </si>
  <si>
    <t>Peterson, Kristin R.; Pfister, Donald H.; Bell, Charles D.</t>
  </si>
  <si>
    <t>Cophylogeny and biogeography of the fungal parasite Cyttaria and its host Nothofagus, southern beech</t>
  </si>
  <si>
    <t>MYCOLOGIA</t>
  </si>
  <si>
    <t>Australasia; Leotiomycetes; long distance dispersal; South America; southern hemisphere; vicariance</t>
  </si>
  <si>
    <t>LONG-DISTANCE DISPERSAL; MOLECULAR EVOLUTION; DIVERGENCE TIMES; ABSOLUTE RATES; PLANT; PHYLOGENY; SPACER; TREE</t>
  </si>
  <si>
    <t>The obligate, biotrophic association among species of the fungal genus Cyttaria and their hosts in the plant genus Nothofagas often is cited as a classic example of cophylogeny and is one of the few cases in which the biogeography of a fungus is commonly mentioned or included in biogeographic analyses. In this study molecular and morphological data are used to examine hypotheses regarding the cophylogeny and biogeography of the 12 species of Cyttaria and their hosts, the 11 species of Nothofagas subgenera Lophozonia and Nothofagus. Our results indicate highly significant overall cophylogenetic structure, despite the fact that the associations between species of Cyttaria and Nothojagus usually do not correspond in a simple one to one relationship. Two major lineages of Cyttaria are confined to a single Nothofagus subgenus, a specificity that might. account for a minimum of two codivergences. We hypothesize other major codivergences. Numerous extinction also are assumed, as are an independent. parasite divergence followed by host switching to account for C. berteroi. Considering the historical association of Cyttaria and Nothofagus, our hypothesis may support the vicariance hypothesis for the trans-Antarctic distribution between Australasian and South American species of Cyttaria species hosted by subgenus Lophozonia. It also supports the hypothesis of transoceanic long distance dispersal to account for the relatively recent relationship between Australian and New Zealand Cyttaria species, which we estimate to have occurred 44.6-28.5 mya. Thus the history of these organisms is not only a reflection of the breakup of Gondwana but also of other events that have contributed to the distributions of many other southern hemisphere plants and fungi.</t>
  </si>
  <si>
    <t>[Peterson, Kristin R.; Pfister, Donald H.] Harvard Univ, Dept Organism &amp; Evolutionary Biol, Cambridge, MA 02138 USA; [Bell, Charles D.] Univ New Orleans, Dept Biol Sci, New Orleans, LA 70148 USA</t>
  </si>
  <si>
    <t>Harvard University; University of Louisiana System; University of New Orleans</t>
  </si>
  <si>
    <t>Peterson, KR (corresponding author), Harvard Univ, Dept Organism &amp; Evolutionary Biol, 22 Divin Ave, Cambridge, MA 02138 USA.</t>
  </si>
  <si>
    <t>krpeterson@post.harvard.edu</t>
  </si>
  <si>
    <t>Department of Organismic and Evolutionary Biology of Harvard University; Harvard University Herbaria; NSF PEET [DEB-9521944]</t>
  </si>
  <si>
    <t>Department of Organismic and Evolutionary Biology of Harvard University; Harvard University Herbaria; NSF PEET(National Science Foundation (NSF))</t>
  </si>
  <si>
    <t>We thank three anonymous reviewers for comments on this manuscript. We thank M.J. Cafaro, G. Giribet and C.C. Davis for advice and comments on this project and manuscript. We also thank the library of the Gray Herbarium of Harvard University for permission to reproduce the Berkeley illustrations. We acknowledge financial support from the Department of Organismic and Evolutionary Biology of Harvard University and the Fernald Fund of Harvard University Herbaria, as well as NSF PEET grant DEB-9521944 to D.H. Pfister and M.J. Donoghue.</t>
  </si>
  <si>
    <t>TAYLOR &amp; FRANCIS INC</t>
  </si>
  <si>
    <t>PHILADELPHIA</t>
  </si>
  <si>
    <t>530 WALNUT STREET, STE 850, PHILADELPHIA, PA 19106 USA</t>
  </si>
  <si>
    <t>0027-5514</t>
  </si>
  <si>
    <t>1557-2536</t>
  </si>
  <si>
    <t>Mycologia</t>
  </si>
  <si>
    <t>10.3852/10-048</t>
  </si>
  <si>
    <t>Mycology</t>
  </si>
  <si>
    <t>671EY</t>
  </si>
  <si>
    <t>WOS:000283484300017</t>
  </si>
  <si>
    <t>Basak, C; Martin, EE; Horikawa, K; Marchitto, TM</t>
  </si>
  <si>
    <t>Basak, C; Martin, E.E.; Horikawa, K.; Marchitto, T.M.</t>
  </si>
  <si>
    <t>Southern Ocean source of ⊃14C-depleted carbon in the North Pacific Ocean during the last deglaciation</t>
  </si>
  <si>
    <t>NATURE GEOSCIENCE</t>
  </si>
  <si>
    <t>ATMOSPHERIC CO2 CONCENTRATIONS; WATERS; RISE; ICE</t>
  </si>
  <si>
    <t>During the last deglaciation, atmospheric carbon dioxide concentrations rose at the same time that the delta C-14 of that CO not subset of 2 not subset of fell. This has been attributed to the release of C-14-depleted carbon dioxide from the deep ocean1, possibly vented through the Southern Ocean(2-5). Recently, a sediment record from the eastern North Pacific Ocean spanning the last deglaciation was interpreted to reflect transport of such radiocarbon-depleted CO not subset of 2 not subset of from the Southern Ocean through Antarctic Intermediate Water(2). However, the suggestion that the record reflects intermediate water derived from the Southern Ocean remains controversial. Here we assess the source of the deglacial intermediate water by measuring the neodymium isotopes of fossil fish teeth/debris from the same eastern North Pacific core used in the earlier study(2). The isotopic signature of awater mass, which is captured in the fossil fish teeth, reflects the location in which it formed. Our data exhibit a clear shift in the neodymium isotope values towards Southern Ocean values about 18,000 years ago, coinciding with the negative delta C-14 excursion. We conclude that these data support a Southern Ocean source for the deglacial radiocarbon-depleted CO not subset of 2 not subset of detected in the eastern North Pacific.</t>
  </si>
  <si>
    <t>[Basak, C; Martin, E.E.; Horikawa, K.] Univ Florida, Dept Geol Sci, Gainesville, FL 80309 USA; [Marchitto, T.M.] Univ Colorado, Dept Geol SCi, Boulder, CO 80309 USA; [Marchitto, T.M.] Univ Colorado, Inst Arctic &amp; Alpine Res, Boulder, CO 80309 USA</t>
  </si>
  <si>
    <t>State University System of Florida; University of Florida; University of Colorado System; University of Colorado Boulder; University of Colorado System; University of Colorado Boulder</t>
  </si>
  <si>
    <t>Basak, C (corresponding author), Univ Florida, Dept Geol Sci, Gainesville, FL 80309 USA.</t>
  </si>
  <si>
    <t>basakc1@ufl.edu</t>
  </si>
  <si>
    <t>Horikawa, Keiji/AAS-6977-2021</t>
  </si>
  <si>
    <t>Horikawa, Keiji/0000-0003-0337-0413; MARCHITTO, THOMAS/0000-0003-2397-8768; Basak, Chandranath/0000-0002-9410-0074</t>
  </si>
  <si>
    <t>NSF; [OCE-0623393]; Directorate For Geosciences; Division Of Ocean Sciences [0851391] Funding Source: National Science Foundation</t>
  </si>
  <si>
    <t>NSF(National Science Foundation (NSF)); ; Directorate For Geosciences; Division Of Ocean Sciences(National Science Foundation (NSF)NSF - Directorate for Geosciences (GEO))</t>
  </si>
  <si>
    <t>Financial support for the research was provided by NSF grant OCE-0623393 to E.E.M.</t>
  </si>
  <si>
    <t>NATURE PORTFOLIO</t>
  </si>
  <si>
    <t>BERLIN</t>
  </si>
  <si>
    <t>HEIDELBERGER PLATZ 3, BERLIN, 14197, GERMANY</t>
  </si>
  <si>
    <t>1752-0894</t>
  </si>
  <si>
    <t>1752-0908</t>
  </si>
  <si>
    <t>NAT GEOSCI</t>
  </si>
  <si>
    <t>Nat. Geosci.</t>
  </si>
  <si>
    <t>10.1038/NGEO987</t>
  </si>
  <si>
    <t>Geosciences, Multidisciplinary</t>
  </si>
  <si>
    <t>673GZ</t>
  </si>
  <si>
    <t>WOS:000283648800020</t>
  </si>
  <si>
    <t>Varner, GS</t>
  </si>
  <si>
    <t>Varner, Gary S.</t>
  </si>
  <si>
    <t>ANITA Collaboration; SalSA Collaboration; IceRay Collaboration</t>
  </si>
  <si>
    <t>Radio detection of ultra high energy neutrinos</t>
  </si>
  <si>
    <t>NUCLEAR INSTRUMENTS &amp; METHODS IN PHYSICS RESEARCH SECTION A-ACCELERATORS SPECTROMETERS DETECTORS AND ASSOCIATED EQUIPMENT</t>
  </si>
  <si>
    <t>Article; Proceedings Paper</t>
  </si>
  <si>
    <t>1st International Conference on Technology and Instrumentation in Particle Physics (TIPP 09)</t>
  </si>
  <si>
    <t>MAR 12-17, 2009</t>
  </si>
  <si>
    <t>Tsukuba, JAPAN</t>
  </si>
  <si>
    <t>GZK process; Ultra high energy neutrinos; Askaryan effect; Radio neutrino detection</t>
  </si>
  <si>
    <t>COSMIC-RAYS; EMISSION; SPECTRUM; READOUT; SHOWERS; CHARGE; SALSA</t>
  </si>
  <si>
    <t>Recent evidence for observation of the Greisen-Zatsepin-Kuzmin (GZK) cutoff in the cosmic ray spectrum has a number of profound implications for our understanding of high energy astroparticle physics. This GZK process itself produces neutrinos that are strongly believed to be both spectrally and spatially correlated to high energy cosmic ray particles above 100 EeV. In the 1960's Askaryan predicted that spatially compact nature of electromagnetic showers produced from the interaction of such high energy neutrinos would lead to coherent Cherenkov radiation. In June 2006 these Askaryan effect predictions were verified for emulated EeV showers in a 7 ton ice target at SLAC. A number of current and future experiments are now actively exploiting this radio detection method to search for the guaranteed GZK flux of high energy neutrinos. None have yet been observed, though the sensitivity of the detectors is just now approaching the predicted range. The ANtarctic Impulsive Transient Antenna (ANITA) experiment, a long-duration balloon operating at an altitude of 37 km, flew for over a month during December 2006-January 2007, and again December 2008-January 2009. In the longer term, a large-scale terrestrial radio array opens the possibility to probe deep inelastic neutrino-nucleon scattering at center of mass energies well above those of any proposed future collider. Prototype instrumentation stations have been evaluated. Essential to the realization of these experiments has been the development of affordable instrumentation with adequate radio frequency performance. (C) 2010 Elsevier B.V. All rights reserved.</t>
  </si>
  <si>
    <t>[Varner, Gary S.] Univ Hawaii, Dept Phys &amp; Astron, Honolulu, HI 96822 USA</t>
  </si>
  <si>
    <t>University of Hawaii System</t>
  </si>
  <si>
    <t>Varner, GS (corresponding author), Univ Hawaii, Dept Phys &amp; Astron, 2505 Correa Rd, Honolulu, HI 96822 USA.</t>
  </si>
  <si>
    <t>varner@phys.hawaii.edu</t>
  </si>
  <si>
    <t>0168-9002</t>
  </si>
  <si>
    <t>1872-9576</t>
  </si>
  <si>
    <t>NUCL INSTRUM METH A</t>
  </si>
  <si>
    <t>Nucl. Instrum. Methods Phys. Res. Sect. A-Accel. Spectrom. Dect. Assoc. Equip.</t>
  </si>
  <si>
    <t>10.1016/j.nima.2010.03.020</t>
  </si>
  <si>
    <t>Instruments &amp; Instrumentation; Nuclear Science &amp; Technology; Physics, Nuclear; Physics, Particles &amp; Fields</t>
  </si>
  <si>
    <t>Science Citation Index Expanded (SCI-EXPANDED); Conference Proceedings Citation Index - Science (CPCI-S)</t>
  </si>
  <si>
    <t>Instruments &amp; Instrumentation; Nuclear Science &amp; Technology; Physics</t>
  </si>
  <si>
    <t>676YF</t>
  </si>
  <si>
    <t>WOS:000283954800127</t>
  </si>
  <si>
    <t>Siani, G; Colin, C; Michel, E; Carel, M; Richter, T; Kissel, C; Dewilde, F</t>
  </si>
  <si>
    <t>Siani, G.; Colin, C.; Michel, E.; Carel, M.; Richter, T.; Kissel, C.; Dewilde, F.</t>
  </si>
  <si>
    <t>Late Glacial to Holocene terrigenous sediment record in the Northern Patagonian margin: Paleoclimate implications</t>
  </si>
  <si>
    <t>PALAEOGEOGRAPHY PALAEOCLIMATOLOGY PALAEOECOLOGY</t>
  </si>
  <si>
    <t>North Patagonian margin; Clay mineralogy; Major elements; Paleoclimate</t>
  </si>
  <si>
    <t>RADIOCARBON AGE CALIBRATION; LATE PLEISTOCENE; SOUTHERN CHILE; CHONOS ARCHIPELAGO; LATE QUATERNARY; CLIMATE-CHANGE; COLD REVERSAL; MARINE RECORD; YR BP; VEGETATION</t>
  </si>
  <si>
    <t>A high-resolution study of clay mineralogy and major element geochemistry has been carried out on a high sedimentation rate deep-sea core recovered off the Taitao Peninsula in southern Chili (46 degrees S) to investigate climate and environmental changes in Northern Patagonia since the Late Glacial period (the last 22 ka BP). The chronology is based upon stable oxygen isotopes of planktonic foraminifera and AMS radiocarbon dating. Smectite/(illite + chlorite) and Ti/K ratios reveal strong changes of the sedimentary sources between the crustal rocks of the Coastal Range and the volcanic rocks of the Andean Cordillera over the last 22 ka BP. Compared to the Holocene, the Late Glacial period was characterized by reduced input of detrital material derived from the high relief of the Andean Cordillera, in agreement with a greater extension of the North Patagonian ice cap that prevented chemical weathering of basalt (smectite production) and induced physical erosion of illite and chlorite from glacial scours. The Glacial period is also characterized by rapid changes of smectite/(illite + chlorite) and Ti/K ratios indicating short-term (centennial-scale) glacier fluctuations. These changes could be the results of southern westerly shifts in the Aysen region alternating periods when glaciers were probably less fed by precipitation (mostly located in the North) and consequently less active to ice accumulation periods. The deglaciation was characterized by a trend towards warmer and more humid conditions, punctuated by a cold and arid period partly coeval with the Antarctic Cold Reversal event. Finally, the Holocene presents warmer and more humid conditions even though short term changes in the smectite/ (illite + chlorite) ratio and the delta O-18 record could be attributed to Neoglacial events in the studied region. (C) 2010 Elsevier B.V. All rights reserved.</t>
  </si>
  <si>
    <t>[Siani, G.; Colin, C.; Carel, M.] Univ Paris 11, CNRS, UMR 8148, Lab Interact &amp; Dynam Environm Surface IDES, F-91405 Orsay, France; [Michel, E.; Kissel, C.; Dewilde, F.] CEA, Lab Mixte CNRS, Lab Sci Climat &amp; Environm, F-91198 Gif Sur Yvette, France; [Richter, T.] Royal Netherland Inst Sea Res, NL-1790 AB Den Burg, Netherlands</t>
  </si>
  <si>
    <t>Universite Paris Saclay; Centre National de la Recherche Scientifique (CNRS); CNRS - National Institute for Earth Sciences &amp; Astronomy (INSU); Universite Paris Saclay; CEA; Centre National de la Recherche Scientifique (CNRS); Utrecht University; Royal Netherlands Institute for Sea Research (NIOZ)</t>
  </si>
  <si>
    <t>Siani, G (corresponding author), Univ Paris 11, CNRS, UMR 8148, Lab Interact &amp; Dynam Environm Surface IDES, Batiment 504, F-91405 Orsay, France.</t>
  </si>
  <si>
    <t>giuseppe.siani@u-psud.fr</t>
  </si>
  <si>
    <t>Catherine, Kissel/AAH-1647-2019</t>
  </si>
  <si>
    <t>Catherine, Kissel/0000-0002-2572-2742; Siani, Giuseppe/0000-0002-2090-5320</t>
  </si>
  <si>
    <t>0031-0182</t>
  </si>
  <si>
    <t>1872-616X</t>
  </si>
  <si>
    <t>PALAEOGEOGR PALAEOCL</t>
  </si>
  <si>
    <t>Paleogeogr. Paleoclimatol. Paleoecol.</t>
  </si>
  <si>
    <t>10.1016/j.palaeo.2010.07.011</t>
  </si>
  <si>
    <t>Geography, Physical; Geosciences, Multidisciplinary; Paleontology</t>
  </si>
  <si>
    <t>Physical Geography; Geology; Paleontology</t>
  </si>
  <si>
    <t>667RN</t>
  </si>
  <si>
    <t>WOS:000283211500003</t>
  </si>
  <si>
    <t>Solari, MA; Hervé, F; Le Roux, JP; Airo, A; Sial, AN</t>
  </si>
  <si>
    <t>Solari, M. A.; Herve, F.; Le Roux, J. P.; Airo, A.; Sial, A. N.</t>
  </si>
  <si>
    <t>Paleoclimatic significance of lacustrine microbialites: A stable isotope case study of two lakes at Torres del Paine, southern Chile</t>
  </si>
  <si>
    <t>Paleoclimate; Climate change; Isotopes; Carbonate; Thrombolites; Stromatolites</t>
  </si>
  <si>
    <t>ANTARCTIC COLD REVERSAL; OXYGEN; CARBONATES; FRACTIONATION; VARIABILITY; CALIBRATION; INDICATORS; TANGANYIKA; HOLOCENE</t>
  </si>
  <si>
    <t>Two Patagonian lakes studied here, Lago Sarmiento and Laguna Amarga, are located within the orographic rain shadow formed to the east of the Southern Patagonian Ice Field in the Andes Range. Major thrombolite colonies are present in Lago Sarmiento, whereas widespread stromatolites occur in Laguna Amarga. Based on the characterization of the hydrologic system of these two lakes, together with an estimation of the isotopic balance and an analysis of the equilibrium conditions between the water and biologically induced carbonates, it is concluded that the microbialites of Lago Sarmiento are better suited as paleotemperature indicators than those of Laguna Amarga. Lago Sarmiento thrombolites contain unique carbonate mineral species in which carbonate precipitation occurs close to isotopic equilibrium and where the variation in water temperature controls fractionation of the stable oxygen isotope. The results indicate that at 1215 cal yr Bp the level of the lake was at 85 m a.s.l with a temperature close to 9.3 degrees C, was at 82 m a.s.l. at 600 cal yr Bp with a temperature close to 8.5 degrees C. This coincides with the timing of the Northern Hemisphere Medieval Warming Period. At 183 cal yr Bp the level of the lake was at 80 m a.s.I with a cooler temperature close to 7.7 degrees C, representing a colder period coinciding with the timing of the Little Ice Age (LIA). An interesting outcome of this study is that it reinforces the idea that the delta C-13 signal in carbonate deposits can be an effective tool in distinguishing between inorganic and biologically induced precipitation. (C) 2010 Elsevier B.V. All rights reserved.</t>
  </si>
  <si>
    <t>[Solari, M. A.; Herve, F.; Le Roux, J. P.] Univ Chile, Fac Ciencias Fis &amp; Matemat, Dept Geol, Santiago, Chile; [Airo, A.] Stanford Univ, Sch Earth Sci, Stanford, CA 94305 USA; [Sial, A. N.] Univ Fed Pernambuco, Ctr Technol &amp; Geosci, Dept Geol, NEG LABISE, BR-50670000 Recife, PE, Brazil</t>
  </si>
  <si>
    <t>Universidad de Chile; Stanford University; Universidade Federal de Pernambuco</t>
  </si>
  <si>
    <t>Solari, MA (corresponding author), Univ Chile, Fac Ciencias Fis &amp; Matemat, Dept Geol, Casilla 13518,Correo 21, Santiago, Chile.</t>
  </si>
  <si>
    <t>msolari@cec.uchile.cl</t>
  </si>
  <si>
    <t>Le Roux, Jacobus/A-9765-2008; Sial, Alcides N./H-1051-2012; Le Roux, Jacobus Philippus/U-7085-2019; Herve, Francisco/HDO-6628-2022; Sial, Alcides/AAD-1901-2021</t>
  </si>
  <si>
    <t>Le Roux, Jacobus/0000-0003-0173-4471; Le Roux, Jacobus Philippus/0000-0003-0173-4471;</t>
  </si>
  <si>
    <t>Comision Nacional de Investigacion y Tecnologia (CONICYT); CONICYT [ARTG-04]; Instituto Antartico Chileno (INACH); FONDECYT [1070709]</t>
  </si>
  <si>
    <t>Comision Nacional de Investigacion y Tecnologia (CONICYT)(Comision Nacional de Investigacion Cientifica y Tecnologica (CONICYT)); CONICYT(Comision Nacional de Investigacion Cientifica y Tecnologica (CONICYT)); Instituto Antartico Chileno (INACH); FONDECYT(Comision Nacional de Investigacion Cientifica y Tecnologica (CONICYT)CONICYT FONDECYT)</t>
  </si>
  <si>
    <t>We gratefully acknowledge financial support by the Comision Nacional de Investigacion y Tecnologia (CONICYT) and the Project Geological Connection between the Antarctic Peninsula and Patagonia (ARTG-04) supported by the Programa Bicentenario de Ciencia y Tecnologia (PBCT) of CONICYT and the Instituto Antartico Chileno (INACH). In addition, we wish to thank A. Prieto, backed by financial support of Project FONDECYT 1070709, for the collection of water samples in the Lago Sarmiento area. Thanks are also due to the Corporacion Nacional Forestal (CONAF) for field support, in particular to the rangers. We would also like to thank D. Nieto for field assistance and J. Martinez for laboratory support. In addition, we are grateful to the Laboratory of the Servicio Nacional de Geologia y Mineria (SERNAGEOMIN) and the X-Ray Diffraction Laboratory of the Departamento de Fisica of the Universidad de Chile, for analytical work.</t>
  </si>
  <si>
    <t>10.1016/j.palaeo.2010.07.016</t>
  </si>
  <si>
    <t>WOS:000283211500006</t>
  </si>
  <si>
    <t>Cefarelli, AO; Ferrario, ME; Almandoz, GO; Atencio, AG; Akselman, R; Vernet, M</t>
  </si>
  <si>
    <t>Cefarelli, Adrian O.; Ferrario, Martha E.; Almandoz, Gaston O.; Atencio, Adrian G.; Akselman, Rut; Vernet, Maria</t>
  </si>
  <si>
    <t>Diversity of the diatom genus Fragilariopsis in the Argentine Sea and Antarctic waters: morphology, distribution and abundance</t>
  </si>
  <si>
    <t>POLAR BIOLOGY</t>
  </si>
  <si>
    <t>Phytoplankton; Diatom; Fragilariopsis; Antarctica; Argentine Sea</t>
  </si>
  <si>
    <t>PSEUDO-NITZSCHIA BACILLARIOPHYCEAE; PHYTOPLANKTON COMMUNITY STRUCTURE; SOUTHWESTERN ATLANTIC-OCEAN; CONTINENTAL-SHELF WATERS; WEDDELL SEA; SOUTHERN-OCEAN; ICE-EDGE; PARTICULATE MATTER; COLUMN ASSEMBLAGES; SURFACE SEDIMENTS</t>
  </si>
  <si>
    <t>Fragilariopsis species composition and abundance from the Argentine Sea and Antarctic waters were analyzed using light and electron microscopy. Twelve species (F. curta, F. cylindrus, F. kerguelensis, F. nana, F. obliquecostata, F. peragallii, F. pseudonana, F. rhombica, F. ritscheri, F. separanda, F. sublinearis and F. vanheurckii) are described and compared with samples from the Frenguelli Collection, Museo de La Plata, Argentina. F. peragallii was examined for the first time using electron microscopy, and F. pseudonana was recorded for the first time in Argentinean shelf waters. New information on the girdle view is included, except for the species F. curta, F. cylindrus and F. nana, for which information already existed. In the Argentine Sea, F. pseudonana was the most abundant Fragilariopsis species, and in Antarctic waters, F. curta was most abundant. Of the twelve species of Fragilariopsis documented, four occurred in the Argentine Sea, nine in the Drake Passage and twelve in the Weddell Sea. F. curta, F. kerguelensis, F. pseudonana and F. rhombica were present everywhere.</t>
  </si>
  <si>
    <t>[Cefarelli, Adrian O.; Ferrario, Martha E.; Almandoz, Gaston O.; Atencio, Adrian G.] Univ Nacl La Plata, Dept Cient Ficol, Fac Ciencias Nat &amp; Museo, RA-1900 La Plata, Argentina; [Ferrario, Martha E.; Almandoz, Gaston O.; Atencio, Adrian G.] Consejo Nacl Invest Cient &amp; Tecn, RA-1033 Buenos Aires, DF, Argentina; [Akselman, Rut] Inst Nacl Invest &amp; Desarrollo Pesquero, Mar Del Plata, Buenos Aires, Argentina; [Vernet, Maria] Univ Calif San Diego, Integrat Oceanog Div, Scripps Inst Oceanog, La Jolla, CA 92093 USA</t>
  </si>
  <si>
    <t>National University of La Plata; Museo La Plata; Consejo Nacional de Investigaciones Cientificas y Tecnicas (CONICET); National Fisheries Research &amp; Development Institute (INIDEP); University of California System; University of California San Diego; Scripps Institution of Oceanography</t>
  </si>
  <si>
    <t>Cefarelli, AO (corresponding author), Univ Nacl La Plata, Dept Cient Ficol, Fac Ciencias Nat &amp; Museo, Paseo del Bosque S-N, RA-1900 La Plata, Argentina.</t>
  </si>
  <si>
    <t>acefarelli@fcnym.unlp.edu.ar</t>
  </si>
  <si>
    <t>Almandoz, Gaston O./0000-0001-7931-582X</t>
  </si>
  <si>
    <t>Argentina (CONICET) [PIP 5603]; ANPCyT-Pict [2004]; GEF-PNU [ARG 02/18]; USA, National Science Foundation [ANT-0529815, ANT-0650034, ANT-0636730]</t>
  </si>
  <si>
    <t>Argentina (CONICET)(Consejo Nacional de Investigaciones Cientificas y Tecnicas (CONICET)); ANPCyT-Pict(ANPCyT); GEF-PNU; USA, National Science Foundation(National Science Foundation (NSF))</t>
  </si>
  <si>
    <t>This study was supported in part by grants from Argentina (CONICET: PIP 5603, ANPCyT-Pict 2004, GEF-PNUD ARG 02/18) and from the USA, National Science Foundation, awards ANT-0529815, ANT-0650034 to K. Smith and ANT-0636730 to M. Vernet. We thank P. Sarmiento and Dr. S. Licea for their excellent technical assistance with SEM and TEM work in EM Services of the Museo de La Plata, Argentina and in Universidad Nacional Autonoma de Mexico, Mexico City, respectively. We extend our deep appreciation to the Instituto Antartico Argentino (IAA), the officers and crew on the ARA Almirante Irizar and ARA Puerto Deseado, ARSV LM Gould and ARIB NB Palmer during sample collection. The authors acknowledge M. Charo and H. Isbert from Servicio de Hidrografia Naval (Argentina) for assistance during manuscript preparation. Special thanks are given to M. Andrews and E. Torre for assistance during early stages of the manuscript preparation. We thank A. Narwani for critically reading this paper. Finally, we want to express our gratitude to reviewers who with their valuable suggestions made us improve our paper.</t>
  </si>
  <si>
    <t>0722-4060</t>
  </si>
  <si>
    <t>1432-2056</t>
  </si>
  <si>
    <t>POLAR BIOL</t>
  </si>
  <si>
    <t>Polar Biol.</t>
  </si>
  <si>
    <t>10.1007/s00300-010-0794-z</t>
  </si>
  <si>
    <t>Biodiversity Conservation; Ecology</t>
  </si>
  <si>
    <t>684JH</t>
  </si>
  <si>
    <t>Green Published, hybrid, Green Submitted</t>
  </si>
  <si>
    <t>WOS:000284545700002</t>
  </si>
  <si>
    <t>Crisafi, E; Azzaro, M; Lo Giudice, A; Michaud, L; La Ferla, R; Maugeri, TL; De Domenico, M; Azzaro, F; Pomar, MLCA; Bruni, V</t>
  </si>
  <si>
    <t>Crisafi, E.; Azzaro, M.; Lo Giudice, A.; Michaud, L.; La Ferla, R.; Maugeri, T. L.; De Domenico, M.; Azzaro, F.; Pomar, M. L. C. Acosta; Bruni, V.</t>
  </si>
  <si>
    <t>Microbiological characterization of a semi-enclosed sub-Antarctic environment: the Straits of Magellan</t>
  </si>
  <si>
    <t>Epipelagic layer; Microbial abundances; ATP; LPS; ETS; Spatial distribution</t>
  </si>
  <si>
    <t>TERRA-NOVA BAY; SIZE-FRACTIONATED PHYTOPLANKTON; ELECTRON-TRANSPORT ACTIVITY; PARTICULATE ORGANIC-MATTER; ROSS SEA; WEDDELL SEA; MARINE BACTERIOPLANKTON; SEASONAL VARIABILITY; COASTAL WATERS; SURFACE WATERS</t>
  </si>
  <si>
    <t>Among sub-Antarctic ecosystems, the microbiology of the Straits of Magellan has been poorly documented due to the scarcity of observations. In this context, the spatial distribution of microbiological parameters, both in terms of abundance (total picoplankton and picophytoplankton, cultivable heterotrophic bacteria) and biochemical assays (adenosine triphosphate and lipolysaccharide estimations, as well as electron transport system activity), was investigated in the epipelagic layer along the Straits during late summer 1991 and early autumn 1995. The microbial dynamics showed significant variations along the Straits, with increasing values generally determined eastward both in 1991 and 1995. Microbiological results were additionally correlated with available data on the physico-chemical and biological properties of the analyzed water masses. Taking into consideration the whole dataset, the principal component analysis led to the identification of three main macro-areas along the Straits of Magellan (Paso Largo, Paso Ancho and Angostura/Isla Isabel) with different trophic features. This held true when the two cruises were individually considered, as well as when comparing each macro-area between the two cruises. Additionally, a first attempt to quantify the carbon flux through the microbial compartment within the main identified macro-areas was made. The present work will allow the gaining of further understanding of the microbiology of this under-investigated sub-Antarctic marine ecosystem.</t>
  </si>
  <si>
    <t>[Lo Giudice, A.; Michaud, L.; Maugeri, T. L.; De Domenico, M.; Pomar, M. L. C. Acosta; Bruni, V.] Univ Messina, DBAEM, I-98166 Messina, Italy; [Crisafi, E.; Azzaro, M.; La Ferla, R.; Azzaro, F.] Ist Ambiente Marino Costiero IAMC CNR, I-98122 Messina, Italy</t>
  </si>
  <si>
    <t>University of Messina; Consiglio Nazionale delle Ricerche (CNR); L'Istituto per l'Ambiente Marino Costiero (IAMC-CNR)</t>
  </si>
  <si>
    <t>Lo Giudice, A (corresponding author), Univ Messina, DBAEM, Salita Sperone 31, I-98166 Messina, Italy.</t>
  </si>
  <si>
    <t>alogiudice@unime.it</t>
  </si>
  <si>
    <t>azzaro, maurizio/A-9559-2017; azzaro, Maurizio/AAE-6784-2019</t>
  </si>
  <si>
    <t>azzaro, maurizio/0000-0001-7885-2340; azzaro, Maurizio/0000-0001-7885-2340; la ferla, rosabruna/0000-0003-1029-7349; AZZARO, FILIPPO/0000-0002-5194-3856</t>
  </si>
  <si>
    <t>Progetto Nazionale di Ricerche in Antartide (PNRA)</t>
  </si>
  <si>
    <t>This research was carried out in the framework of the Magellan Project funded by the Progetto Nazionale di Ricerche in Antartide (PNRA). Ethical standards: Experiments comply with the current laws of the country in which they were performed.</t>
  </si>
  <si>
    <t>10.1007/s00300-010-0836-6</t>
  </si>
  <si>
    <t>WOS:000284545700003</t>
  </si>
  <si>
    <t>Michalik, A; van Noordwijk, HJ; Brickle, P; Eggers, T; Quillfeldt, P</t>
  </si>
  <si>
    <t>Michalik, Andreas; van Noordwijk, Hendrika J.; Brickle, Paul; Eggers, Till; Quillfeldt, Petra</t>
  </si>
  <si>
    <t>The diet of the Imperial Shag Phalacrocorax atriceps at a colony on New Island, Falkland/Malvinas Islands combining different sampling techniques</t>
  </si>
  <si>
    <t>Imperial Cormorant; Diet; Stomach content; Regurgitation; Pellet; Falkland/Malvinas Islands</t>
  </si>
  <si>
    <t>BLUE-EYED SHAG; SOUTH-SHETLAND ISLANDS; ANTARCTIC SHAG; MACQUARIE-ISLAND; DIVING BEHAVIOR; ORKNEY ISLANDS; CARBO-SINENSIS; NELSON ISLAND; CORMORANTS; BRANSFIELDENSIS</t>
  </si>
  <si>
    <t>The diet of the Imperial Shag Phalacrocorax atriceps was studied on New Island, Falkland/Malvinas Islands during the 2008/2009 breeding season, with some additional data from 2007/2008. The diet comprised a large variety of prey, mainly fish, crustaceans and squid. In contrast to other species of the blue-eyed shag complex, prey not only consisted of benthic organisms but also included pelagic prey. Different sampling techniques were combined in order to obtain a comprehensive overview of the diet. Pellets, regurgitations and stomach contents yielded different results. We discuss the causes for these variations including different sample availability over time. In particular, the stomach analyses seem to overestimate the importance of squid based on the occurrence of squid beaks. For the pellet analyses, lobster krill accounted for the majority of the prey remains except during the second half of December (i.e. when young chicks were being attended), when fish was more important.</t>
  </si>
  <si>
    <t>[Michalik, Andreas; Eggers, Till] Univ Osnabruck, Dept Biol Chem, Expt Ecol Grp, D-49076 Osnabruck, Germany; [Michalik, Andreas; van Noordwijk, Hendrika J.; Quillfeldt, Petra] Max Planck Inst Ornithol, Vogelwarte Radolfzell, D-78315 Radolfzell am Bodensee, Germany</t>
  </si>
  <si>
    <t>University Osnabruck; Max Planck Society</t>
  </si>
  <si>
    <t>Michalik, A (corresponding author), Univ Osnabruck, Dept Biol Chem, Expt Ecol Grp, Barbarastr 11, D-49076 Osnabruck, Germany.</t>
  </si>
  <si>
    <t>michalik.andreas@gmail.com</t>
  </si>
  <si>
    <t>Quillfeldt, Petra/A-9549-2009</t>
  </si>
  <si>
    <t>Quillfeldt, Petra/0000-0002-4450-8688; Brickle, Paul/0000-0002-9870-3518</t>
  </si>
  <si>
    <t>DFG-German Research Foundation, Germany [Qu 148/1-ff]; DAAD-the German Academic Exchange Service; Falkland Islands Government (Environmental Planning Office)</t>
  </si>
  <si>
    <t>DFG-German Research Foundation, Germany(German Research Foundation (DFG)); DAAD-the German Academic Exchange Service(Deutscher Akademischer Austausch Dienst (DAAD)); Falkland Islands Government (Environmental Planning Office)</t>
  </si>
  <si>
    <t>We are grateful to the New Island Conservation Trust, Ian, Maria and Georgina Strange and Dan Birch who facilitated fieldwork. We wish to thank Alexander Arkhipkin, Gritta Veit-Kohler, Gunter Purschke, Wiebke Brokeland and Charles Oliver Coleman for help in identification of prey remains. Financial support for fieldwork came from DFG-German Research Foundation, Germany (Qu 148/1-ff) and DAAD-the German Academic Exchange Service. Fieldwork at New Island was approved and co-funded by the Falkland Islands Government (Environmental Planning Office).</t>
  </si>
  <si>
    <t>10.1007/s00300-010-0843-7</t>
  </si>
  <si>
    <t>WOS:000284545700006</t>
  </si>
  <si>
    <t>McMinn, A; Martin, A; Ryan, K</t>
  </si>
  <si>
    <t>McMinn, A.; Martin, A.; Ryan, K.</t>
  </si>
  <si>
    <t>Phytoplankton and sea ice algal biomass and physiology during the transition between winter and spring (McMurdo Sound, Antarctica)</t>
  </si>
  <si>
    <t>Winter; Sea ice algae; Phytoplankton; Antarctica; Photophysiology; Fv/Fm</t>
  </si>
  <si>
    <t>PHOTOSYNTHESIS-IRRADIANCE RELATIONSHIPS; MICROBIAL COMMUNITIES; PRIMARY PRODUCTIVITY; WEDDELL SEA; MICROALGAE; GROWTH; TEMPERATURE; ABUNDANCE; PATTERNS; SURVIVAL</t>
  </si>
  <si>
    <t>The phytoplankton and sea ice algal communities at the end of winter in McMurdo Sound were dominated by Fragilariopsis sublineata, with Thalassiosira antarctica, Melosira adele, Pinnularia quadreata, Entomoneis kjellmannii and heterotrophic dinoflagellates also present. Sea ice algal biomass at the end of winter was very low, only 0.050 +/- A 0.019 mg chla m(-2) in 2007 and 0.234 +/- A 0.036 mg chla m(-2) in 2008, but this increased to 0.377 +/- A 0.078 mg chla m(-2) by early October in 2007 and to 1.07 +/- A 0.192 by late September in 2008. Under ice phytoplankton biomass remained consistently below 0.1 mu g chla l(-1) throughout the measuring period in both years. The photosynthetic parameters Fv/Fm, rETRmax and alpha document microalgal communities that are mostly healthy and well adapted to their low light under ice environment. Our results also suggest that species such as Fragilariopsis sublineata are well adapted to deal with low winter light levels but are unlikely to survive an increase in irradiance, whereas other taxa, such as Thalassiosira antarctica, will do better in a higher light environment.</t>
  </si>
  <si>
    <t>[McMinn, A.; Martin, A.] Univ Tasmania, Inst Antarctic &amp; So Ocean Studies, Hobart, Tas 7001, Australia; [Ryan, K.] Victoria Univ Wellington, Sch Biol Sci, Wellington, New Zealand</t>
  </si>
  <si>
    <t>University of Tasmania; Victoria University Wellington</t>
  </si>
  <si>
    <t>McMinn, A (corresponding author), Univ Tasmania, Inst Antarctic &amp; So Ocean Studies, Private Bag 77, Hobart, Tas 7001, Australia.</t>
  </si>
  <si>
    <t>andrew.mcminn@utas.edu.au</t>
  </si>
  <si>
    <t>McMinn, Andrew/A-9910-2008; Ryan, Ken/F-5652-2013; Martin, Andrew/F-5688-2013</t>
  </si>
  <si>
    <t>Ryan, Ken/0000-0001-7075-0112; Martin, Andrew/0000-0001-8260-5529</t>
  </si>
  <si>
    <t>Australian Research Council; FRST</t>
  </si>
  <si>
    <t>Australian Research Council(Australian Research Council); FRST(New Zealand Foundation for Research, Science and Technology)</t>
  </si>
  <si>
    <t>We would like to thank the staff of Antarctica New Zealand for providing logistics and field assistance while at Scott Base. Andrew McMinn received financial assistance from the Australian Research Council and Ken Ryan received support from FRST.</t>
  </si>
  <si>
    <t>10.1007/s00300-010-0844-6</t>
  </si>
  <si>
    <t>WOS:000284545700007</t>
  </si>
  <si>
    <t>Demarchi, M; Chiappero, MB; Tatián, M; Sahade, R</t>
  </si>
  <si>
    <t>Demarchi, Milagros; Chiappero, Marina B.; Tatian, Marcos; Sahade, Ricardo</t>
  </si>
  <si>
    <t>Population genetic structure of the Antarctic ascidian Aplidium falklandicum from Scotia Arc and South Shetland Islands</t>
  </si>
  <si>
    <t>Aplidium falklandicum; Population genetics; ISSR-PCR; Antarctic shallow shelf</t>
  </si>
  <si>
    <t>LIMPET NACELLA-CONCINNA; CIRCUMPOLAR CURRENT; CRYPTIC SPECIATION; ISSR MARKERS; SEA; IMPACT; DIFFERENTIATION; DIVERGENCE; DIVERSITY; BIVALVE</t>
  </si>
  <si>
    <t>In sessile marine organisms, gene flow between populations depends mainly on free-living reproductive stages (such as larvae and gametes), and usually the strength of genetic structure is related to the time spent in the plankton and physical factors as oceanographic conditions. In Antarctica, abyssal depths that surround the continent and the Polar Front are considered strong barriers for benthic marine fauna, keeping the continent isolated from other shelves. The only available shallow water habitats between South America and the Antarctic continent are those around the Scotia Arc Islands; there are no shallow water habitats between the other southern continents and Antarctica. In this work, ISSRs-PCR markers were used to study the genetic structure of populations of Aplidium falklandicum, a compound ascidian with short-lived lecitotrophic larvae. A highly significant genetic differentiation (I broken vertical bar(ST) = 0.405; P &lt; 0.05) and a pattern of isolation by distance were found. A genetic landscape approach identified a discontinuity in genetic diversity, coincident with the southernmost registered position of the Polar Front. For A. falklandicum, a species with presumably low capacity of long distance dispersal, the abyssal depths together with the large geographic distances create a barrier for gene flow.</t>
  </si>
  <si>
    <t>[Demarchi, Milagros; Chiappero, Marina B.; Tatian, Marcos; Sahade, Ricardo] Univ Nacl Cordoba, Fac Ciencias Exactas Fis &amp; Nat, RA-5000 Cordoba, Argentina; [Demarchi, Milagros; Chiappero, Marina B.; Tatian, Marcos; Sahade, Ricardo] Consejo Nacl Invest Cient &amp; Tecn, RA-1033 Buenos Aires, DF, Argentina</t>
  </si>
  <si>
    <t>National University of Cordoba; Consejo Nacional de Investigaciones Cientificas y Tecnicas (CONICET)</t>
  </si>
  <si>
    <t>Sahade, R (corresponding author), Univ Nacl Cordoba, Fac Ciencias Exactas Fis &amp; Nat, Av Velez Sarsfield 299, RA-5000 Cordoba, Argentina.</t>
  </si>
  <si>
    <t>milydemarchi@hotmail.com; mbchiappero@efn.uncor.edu; mtatian@efn.uncor.edu; rsahade@efn.uncor.edu</t>
  </si>
  <si>
    <t>Tatian, Marcos/0000-0002-9092-9184; Chiappero, Marina Beatriz/0000-0003-3009-8646</t>
  </si>
  <si>
    <t>Alfred Wegener Institute; CONICET; Spanish Council of Scientific and Technical Research (CICYT); Spanish Antarctic Programmes; Instituto Antartico Argentino (IAA); FONCyT</t>
  </si>
  <si>
    <t>Alfred Wegener Institute; CONICET(Consejo Nacional de Investigaciones Cientificas y Tecnicas (CONICET)); Spanish Council of Scientific and Technical Research (CICYT)(Consejo Interinstitucional de Ciencia y Tecnologia (CICYT)); Spanish Antarctic Programmes; Instituto Antartico Argentino (IAA); FONCyT(FONCyT)</t>
  </si>
  <si>
    <t>We thank the crew and participants of the LAMPOS Expedition (R/V Polarstern) and BENTART-06 (BIO Hesperides) for their help and assistance. We are gratefully acknowledged to Noemi Gardenal, who gave her help for the laboratory techniques and also to Wolf Arntz and Ana Ramos for their constant support. Financial and logistic supports were provided by Alfred Wegener Institute, CONICET, Spanish Council of Scientific and Technical Research (CICYT), Spanish Antarctic Programmes and Instituto Antartico Argentino (IAA) and FONCyT.</t>
  </si>
  <si>
    <t>10.1007/s00300-010-0848-2</t>
  </si>
  <si>
    <t>WOS:000284545700009</t>
  </si>
  <si>
    <t>Sato-Okoshi, W; Okoshi, K; Sasaki, H; Akiha, F</t>
  </si>
  <si>
    <t>Sato-Okoshi, Waka; Okoshi, Kenji; Sasaki, Hiroshi; Akiha, Fumihiro</t>
  </si>
  <si>
    <t>Shell structure of two polar pelagic molluscs, Arctic Limacina helicina and Antarctic Limacina helicina antarctica forma antarctica</t>
  </si>
  <si>
    <t>Shell structure; Axial ribs; Pteropoda; Limacina helicina antarctica forma antarctica; Limacina helicina; Crossed-lamellar structure; Prismatic structure</t>
  </si>
  <si>
    <t>BIVALVE LATERNULA-ELLIPTICA; OCEAN ACIDIFICATION; SOUTHERN-OCEAN; GROWTH; IMPACT</t>
  </si>
  <si>
    <t>The purpose of this study was to investigate shell growth performance in two thin-shelled pelagic gastropods from cold seawater habitats. The shells of Arctic Limacina helicina and Antarctic Limacina helicina antarctica forma antarctica are very thin, approximately 2-9 mu m for shells of 0.5-6 mm in diameter. Many axial ribbed growth lines were observed on the surface of the shell of both Limacina species. Distinct axial ribs were observed on the outermost whorl, while weak or no rib-like structures were observed on the inner whorls in the larger shell of L. helicina antarctica forma antarctica. For L. helicina, no ribs were observed on small individuals with three whorls, while larger individuals had distinct ribs on the outer whorls. Shell microstructure was examined in both species. There is an inner crossed-lamellar and extremely thin outer prismatic layer in small individuals of both species, and a distinct thick inner prismatic layer was observed beneath the crossed-lamellar layer in large Antarctic individuals. Various orientations of the crossed-lamellar structure were observed in one individual. Shell structure appeared to be different between the Antarctic and Arctic species and among shells of different size.</t>
  </si>
  <si>
    <t>[Sato-Okoshi, Waka] Tohoku Univ, Aquat Ecol Lab, Grad Sch Agr Sci, Sendai, Miyagi 9818555, Japan; [Okoshi, Kenji; Sasaki, Hiroshi; Akiha, Fumihiro] Ishinomaki Senshu Univ, Dept Biol Engn, Ishinomaki 9868580, Japan</t>
  </si>
  <si>
    <t>Tohoku University</t>
  </si>
  <si>
    <t>Sato-Okoshi, W (corresponding author), Tohoku Univ, Aquat Ecol Lab, Grad Sch Agr Sci, Sendai, Miyagi 9818555, Japan.</t>
  </si>
  <si>
    <t>wsokoshi@bios.tohoku.ac.jp</t>
  </si>
  <si>
    <t>10.1007/s00300-010-0849-1</t>
  </si>
  <si>
    <t>WOS:000284545700010</t>
  </si>
  <si>
    <t>Barrera-Oro, ER; Lagger, C</t>
  </si>
  <si>
    <t>Barrera-Oro, Esteban R.; Lagger, Cristian</t>
  </si>
  <si>
    <t>Egg-guarding behaviour in the Antarctic bathydraconid dragonfish Parachaenichthys charcoti</t>
  </si>
  <si>
    <t>Notothenioidei; South Shetland Islands; Parental care</t>
  </si>
  <si>
    <t>HARPAGIFER-BISPINIS; NESTING-BEHAVIOR; REPRODUCTION; NOTOTHENIOIDEI; PISCES; FISH; PENINSULA; ISLAND</t>
  </si>
  <si>
    <t>This paper provides the first photographic evidence of nest-guarding posture in the Antarctic bathydraconid Parachaenichthys charcoti in its natural habitat. Because bathydraconids are not monophyletic and P. charcoti is included in a different clade than Gymnodraco acuticeps, there is now documentation of nest guarding in all major clades of Antarctic notothenioids except for the Artedidraconidae.</t>
  </si>
  <si>
    <t>[Barrera-Oro, Esteban R.] Inst Antartico Argentino, RA-1010 Buenos Aires, DF, Argentina; [Lagger, Cristian] Univ Nacl Cordoba, Fac Ciencias Exactas Fis &amp; Nat, RA-5000 Cordoba, Argentina; [Barrera-Oro, Esteban R.] Museo Argentino Ciencias Nat Bernardino Rivadavia, Buenos Aires, DF, Argentina; [Barrera-Oro, Esteban R.] Consejo Nacl Invest Cient &amp; Tecn, RA-1033 Buenos Aires, DF, Argentina</t>
  </si>
  <si>
    <t>Instituto Antartico Argentino; National University of Cordoba; Museo Argentino de Ciencias Naturales Bernardino Rivadavia (MACN); Consejo Nacional de Investigaciones Cientificas y Tecnicas (CONICET)</t>
  </si>
  <si>
    <t>Barrera-Oro, ER (corresponding author), Inst Antartico Argentino, Cerrito 1248, RA-1010 Buenos Aires, DF, Argentina.</t>
  </si>
  <si>
    <t>ebarreraoro@dna.gov.ar</t>
  </si>
  <si>
    <t>10.1007/s00300-010-0847-3</t>
  </si>
  <si>
    <t>WOS:000284545700011</t>
  </si>
  <si>
    <t>Pitman, RL; Durban, JW</t>
  </si>
  <si>
    <t>Pitman, Robert L.; Durban, John W.</t>
  </si>
  <si>
    <t>Killer whale predation on penguins in Antarctica</t>
  </si>
  <si>
    <t>Antarctic Peninsula; Chinstrap Penguin; Gentoo Penguin; Killer whale; Orcinus orca; Predation</t>
  </si>
  <si>
    <t>ORCINUS-ORCA; BEHAVIOR; ADELIE</t>
  </si>
  <si>
    <t>We report here the first published observations of killer whales (Orcinus orca) feeding on penguins in Antarctica. The sightings took place in the Gerlache Strait off the western Antarctic Peninsula during February 2010. Two species of pygoscelid penguins were taken-gentoo (Pygoscelis papua, at least four individuals) and chinstrap (P. antarctica, 2). From remains left at the surface, it was clear that the killer whales fed mainly on the breast muscles, although some penguins may have been swallowed whole. The killer whales were ecotype B, which are purported seal specialists, but we also saw ecotype A, prey specialists on Antarctic minke whales Balaenoptera bonaerensis, chase, but not catch penguins. Because of their small relative size, if penguins are regularly targeted by killer whales in Antarctica, the impact on their populations could be significant.</t>
  </si>
  <si>
    <t>[Pitman, Robert L.; Durban, John W.] Natl Ocean &amp; Atmospher Adm, Protected Resources Div, SW Fisheries Sci Ctr, Natl Marine Fisheries Serv, La Jolla, CA 92037 USA</t>
  </si>
  <si>
    <t>Pitman, RL (corresponding author), Natl Ocean &amp; Atmospher Adm, Protected Resources Div, SW Fisheries Sci Ctr, Natl Marine Fisheries Serv, 8604 La Jolla Shores Dr, La Jolla, CA 92037 USA.</t>
  </si>
  <si>
    <t>robert.pitman@noaa.gov</t>
  </si>
  <si>
    <t>US National Oceanographic and Atmospheric Administration (NOAA) Fisheries; British Broadcasting Corporation (BBC) Natural History Film Unit</t>
  </si>
  <si>
    <t>US National Oceanographic and Atmospheric Administration (NOAA) Fisheries(National Oceanic Atmospheric Admin (NOAA) - USA); British Broadcasting Corporation (BBC) Natural History Film Unit</t>
  </si>
  <si>
    <t>This work was supported by US National Oceanographic and Atmospheric Administration (NOAA) Fisheries and the British Broadcasting Corporation (BBC) Natural History Film Unit. We would like to thank Jerome and Dion Poncet of the Golden Fleece for their capable boat handling, and a special thanks to the BBC Frozen Planet film crew-E. White, D. Anderson and T. Fitz-for their enthusiastic support and assistance with our research efforts. D. Ainley improved our manuscript with his comments.</t>
  </si>
  <si>
    <t>10.1007/s00300-010-0853-5</t>
  </si>
  <si>
    <t>WOS:000284545700012</t>
  </si>
  <si>
    <t>Muratli, JM; Chase, Z; McManus, J; Mix, A</t>
  </si>
  <si>
    <t>Muratli, Jesse M.; Chase, Zanna; McManus, James; Mix, Alan</t>
  </si>
  <si>
    <t>Ice-sheet control of continental erosion in central and southern Chile (36°-41°S) over the last 30,000 years</t>
  </si>
  <si>
    <t>QUATERNARY SCIENCE REVIEWS</t>
  </si>
  <si>
    <t>GLACIAL MAXIMUM; MARINE RECORD; CLIMATE; TRENCH; VARIABILITY; MARGIN; SEDIMENTATION; PALEOCLIMATE; PRODUCTIVITY; AMERICA</t>
  </si>
  <si>
    <t>Bulk sediment chemistry from three Chilean continental margin Ocean Drilling Program sites constrains regional continental erosion over the past 30 000 years Sediments from thirteen rivers that drain the (mostly igneous) Andes and the (mostly metamorphic) Coast Range along with existing rock chemistry datasets define terrestrial provenance for the continental margin sediments Andean river sediments have high Mg/Al relative to Coast Range river sediments Near 36 S marine sediments have high Mg/Al (i e more Andean) sources during the last glacial period and lower Mg/Al (less Andean) sources during the Holocene Near 41 S a Ti rich source likely from coast-range Igneous intrusions is prevalent during Holocene time whereas high Mg/Al Andean sources are more prevalent during the last glacial period We infer that there is a dominant ice sheet control of sediment sources At 36 S Andean sourced sediment decreased as Andean mountain glaciers retreated after similar to 17 6 ka coincident with local oceanic warming and southward retreat of the Patagonian Forest and by Inference westerly winds At 41 S Andean sediment dominance peaks and then rapidly declines at similar to 19 ka coincident with local oceanic warming and the earliest deglacial sea level rise We hypothesize that this decreased flux of Andean material in the south is related to rapid retreat of the marine based portion of the Patagonian Ice Sheet in response to global sea level rise as the resulting flooding of the southern portion of the Central Valley created a sink for Andean sediments in this region Reversal of the decreasing deglacial Mg/Al trend at 41 S from 14 5 to 13 0 ka is consistent with a brief re advance of the Patagonian ice sheet coincident with the Antarctic Cold Reversal (C) 2010 Elsevier Ltd All rights reserved</t>
  </si>
  <si>
    <t>[Muratli, Jesse M.; Chase, Zanna; McManus, James; Mix, Alan] Oregon State Univ, Coll Ocean &amp; Atmospher Sci, Corvallis, OR 97331 USA</t>
  </si>
  <si>
    <t>Oregon State University</t>
  </si>
  <si>
    <t>McManus, J (corresponding author), Oregon State Univ, Coll Ocean &amp; Atmospher Sci, 104 Ocean Admin Bldg, Corvallis, OR 97331 USA.</t>
  </si>
  <si>
    <t>McManus, James/GSM-7165-2022; Chase, Zanna/E-9232-2013</t>
  </si>
  <si>
    <t>Chase, Zanna/0000-0001-5060-779X</t>
  </si>
  <si>
    <t>National Science Foundation [OCE-0526278, OCE-0753487, AGS-0602395]</t>
  </si>
  <si>
    <t>National Science Foundation(National Science Foundation (NSF))</t>
  </si>
  <si>
    <t>We sincerely appreciate the thoughtful comments by Frank Lamy and an anonymous reviewer The authors gratefully acknowledge R Venegas who helped us (ACM and JMM) navigate through central Chile and made the river dataset possible J McKay and A Ungerer assisted in the laboratory P Clark kindly shared his sea-level compilation used in Figs 5 and 7 Samples used in this work were provided by the Ocean Drilling Program This research was financially supported by grants from the National Science Foundation to JM ZC and ACM (OCE-0526278) and to JM (OCE-0753487) and to AM (AGS-0602395) Additional support was provided by the Gordon &amp; Betty Moore Foundation (to ACM) Any opinion finding and conclusions or recommendations expressed in this material are those of the authors and do not necessarily reflect the views of the National Science Foundation</t>
  </si>
  <si>
    <t>0277-3791</t>
  </si>
  <si>
    <t>QUATERNARY SCI REV</t>
  </si>
  <si>
    <t>Quat. Sci. Rev.</t>
  </si>
  <si>
    <t>23-24</t>
  </si>
  <si>
    <t>10.1016/j.quascirev.2010.06.037</t>
  </si>
  <si>
    <t>Geography, Physical; Geosciences, Multidisciplinary</t>
  </si>
  <si>
    <t>Physical Geography; Geology</t>
  </si>
  <si>
    <t>673YB</t>
  </si>
  <si>
    <t>WOS:000283699000019</t>
  </si>
  <si>
    <t>Powell, SM; Bowman, JP; Ferguson, SH; Snape, I</t>
  </si>
  <si>
    <t>Powell, S. M.; Bowman, J. P.; Ferguson, S. H.; Snape, I.</t>
  </si>
  <si>
    <t>The importance of soil characteristics to the structure of alkane-degrading bacterial communities on sub-Antarctic Macquarie Island</t>
  </si>
  <si>
    <t>SOIL BIOLOGY &amp; BIOCHEMISTRY</t>
  </si>
  <si>
    <t>Sub-Antarctic; Hydrocarbon; Microbial diversity; tRFLP; Alkane mono-oxygenase</t>
  </si>
  <si>
    <t>RESTRICTION-FRAGMENT-LENGTH; REAL-TIME PCR; HYDROCARBON CONTAMINATION; MICROBIAL-POPULATIONS; CLONE LIBRARY; GENES; OIL; BIOREMEDIATION; DEGRADATION; DIVERSITY</t>
  </si>
  <si>
    <t>An investigation of the influence of soil properties on microbial community dynamics in soil on sub-Antarctic Macquarie Island found that both carbon and nitrogen were important factors in determining soil microbial community structure. The phylogenetic diversity of soil microbial communities in hydrocarbon contaminated and non-contaminated sites was compared to the diversity of hydrocarbon-degrading genes and soil physicochemical characteristics. Genes involved in hydrocarbon degradation including alkane mono-oxygenase, catchecol-2,3-dioxygenase and naphthalene dioxygenase were found throughout the study sites. Terminal restriction fragment length polymorphism analysis of the 165 rRNA and alkB genes found that the patterns of diversity of these two genes were only correlated with each other where measurable levels of hydrocarbons were detected. We found that different sections of the microbial community are affected by different environmental factors depending on whether hydrocarbons were present. The overall microbial community structure as measured by the 165 rRNA gene was most influenced by the presence of carbon both as total organic carbon and as petroleum hydrocarbons. The alkane-degrading community was also influenced by carbon. Where hydrocarbons were present petroleum hydrocarbon concentration as well as the form and concentration of nitrogen present also influenced the alkane-degrading community. This level of complexity in the microbial community dynamics suggests that it is unlikely that one single environmental factor is responsible for structuring microbial communities. Crown Copyright (C) 2010 Published by Elsevier Ltd. All rights reserved.</t>
  </si>
  <si>
    <t>[Powell, S. M.; Bowman, J. P.] Univ Tasmania, Tasmanian Inst Agr Res, Hobart, Tas 7001, Australia; [Powell, S. M.; Ferguson, S. H.; Snape, I.] Australian Antarctic Div, Dept Environm Water Heritage &amp; Arts, Kingston, Tas 7050, Australia</t>
  </si>
  <si>
    <t>University of Tasmania; Australian Antarctic Division</t>
  </si>
  <si>
    <t>Powell, SM (corresponding author), Univ Tasmania, Tasmanian Inst Agr Res, Private Bag 54, Hobart, Tas 7001, Australia.</t>
  </si>
  <si>
    <t>Shane.powell@utas.edu.au</t>
  </si>
  <si>
    <t>Powell, Shane M/C-2391-2014; Bowman, John P./ABF-5108-2020; Bowman, John P/C-2414-2014</t>
  </si>
  <si>
    <t>Bowman, John P./0000-0002-4528-9333; Bowman, John P/0000-0002-4528-9333; Powell, Shane/0000-0001-5082-1630</t>
  </si>
  <si>
    <t>Australian Antarctic Science grants</t>
  </si>
  <si>
    <t>This work was supported financially by Australian Antarctic Science grants. The authors would like to thank members of the 2008 Bioremediation Macquarie Island field team for sample collection and G. Hince, S. Stark, A. Palmer and J. Wasley for carrying out the chemical analyses. The authors would also like to acknowledge helpful suggestions for improving the manuscript from two anonymous reviewers.</t>
  </si>
  <si>
    <t>0038-0717</t>
  </si>
  <si>
    <t>SOIL BIOL BIOCHEM</t>
  </si>
  <si>
    <t>Soil Biol. Biochem.</t>
  </si>
  <si>
    <t>10.1016/j.soilbio.2010.07.027</t>
  </si>
  <si>
    <t>Soil Science</t>
  </si>
  <si>
    <t>Agriculture</t>
  </si>
  <si>
    <t>671AT</t>
  </si>
  <si>
    <t>WOS:000283472600014</t>
  </si>
  <si>
    <t>Reick, CH; Raddatz, T; Pongratz, J; Claussen, M</t>
  </si>
  <si>
    <t>Reick, Christian H.; Raddatz, Thomas; Pongratz, Julia; Claussen, Martin</t>
  </si>
  <si>
    <t>Contribution of anthropogenic land cover change emissions to pre-industrial atmospheric CO2</t>
  </si>
  <si>
    <t>TELLUS SERIES B-CHEMICAL AND PHYSICAL METEOROLOGY</t>
  </si>
  <si>
    <t>GLOBAL CARBON-CYCLE; ANNUAL NET FLUX; ICE-CORE; TAYLOR-DOME; LAW DOME; CLIMATE; VARIABILITY; HOLOCENE; CROPLANDS; ORIGIN</t>
  </si>
  <si>
    <t>Based on a recent reconstruction of anthropogenic land cover change (ALCC), we derive the associated CO2 emissions since 800 AD by two independent methods: a bookkeeping approach and a process model. The results are compared with the pre-industrial development of atmospheric CO2 known from antarctic ice cores. Our results show that pre-industrial CO2 emissions from ALCC have been relevant for the pre-industrial carbon cycle, although before 1750 AD their trace in atmospheric CO2 is obscured by other processes of similar magnitude. After 1750 AD, the situation is different: the steep increase in atmospheric CO2 until 1850 AD-this is before fossil fuel emissions rose to significant values-is to a substantial part explained by growing emissions from ALCC.</t>
  </si>
  <si>
    <t>[Reick, Christian H.; Raddatz, Thomas; Claussen, Martin] Max Planck Inst Meteorol, D-20146 Hamburg, Germany; [Pongratz, Julia] Carnegie Inst, Dept Global Ecol, Stanford, CA USA; [Claussen, Martin] Univ Hamburg, Hamburg, Germany</t>
  </si>
  <si>
    <t>Max Planck Society; Carnegie Institution for Science; University of Hamburg</t>
  </si>
  <si>
    <t>Reick, CH (corresponding author), Max Planck Inst Meteorol, Bundesstr 55, D-20146 Hamburg, Germany.</t>
  </si>
  <si>
    <t>Christian.Reick@zmaw.de</t>
  </si>
  <si>
    <t>Pongratz, Julia/AAG-3274-2019</t>
  </si>
  <si>
    <t>1600-0889</t>
  </si>
  <si>
    <t>TELLUS B</t>
  </si>
  <si>
    <t>Tellus Ser. B-Chem. Phys. Meteorol.</t>
  </si>
  <si>
    <t>10.1111/j.1600-0889.2010.00479.x</t>
  </si>
  <si>
    <t>667BJ</t>
  </si>
  <si>
    <t>hybrid, Green Published</t>
  </si>
  <si>
    <t>WOS:000283167300003</t>
  </si>
  <si>
    <t>Jones, EM; Bakker, DCE; Venables, HJ; Whitehouse, MJ; Korb, RE; Watson, AJ</t>
  </si>
  <si>
    <t>Jones, Elizabeth M.; Bakker, Dorothee C. E.; Venables, Hugh J.; Whitehouse, Michael J.; Korb, Rebecca E.; Watson, Andrew J.</t>
  </si>
  <si>
    <t>Rapid changes in surface water carbonate chemistry during Antarctic sea ice melt</t>
  </si>
  <si>
    <t>NET COMMUNITY PRODUCTION; WEDDELL SEA; SOUTHERN-OCEAN; SCOTIA SEA; INORGANIC CARBON; ATMOSPHERIC CO2; PRIMARY PRODUCTIVITY; PHYTOPLANKTON BLOOM; CIRCUMPOLAR CURRENT; BRANSFIELD STRAIT</t>
  </si>
  <si>
    <t>The effect of sea ice melt on the carbonate chemistry of surface waters in the Weddell-Scotia Confluence, Southern Ocean, was investigated during January 2008. Contrasting concentrations of dissolved inorganic carbon (DIC), total alkalinity (TA) and the fugacity of carbon dioxide (fCO(2)) were observed in and around the receding sea ice edge. The precipitation of carbonate minerals such as ikaite (CaCO3 center dot 6H(2)O) in sea ice brine has the net effect of decreasing DIC and TA and increasing the fCO(2) in the brine. Deficits in DIC up to 12 +/- 3 mu mol kg-1 in the marginal ice zone (MIZ) were consistent with the release of DIC-poor brines to surface waters during sea ice melt. Biological utilization of carbon was the dominant processes and accounted for 41 +/- 1 mu mol kg-1 of the summer DIC deficit. The data suggest that the combined effects of biological carbon uptake and the precipitation of carbonates created substantial undersaturation in fCO(2) of 95 mu atm in the MIZ during summer sea ice melt. Further work is required to improve the understanding of ikaite chemistry in Antarctic sea ice and its importance for the sea ice carbon pump.</t>
  </si>
  <si>
    <t>[Jones, Elizabeth M.; Bakker, Dorothee C. E.; Watson, Andrew J.] Univ E Anglia, Sch Environm Sci, Norwich NR4 7TJ, Norfolk, England; [Venables, Hugh J.; Whitehouse, Michael J.; Korb, Rebecca E.] British Antarctic Survey, Cambridge CB3 0ET, England</t>
  </si>
  <si>
    <t>University of East Anglia; UK Research &amp; Innovation (UKRI); Natural Environment Research Council (NERC); NERC British Antarctic Survey</t>
  </si>
  <si>
    <t>Jones, EM (corresponding author), Univ E Anglia, Sch Environm Sci, Norwich NR4 7TJ, Norfolk, England.</t>
  </si>
  <si>
    <t>elizabeth.jones@uea.ac.uk</t>
  </si>
  <si>
    <t>; Bakker, Dorothee/E-4951-2015</t>
  </si>
  <si>
    <t>Watson, Andrew/0000-0002-9654-8147; Bakker, Dorothee/0000-0001-9234-5337</t>
  </si>
  <si>
    <t>Natural Environment Research Council (NERC); Centre for observation of Air-Sea Interactions and fluXes (CASIX) [NER/F14/G6/115]; Antarctic Funding Initiative (AFI) through the Collaborative Gearing Scheme [CGS8/28]; Natural Environment Research Council [bas0100033, earth010003, bas0100028] Funding Source: researchfish; NERC [earth010003, bas0100028, bas0100033] Funding Source: UKRI</t>
  </si>
  <si>
    <t>Natural Environment Research Council (NERC)(UK Research &amp; Innovation (UKRI)Natural Environment Research Council (NERC)); Centre for observation of Air-Sea Interactions and fluXes (CASIX); Antarctic Funding Initiative (AFI) through the Collaborative Gearing Scheme; Natural Environment Research Council(UK Research &amp; Innovation (UKRI)Natural Environment Research Council (NERC)); NERC(UK Research &amp; Innovation (UKRI)Natural Environment Research Council (NERC))</t>
  </si>
  <si>
    <t>The authors would like to thank the Captain, officers, crew and scientists involved in cruise JR177 and the British Antarctic Survey for making the RRS James Clark Ross available to us. The cruise was a component of the British Antarctic Survey's DISCOVERY-2010 programme. This work is part of PhD research by EM Jones at the University of East Anglia funded by the Natural Environment Research Council (NERC) under the auspices of the Centre for observation of Air-Sea Interactions and fluXes (CASIX) (NER/F14/G6/115). Participation in the cruise was supported by the Antarctic Funding Initiative (AFI) through the Collaborative Gearing Scheme (CGS8/28). The authors acknowledge the constructive comments by the editors and an anonymous reviewer.</t>
  </si>
  <si>
    <t>10.1111/j.1600-0889.2010.00496.x</t>
  </si>
  <si>
    <t>WOS:000283167300024</t>
  </si>
  <si>
    <t>Racapé, V; Lo Monaco, C; Metzl, N; Pierre, C</t>
  </si>
  <si>
    <t>Racape, V.; Lo Monaco, C.; Metzl, N.; Pierre, C.</t>
  </si>
  <si>
    <t>Summer and winter distribution of δ13CDIC in surface waters of the South Indian Ocean [20°S-60°S]</t>
  </si>
  <si>
    <t>ANTHROPOGENIC CO2; CARBON-DIOXIDE; INORGANIC CARBON; SEA; C-13; AIR; EXCHANGE; C-13/C-12; FRONTS; FLUX</t>
  </si>
  <si>
    <t>This paper describes for the first time the summer and winter distributions of sea surface delta 13C(DIC) in the Southern Indian Ocean (20 degrees S-60 degrees S). For this we used delta 13C(DIC) measurements from 10 cruises conducted between 1998 and 2005. For summer and winter, the highest delta 13C(DIC) values (&gt; 2 parts per thousand) are observed in sub-Antarctic waters (40 degrees S-50 degrees S) and attributed mainly to biological activity, enhanced in the vicinity of Crozet and Kerguelen Archipelagoes. The lowest delta 13C(DIC) values are found in subtropical waters (25 degrees S-35 degrees S), with a minimum (&lt; 1 parts per thousand) in the Agulhas Current region and in the Mozambique channel. On the seasonal scale, delta 13C(DIC) is higher during summer than during winter in all regions. The largest seasonal amplitude of variation (similar to 0.3 parts per thousand), observed in the region 35 degrees S-40 degrees S, is attributed to biological activity during summer and to deep vertical mixing during winter. In subtropical oligotrophic waters, the mean seasonal amplitude of variation (similar to 0.15 parts per thousand) is mainly explained by air-sea CO2 fluxes. On the interannual scale, we also identified a large negative anomaly of delta 13C(DIC) in the subtropical waters during austral summer 2002, associated to an anomalous ocean CO2 sink due to cold conditions during this period.</t>
  </si>
  <si>
    <t>[Racape, V.; Lo Monaco, C.; Metzl, N.; Pierre, C.] Univ Paris 06, LOCEAN IPSL, F-75252 Paris 05, France</t>
  </si>
  <si>
    <t>Museum National d'Histoire Naturelle (MNHN); Sorbonne Universite</t>
  </si>
  <si>
    <t>Racapé, V (corresponding author), Univ Paris 06, LOCEAN IPSL, Case 100,4 Pl Jussieu, F-75252 Paris 05, France.</t>
  </si>
  <si>
    <t>virginie.racape@ird.fr</t>
  </si>
  <si>
    <t>Racapé, Virginie/J-3586-2015; Monaco, Claire Lo/E-1696-2012</t>
  </si>
  <si>
    <t>Lo Monaco, Claire/0000-0002-5653-5018; metzl, nicolas/0000-0002-1165-1074</t>
  </si>
  <si>
    <t>INSU (Institut National des Sciences de l'Univers); IPSL (Institut Pierre Simon Laplace); IPEV (Institut Paul Emile Victor)</t>
  </si>
  <si>
    <t>The OISO program is supported by three French institutes: INSU (Institut National des Sciences de l'Univers), IPSL (Institut Pierre Simon Laplace) and IPEV (Institut Paul Emile Victor). We are thankful to the captains and crews of R. S. S. Marion Dufresne and colleagues at LOCEAN for their active participation during the OISO cruises. We are also grateful to A. Tagliabue and three anonymous reviewers for their constructive comments.</t>
  </si>
  <si>
    <t>10.1111/j.1600-0889.2010.00504.x</t>
  </si>
  <si>
    <t>WOS:000283167300027</t>
  </si>
  <si>
    <t>Undheim, EAB; Georgieva, DN; Thoen, HH; Norman, JA; Mork, J; Betzel, C; Fry, BG</t>
  </si>
  <si>
    <t>Undheim, E. A. B.; Georgieva, D. N.; Thoen, H. H.; Norman, J. A.; Mork, J.; Betzel, C.; Fry, B. G.</t>
  </si>
  <si>
    <t>Venom on ice: First insights into Antarctic octopus venoms</t>
  </si>
  <si>
    <t>TOXICON</t>
  </si>
  <si>
    <t>Octopoda; Antarctic; Venom; Adaptation; Enzyme</t>
  </si>
  <si>
    <t>AGKISTRODON-BLOMHOFFII-USSURENSIS; POSTERIOR SALIVARY GLANDS; BUNGARUS-FASCIATUS VENOM; SYNANCEJA-HORRIDA VENOM; THROMBIN-LIKE ENZYME; SEA-SNAKE VENOMS; SOUTHERN-OCEAN; ELEDONE-CIRRHOSA; STRUCTURAL-CHARACTERIZATION; ALKALINE-PHOSPHATASE</t>
  </si>
  <si>
    <t>The venom of Antarctic octopus remains completely unstudied. Here, a preliminary investigation was conducted into the properties of posterior salivary gland (PSG) extracts from four Antarctica eledonine (Incirrata; Octopodidae) species (Adelieledone polymorpha, Megaleledone setebos, Pareledone aequipapillae, and Pareledone turqueti) collected from the coast off George V's Land, Antarctica. Specimens were assayed for alkaline phosphatase (ALP), acetylcholinesterase (AChE), proteolytic, phospholipase A(2) (PLA(2)), and haemolytic activities. For comparison, stomach tissue from Cirroctopus sp. (Cirrata; Cirroctopodidae) was also assayed for ALP, AChE, proteolytic and haemolytic activities. Dietary and morphological data were collected from the literature to explore the ecological importance of venom, taking an adaptive evolutionary approach. Of the incirrate species, three showed activities in all assays, while P. turqueti did not exhibit any haemolytic activity. There was evidence for cold-adaptation of ALP in all incirrates, while proteolytic activity in all except P. turqueti. Cirroctopus sp. stomach tissue extract showed ALP, AChE and some proteolytic activity. It was concluded that the AChE activity seen in the PSG extracts was possibly due to a release of household proteins, and not one of the secreted salivary toxins. Although venom undoubtedly plays an important part in prey capture and processing by Antarctica eledonines, no obvious adaptations to differences in diet or morphology were apparent from the enzymatic and haemolytic assays. However, several morphological features including enlarged PSG, small buccal mass, and small beak suggest such adaptations are present. Future studies should be conducted on several levels: Venomic, providing more detailed information on the venom compositions as well as the venom components themselves; ecological, for example application of serological or genetic methods in identifying stomach contents; and behavioural, including observations on capture of different types of prey. (C) 2010 Elsevier Ltd. All rights reserved.</t>
  </si>
  <si>
    <t>[Undheim, E. A. B.; Thoen, H. H.; Norman, J. A.; Fry, B. G.] Univ Melbourne, Dept Biochem &amp; Mol Biol, Inst Bio21, Melbourne, Vic 3000, Australia; [Undheim, E. A. B.; Thoen, H. H.; Mork, J.] Norwegian Univ Technol &amp; Sci, Dept Biol, Trondheim Biol Stn, N-7491 Trondheim, Norway; [Georgieva, D. N.; Betzel, C.] Univ Hamburg, Inst Biochem &amp; Mol Biol, Lab Struct Biol Infect &amp; Inflammat, Hamburg, Germany</t>
  </si>
  <si>
    <t>University of Melbourne; Melbourne Bioinformatics; Norwegian University of Science &amp; Technology (NTNU); University of Hamburg</t>
  </si>
  <si>
    <t>Fry, BG (corresponding author), Univ Melbourne, Dept Biochem &amp; Mol Biol, Inst Bio21, Melbourne, Vic 3000, Australia.</t>
  </si>
  <si>
    <t>bgf@unimelb.edu.au</t>
  </si>
  <si>
    <t>Undheim, Eivind A B/J-1557-2014; Betzel, Christian/G-8105-2018</t>
  </si>
  <si>
    <t>Thoen, Hanne Halkinrud/0000-0001-8695-9578; Undheim, Eivind/0000-0002-8667-3999</t>
  </si>
  <si>
    <t>Australian Antarctic Division; Herman Slade Foundation</t>
  </si>
  <si>
    <t>Funding for this project was provided by the Australian Antarctic Division and the Herman Slade Foundation. We would also like to express our sincere thanks and gratitude to the Australian Antarctic Division for providing sea-time aboard RV Aurora Australis, the crew onboard RV Aurora Australis for bringing up countless trawl catches, and to voyage leader Dr Martin Riddle and deputy voyage leader Ms Sarah Robinson for a productive research cruise.</t>
  </si>
  <si>
    <t>0041-0101</t>
  </si>
  <si>
    <t>Toxicon</t>
  </si>
  <si>
    <t>10.1016/j.toxicon.2010.06.013</t>
  </si>
  <si>
    <t>Pharmacology &amp; Pharmacy; Toxicology</t>
  </si>
  <si>
    <t>655MK</t>
  </si>
  <si>
    <t>WOS:000282253900006</t>
  </si>
  <si>
    <t>Chever, F; Bucciarelli, E; Sarthou, G; Speich, S; Arhan, M; Penven, P; Tagliabue, A</t>
  </si>
  <si>
    <t>Chever, F.; Bucciarelli, E.; Sarthou, G.; Speich, S.; Arhan, M.; Penven, P.; Tagliabue, A.</t>
  </si>
  <si>
    <t>Physical speciation of iron in the Atlantic sector of the Southern Ocean along a transect from the subtropical domain to the Weddell Sea Gyre</t>
  </si>
  <si>
    <t>JOURNAL OF GEOPHYSICAL RESEARCH-OCEANS</t>
  </si>
  <si>
    <t>ANTARCTIC CIRCUMPOLAR CURRENT; DIFFERENT SIZE FRACTIONS; DISSOLVED IRON; THALASSIOSIRA-OCEANICA; SIDEROPHORE PRODUCTION; ENRICHMENT EXPERIMENT; PHYTOPLANKTON BLOOM; KERGUELEN-ISLANDS; SURFACE WATERS; NORTH-ATLANTIC</t>
  </si>
  <si>
    <t>[1] Distributions of total dissolvable iron (TDFe; unfiltered), dissolved iron (DFe; 0.2 mu m filtered), and soluble iron (SFe; 0.02 mu m filtered) were investigated during the BONUS-GoodHope cruise in the Atlantic sector of the Southern Ocean (34 degrees S/17 degrees E-57 degrees S/0 degrees, February-March 2008). In the mixed layer, mean values of 0.43 +/- 0.28 and 0.22 +/- 0.18 nmol L-1 were measured for TDFe and DFe, respectively. In deeper waters, TDFe and DFe concentrations were 1.07 +/- 0.68 and 0.52 +/- 0.30 nmol L-1, respectively. DFe concentrations decreased from the north (subtropical waters) to the south (Weddell Sea Gyre). In the subtropical domain, dusts coming from Patagonia and southern Africa and inputs from the African continental margin may explain high DFe and TDFe concentrations in surface and intermediate waters. Results from numerical models gave support to these hypotheses. In the Antarctic Circumpolar Current domain, estimation of the median advective time of water masses suggests that sediment inputs from the Antarctic Peninsula, South America margin, and/or South Georgia Islands could be an important source of Fe. Except in the subtropical domain where 0.4-0.6 nmol L-1 of SFe were observed in the upper 1500 m, all stations exhibited values close to 0.1-0.2 nmol L-1 in surface and 0.3-0.5 nmol L-1 in deeper waters. For all stations, colloidal Fe (CFe) was a minor fraction of DFe in surface waters and increased with depth. Colloidal aggregation, sinking of CFe, and assimilation of SFe, followed by rapid exchange between the two fractions, are suspected to occur.</t>
  </si>
  <si>
    <t>[Chever, F.; Bucciarelli, E.; Sarthou, G.] Univ Brest, LEMAR, CNRS, IRD,UBO,IUEM,UMR 6539, F-29280 Plouzane, France; [Speich, S.; Arhan, M.; Penven, P.] IFREMER, Ctr Brest, Lab Phys Oceans, CNRS,IRD,UBO,UMR 6523, F-29280 Plouzane, France; [Tagliabue, A.] UVSQ, LSCE, IPSL, CEA,CNRS,UMR 1572, F-91191 Gif Sur Yvette, France; [Chever, F.; Bucciarelli, E.; Sarthou, G.] Univ Europeenne Bretagne, Bretagne, France; [Tagliabue, A.] UPMC, LOCEAN, IPSL, MHNH,IRD,CNRS,UMR 7159, Paris, France</t>
  </si>
  <si>
    <t>Centre National de la Recherche Scientifique (CNRS); Ifremer; Institut de Recherche pour le Developpement (IRD); CNRS - Institute of Ecology &amp; Environment (INEE); Universite de Bretagne Occidentale; Institut Universitaire Europeen de la Mer (IUEM); Universite de Bretagne Occidentale; Institut Universitaire Europeen de la Mer (IUEM); Centre National de la Recherche Scientifique (CNRS); CNRS - National Institute for Earth Sciences &amp; Astronomy (INSU); Ifremer; Institut de Recherche pour le Developpement (IRD); Universite Paris Saclay; CEA; Centre National de la Recherche Scientifique (CNRS); Universite Paris Cite; Universite de Bretagne Occidentale; Sorbonne Universite; Centre National de la Recherche Scientifique (CNRS); CNRS - National Institute for Earth Sciences &amp; Astronomy (INSU); Institut de Recherche pour le Developpement (IRD); Universite Paris Cite; Museum National d'Histoire Naturelle (MNHN)</t>
  </si>
  <si>
    <t>Chever, F (corresponding author), Univ Brest, LEMAR, CNRS, IRD,UBO,IUEM,UMR 6539, Technopole Brest Iroise,Pl Nicolas Corpernic, F-29280 Plouzane, France.</t>
  </si>
  <si>
    <t>fanny.chever@univ-brest.fr; eva.bucciarelli@univ-brest.fr</t>
  </si>
  <si>
    <t>Penven, Pierrick/A-6665-2008; Speich, Sabrina/L-3780-2014</t>
  </si>
  <si>
    <t>Penven, Pierrick/0000-0001-6456-3142; Speich, Sabrina/0000-0002-5452-8287; Tagliabue, Alessandro/0000-0002-3572-3634; Sarthou, Geraldine/0000-0001-6560-6669</t>
  </si>
  <si>
    <t>Institut National des Sciences de L'Univers of the Centre National de la Recherche Scientifique; French Polar Institute (Institut Polaire Emile Victor); French Research Institute for Exploitation of the Sea; Agence National de la Recherche</t>
  </si>
  <si>
    <t>Institut National des Sciences de L'Univers of the Centre National de la Recherche Scientifique(Centre National de la Recherche Scientifique (CNRS)); French Polar Institute (Institut Polaire Emile Victor); French Research Institute for Exploitation of the Sea; Agence National de la Recherche(Agence Nationale de la Recherche (ANR))</t>
  </si>
  <si>
    <t>We are grateful to Sabrina Speich, the chief scientist; Frank Dehairs, the cochief scientist; and the captain and the crew of the R. V. Marion Dufresne for their support onboard. This work was supported by the Institut National des Sciences de L'Univers of the Centre National de la Recherche Scientifique, the French Polar Institute (Institut Polaire Emile Victor), the French Research Institute for Exploitation of the Sea, and the Agence National de la Recherche. We thank Alex Baker and Edward Sholkovitz for their comments and Eric Roy and Eric Achterberg for their insightful reviews that improved this manuscript. We acknowledge the Go-Flo sampling team: J. Bown, M. Boye, F. Lacan, A. Radic, and B. Wake.</t>
  </si>
  <si>
    <t>AMER GEOPHYSICAL UNION</t>
  </si>
  <si>
    <t>WASHINGTON</t>
  </si>
  <si>
    <t>2000 FLORIDA AVE NW, WASHINGTON, DC 20009 USA</t>
  </si>
  <si>
    <t>2169-9275</t>
  </si>
  <si>
    <t>2169-9291</t>
  </si>
  <si>
    <t>J GEOPHYS RES-OCEANS</t>
  </si>
  <si>
    <t>J. Geophys. Res.-Oceans</t>
  </si>
  <si>
    <t>OCT 30</t>
  </si>
  <si>
    <t>C10059</t>
  </si>
  <si>
    <t>10.1029/2009JC005880</t>
  </si>
  <si>
    <t>Oceanography</t>
  </si>
  <si>
    <t>674SC</t>
  </si>
  <si>
    <t>Green Published, Bronze</t>
  </si>
  <si>
    <t>WOS:000283769100001</t>
  </si>
  <si>
    <t>Leduc, G; Herbert, CT; Blanz, T; Martinez, P; Schneider, R</t>
  </si>
  <si>
    <t>Leduc, Guillaume; Herbert, Caren T.; Blanz, Thomas; Martinez, Philippe; Schneider, Ralph</t>
  </si>
  <si>
    <t>Contrasting evolution of sea surface temperature in the Benguela upwelling system under natural and anthropogenic climate forcings</t>
  </si>
  <si>
    <t>GEOPHYSICAL RESEARCH LETTERS</t>
  </si>
  <si>
    <t>CALIBRATION; SEDIMENTS; ALKENONE; ATLANTIC</t>
  </si>
  <si>
    <t>We present alkenone-derived Sea Surface Temperature (SST) records from three marine cores collected within the southern Benguela Upwelling System (BUS) spanning the last 3 ka. The SST evolution over the last 3 millennia is marked by aperiodic millennial-scale oscillations that broadly correspond to climatic anomalies identified over the North Atlantic region. The BUS SST data further suggest cooling and warming trends opposite to the temperature evolution in the Moroccan upwelling region and in Antarctica. In contrast, the last decades are marked by a cooling of unprecedented magnitude in both the Benguela and Moroccan upwelling systems, which is not observed in the Antarctic record. These contrasted responses in Atlantic upwelling systems triggered by natural and anthropogenic forcings shed light on how different climatic mechanisms are mediated by ocean-atmosphere interactions and transmitted to the geological records of past and present climate changes. Citation: Leduc, G., C. T. Herbert, T. Blanz, P. Martinez, and R. Schneider (2010), Contrasting evolution of sea surface temperature in the Benguela upwelling system under natural and anthropogenic climate forcings, Geophys. Res. Lett., 37, L20705, doi:10.1029/2010GL044353.</t>
  </si>
  <si>
    <t>[Leduc, Guillaume; Blanz, Thomas; Schneider, Ralph] Univ Kiel, Inst Earth Sci, D-24118 Kiel, Germany; [Herbert, Caren T.] Univ Cape Town, Dept Geol Sci, ZA-7701 Rondebosch, South Africa; [Martinez, Philippe] Univ Bordeaux 1, CNRS, UMR 5805, EPOC, F-33405 Talence, France</t>
  </si>
  <si>
    <t>University of Kiel; University of Cape Town; Universite de Bordeaux; Centre National de la Recherche Scientifique (CNRS); CNRS - National Institute for Earth Sciences &amp; Astronomy (INSU)</t>
  </si>
  <si>
    <t>Leduc, G (corresponding author), Univ Kiel, Inst Earth Sci, Ludewig Meyn Str 10, D-24118 Kiel, Germany.</t>
  </si>
  <si>
    <t>gl@gpi.uni-kiel.de</t>
  </si>
  <si>
    <t>Leduc, Guillaume/A-8930-2008</t>
  </si>
  <si>
    <t>Martinez, Philippe/0000-0002-9825-2032; Schneider, Ralph/0000-0003-1453-9181</t>
  </si>
  <si>
    <t>German Research Foundation (DFG) [SPP1266]</t>
  </si>
  <si>
    <t>German Research Foundation (DFG)(German Research Foundation (DFG))</t>
  </si>
  <si>
    <t>We thank two anonymous reviewers for thorough comments. We thank Valerie Masson-Delmotte for providing the Plateau Remote ice core data. Assistance with alkenone analysis by S. Koch is greatly acknowledged. This work was financed by the German Research Foundation (DFG) in the framework of the German Research Priority Program SPP1266 (INTERDYNAMIK) and for RV METEOR cruise M57-1 to the southwest African margin executed by the DFG Research Centre Ocean Margins at Bremen University.</t>
  </si>
  <si>
    <t>0094-8276</t>
  </si>
  <si>
    <t>1944-8007</t>
  </si>
  <si>
    <t>GEOPHYS RES LETT</t>
  </si>
  <si>
    <t>Geophys. Res. Lett.</t>
  </si>
  <si>
    <t>OCT 27</t>
  </si>
  <si>
    <t>L20705</t>
  </si>
  <si>
    <t>10.1029/2010GL044353</t>
  </si>
  <si>
    <t>674LT</t>
  </si>
  <si>
    <t>WOS:000283746700001</t>
  </si>
  <si>
    <t>Gladstone, RM; Lee, V; Vieli, A; Payne, AJ</t>
  </si>
  <si>
    <t>Gladstone, R. M.; Lee, V.; Vieli, A.; Payne, A. J.</t>
  </si>
  <si>
    <t>Grounding line migration in an adaptive mesh ice sheet model</t>
  </si>
  <si>
    <t>JOURNAL OF GEOPHYSICAL RESEARCH-EARTH SURFACE</t>
  </si>
  <si>
    <t>PARTIAL-DIFFERENTIAL-EQUATIONS; PARABOLIC METHOD PPM; REFINEMENT; SIMULATIONS; SCHEMES; SHOCKS</t>
  </si>
  <si>
    <t>Grounding line migration is a key process affecting the stability of marine ice sheets such as the West Antarctic ice sheet. Recent studies have shown that ice sheet models employing a fixed spatial grid (such as are commonly used for whole ice sheet simulations) cannot be used to solve this problem in a robust manner. We have developed a one-dimensional (vertically integrated) shelfy stream ice sheet model that employs the adaptive mesh refinement (AMR) technique to bring higher resolution to spatially and temporally evolving subregions of the model domain. A higher-order solver, the piecewise parabolic method (PPM), is used to compute the thickness evolution. Both AMR and PPM extend readily to greater than one dimension and could be used in full ice sheet simulations. We demonstrate that this approach can bring improvements in terms of accuracy and consistency in both grounded ice sheet and ice stream/ice shelf simulations, given the appropriate choice of refinement criteria. In particular, we demonstrate that AMR, in conjunction with a parameterization for subgrid scale grounding line position, can produce predictions of grounding line migration.</t>
  </si>
  <si>
    <t>[Gladstone, R. M.; Lee, V.; Payne, A. J.] Univ Bristol, Bristol Glaciol Ctr, Sch Geog Sci, Bristol BS8 1SS, Avon, England; [Vieli, A.] Univ Durham, Dept Geog, Durham DH1 3LE, England</t>
  </si>
  <si>
    <t>University of Bristol; Durham University</t>
  </si>
  <si>
    <t>Gladstone, RM (corresponding author), Univ Bristol, Bristol Glaciol Ctr, Sch Geog Sci, Univ Rd, Bristol BS8 1SS, Avon, England.</t>
  </si>
  <si>
    <t>r.gladstone@bristol.ac.uk</t>
  </si>
  <si>
    <t>Vieli, Andreas/A-6767-2011; Gladstone, Rupert/C-1086-2013; payne, antony/A-8916-2008</t>
  </si>
  <si>
    <t>Gladstone, Rupert/0000-0002-1582-3857; payne, antony/0000-0001-8825-8425</t>
  </si>
  <si>
    <t>NERC [NE/E006256/1, NE/E006108/1]; NERC [jwcrp01005, cpom20001, NE/E006256/1, earth010002] Funding Source: UKRI; Natural Environment Research Council [earth010002, jwcrp01005, earth010006, cpom20001, NE/E006256/1]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</si>
  <si>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</si>
  <si>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Frank Pattyn, Stephen Price, and one anonymous reviewer for their useful criticisms that have improved the quality of the paper. This work was supported by the United Kingdom's National Centre for Earth Observation cryosphere and climate themes as well as the project Understanding contemporary change in the West Antarctic ice sheet funded by NERC standard grants NE/E006256/1 and NE/E006108/1.</t>
  </si>
  <si>
    <t>2169-9003</t>
  </si>
  <si>
    <t>2169-9011</t>
  </si>
  <si>
    <t>J GEOPHYS RES-EARTH</t>
  </si>
  <si>
    <t>J. Geophys. Res.-Earth Surf.</t>
  </si>
  <si>
    <t>F04014</t>
  </si>
  <si>
    <t>10.1029/2009JF001615</t>
  </si>
  <si>
    <t>674NG</t>
  </si>
  <si>
    <t>WOS:000283752900001</t>
  </si>
  <si>
    <t>Hardouin, EA; Chapuis, JL; Stevens, MI; van Vuuren, JB; Quillfeldt, P; Scavetta, RJ; Teschke, M; Tautz, D</t>
  </si>
  <si>
    <t>Hardouin, Emilie A.; Chapuis, Jean-Louis; Stevens, Mark I.; van Vuuren, Jansen Bettine; Quillfeldt, Petra; Scavetta, Rick J.; Teschke, Meike; Tautz, Diethard</t>
  </si>
  <si>
    <t>House mouse colonization patterns on the sub-Antarctic Kerguelen Archipelago suggest singular primary invasions and resilience against re-invasion</t>
  </si>
  <si>
    <t>BMC EVOLUTIONARY BIOLOGY</t>
  </si>
  <si>
    <t>MUS-MUSCULUS; SELECTIVE SWEEPS; TIME DEPENDENCY; GENE FLOW; MICE; POPULATION; ISLAND; EVOLUTION; MAMMALS; PHYLOGEOGRAPHY</t>
  </si>
  <si>
    <t>Background: Starting from Western Europe, the house mouse (Mus musculus domesticus) has spread across the globe in historic times. However, most oceanic islands were colonized by mice only within the past 300 years. This makes them an excellent model for studying the evolutionary processes during early stages of new colonization. We have focused here on the Kerguelen Archipelago, located within the sub-Antarctic area and compare the patterns with samples from other Southern Ocean islands. Results: We have typed 18 autosomal and six Y-chromosomal microsatellite loci and obtained mitochondrial D-loop sequences for a total of 534 samples, mainly from the Kerguelen Archipelago, but also from the Falkland Islands, Marion Island, Amsterdam Island, Antipodes Island, Macquarie Island, Auckland Islands and one sample from South Georgia. We find that most of the mice on the Kerguelen Archipelago have the same mitochondrial haplotype and all share the same major Y-chromosomal haplotype. Two small islands (Cochons Island and Cimetiere Island) within the archipelago show a different mitochondrial haplotype, are genetically distinct for autosomal loci, but share the major Y-chromosomal haplotype. In the mitochondrial D-loop sequences, we find several single step mutational derivatives of one of the major mitochondrial haplotypes, suggesting an unusually high mutation rate, or the occurrence of selective sweeps in mitochondria. Conclusions: Although there was heavy ship traffic for over a hundred years to the Kerguelen Archipelago, it appears that the mice that have arrived first have colonized the main island (Grande Terre) and most of the associated small islands. The second invasion that we see in our data has occurred on islands that are detached from Grande Terre and were likely to have had no resident mice prior to their arrival. The genetic data suggest that the mice of both primary invasions originated from related source populations. Our data suggest that an area colonized by mice is refractory to further introgression, possibly due to fast adaptations of the resident mice to local conditions.</t>
  </si>
  <si>
    <t>[Hardouin, Emilie A.; Scavetta, Rick J.; Teschke, Meike; Tautz, Diethard] Max Planck Inst Evolutionary Biol, D-24306 Plon, Germany; [Chapuis, Jean-Louis] Natl Museum Nat Hist, UMR 7204, F-75005 Paris, France; [Stevens, Mark I.] S Australian Museum, Adelaide, SA 5000, Australia; [Stevens, Mark I.] Univ Adelaide, Sch Earth &amp; Environm Sci, Adelaide, SA 5000, Australia; [van Vuuren, Jansen Bettine] Univ Stellenbosch, Ctr Invas Biol, ZA-7602 Matieland, South Africa; [Quillfeldt, Petra] Max Planck Inst Ornithol, D-78315 Radolfzell am Bodensee, Germany</t>
  </si>
  <si>
    <t>Max Planck Society; Sorbonne Universite; Museum National d'Histoire Naturelle (MNHN); Centre National de la Recherche Scientifique (CNRS); CNRS - Institute of Ecology &amp; Environment (INEE); University of Adelaide; Stellenbosch University; Max Planck Society</t>
  </si>
  <si>
    <t>Tautz, D (corresponding author), Max Planck Inst Evolutionary Biol, August Thienemann Str 2, D-24306 Plon, Germany.</t>
  </si>
  <si>
    <t>tautz@evolbio.mpg.de</t>
  </si>
  <si>
    <t>Jansen van Vuuren, Bettine/E-6227-2013; Quillfeldt, Petra/A-9549-2009; Tautz, Diethard/D-4304-2011; Tautz, Diethard/H-8436-2014</t>
  </si>
  <si>
    <t>Jansen van Vuuren, Bettine/0000-0002-5334-5358; Quillfeldt, Petra/0000-0002-4450-8688; Tautz, Diethard/0000-0002-0460-5344</t>
  </si>
  <si>
    <t>Institut Paul-Emile Victor [136]</t>
  </si>
  <si>
    <t>Institut Paul-Emile Victor</t>
  </si>
  <si>
    <t>We are extremely grateful to Quiterie Duron, Helene Demeringo, Alexia Garnier and Marine Pascal who collected the samples from the Kerguelen Archipelago in 2008 and in 2009 (Institut Paul-Emile Victor, program no136), Juan F. Masello, Hendrika van Noordwijk, Christie Darren and all the Falkland Islanders which helped us to collect samples on the Falkland Islands and South Georgia, Marc Lebouvier (IPEV, 136) for collecting the Amsterdam Island mice, and to Keith Springer (Tasmania Parks and Wildlife Service) for the Macquarie Island mice. We also want to thank Jeremy Searle for helping in sampling collection as well as the Cornell Computational Biology Service Unit (CBSU). We are also very grateful to Heinke Buhtz and Conny Burghardt for technical assistance and Frank Chan for comments on the manuscript.</t>
  </si>
  <si>
    <t>BMC</t>
  </si>
  <si>
    <t>LONDON</t>
  </si>
  <si>
    <t>CAMPUS, 4 CRINAN ST, LONDON N1 9XW, ENGLAND</t>
  </si>
  <si>
    <t>1471-2148</t>
  </si>
  <si>
    <t>BMC EVOL BIOL</t>
  </si>
  <si>
    <t>BMC Evol. Biol.</t>
  </si>
  <si>
    <t>OCT 26</t>
  </si>
  <si>
    <t>10.1186/1471-2148-10-325</t>
  </si>
  <si>
    <t>694ZA</t>
  </si>
  <si>
    <t>Green Accepted, Green Published, gold</t>
  </si>
  <si>
    <t>WOS:000285339200002</t>
  </si>
  <si>
    <t>Le Quéré, C; Takahashi, T; Buitenhuis, ET; Rödenbeck, C; Sutherland, SC</t>
  </si>
  <si>
    <t>Le Quere, Corinne; Takahashi, Taro; Buitenhuis, Erik T.; Roedenbeck, Christian; Sutherland, Stewart C.</t>
  </si>
  <si>
    <t>Impact of climate change and variability on the global oceanic sink of CO2</t>
  </si>
  <si>
    <t>GLOBAL BIOGEOCHEMICAL CYCLES</t>
  </si>
  <si>
    <t>NORTH PACIFIC; CARBON-CYCLE</t>
  </si>
  <si>
    <t>About one quarter of the CO2 emitted to the atmosphere by human activities is absorbed annually by the ocean. All the processes that influence the oceanic uptake of CO2 are controlled by climate. Hence changes in climate (both natural and human-induced) are expected to alter the uptake of CO2 by the ocean. However, available information that constrains the direction, magnitude, or rapidity of the response of ocean CO2 to changes in climate is limited. We present an analysis of oceanic CO2 trends for 1981 to 2007 from data and a model. Our analysis suggests that the global ocean responded to recent changes in climate by outgassing some preindustrial carbon, in part compensating the oceanic uptake of anthropogenic CO2. Using a model, we estimate that climate change and variability reduced the CO2 uptake by 12% compared to a simulation where constant climate is imposed, and offset 63% of the trend in response to increasing atmospheric CO2 alone. The response is caused by changes in wind patterns and ocean warming, with important nonlinear effects that amplify the response of oceanic CO2 to changes in climate by &gt; 30%.</t>
  </si>
  <si>
    <t>[Le Quere, Corinne; Buitenhuis, Erik T.] Univ E Anglia, Sch Environm Sci, Norwich NR4 7TJ, Norfolk, England; [Le Quere, Corinne] British Antarctic Survey, Cambridge CB3 0ET, England; [Takahashi, Taro; Sutherland, Stewart C.] Columbia Univ, Lamont Doherty Earth Observ, Palisades, NY 10964 USA; [Roedenbeck, Christian] Max Planck Inst Biogeochem, D-07701 Jena, Germany</t>
  </si>
  <si>
    <t>University of East Anglia; UK Research &amp; Innovation (UKRI); Natural Environment Research Council (NERC); NERC British Antarctic Survey; Columbia University; Max Planck Society</t>
  </si>
  <si>
    <t>Le Quéré, C (corresponding author), Univ E Anglia, Sch Environm Sci, Norwich NR4 7TJ, Norfolk, England.</t>
  </si>
  <si>
    <t>c.lequere@uea.ac.uk</t>
  </si>
  <si>
    <t>Le Quéré, Corinne/C-2631-2017; Buitenhuis, Erik/A-7692-2012</t>
  </si>
  <si>
    <t>Le Quéré, Corinne/0000-0003-2319-0452; Buitenhuis, Erik/0000-0001-6274-5583</t>
  </si>
  <si>
    <t>NERC/QUEST; EU [511176/GOCE]; U.S. NOAA; NERC [bas010013] Funding Source: UKRI; Natural Environment Research Council [bas010013, NE/C516079/1] Funding Source: researchfish</t>
  </si>
  <si>
    <t>NERC/QUEST(UK Research &amp; Innovation (UKRI)Natural Environment Research Council (NERC)); EU(European Union (EU)); U.S. NOAA; NERC(UK Research &amp; Innovation (UKRI)Natural Environment Research Council (NERC)); Natural Environment Research Council(UK Research &amp; Innovation (UKRI)Natural Environment Research Council (NERC))</t>
  </si>
  <si>
    <t>We thank all people who contributed to the pCO2 database, in particular the following people who contributed the longest time series data used in our study: D. C. E. Bakker, D. W. Chipman, C. E. Cosca, B. Hales, R. Feely, M. Ishii, T. Johannessen, A. Kortzinger, N. Metzl, T. Modorikawa, Y. Nojiri, J. Olafsson, A. Olsen, U. Schuster, C. Sweeney, B. Tilbrook, R. Wanninkhof, A. J. Watson, C. S. Wong. and H. Yoshikawa-Inoue. We thank N. Lefevre, N. Metzl, B. Tilbrook, N. Gruber and the participants of the IOCCP/GCP workshop for discussions, M. C. Enright and S. Jones for programming support and the OPA team for availability of their model. NCEP reanalysis data was provided by NOAA/OAR/ESRL. We thank J. Ardizzone and the JPL-PODAAC for providing the satellite wind data, and P. Tans and T. Conway of NOAA/ESRL for providing atmospheric CO2 data. C. L. Q. and E. T. B. were funded by NERC/QUEST and EU Carbo-ocean project (511176/GOCE). T. T. and S. C. S. were supported by a grant from the U.S. NOAA VOS program.</t>
  </si>
  <si>
    <t>0886-6236</t>
  </si>
  <si>
    <t>1944-9224</t>
  </si>
  <si>
    <t>GLOBAL BIOGEOCHEM CY</t>
  </si>
  <si>
    <t>Glob. Biogeochem. Cycle</t>
  </si>
  <si>
    <t>GB4007</t>
  </si>
  <si>
    <t>10.1029/2009GB003599</t>
  </si>
  <si>
    <t>Environmental Sciences; Geosciences, Multidisciplinary; Meteorology &amp; Atmospheric Sciences</t>
  </si>
  <si>
    <t>Environmental Sciences &amp; Ecology; Geology; Meteorology &amp; Atmospheric Sciences</t>
  </si>
  <si>
    <t>674MC</t>
  </si>
  <si>
    <t>Green Accepted, Green Published</t>
  </si>
  <si>
    <t>WOS:000283748000001</t>
  </si>
  <si>
    <t>Ganguly, ND</t>
  </si>
  <si>
    <t>Ganguly, Nandita D.</t>
  </si>
  <si>
    <t>Stratosphere-troposphere exchange of ozone at Indian Antarctic station, Maitri</t>
  </si>
  <si>
    <t>CURRENT SCIENCE</t>
  </si>
  <si>
    <t>Exchange events; ozone; stratosphere; troposphere</t>
  </si>
  <si>
    <t>TRANSPORT</t>
  </si>
  <si>
    <t>The frequency of occurrence of stratosphere-troposphere exchange (STE) events and the depth up to which ozone from the stratosphere descended into the troposphere during these events has been examined at the Indian Antarctic research station, Maitri. It is concluded that STE plays a minor role in the tropospheric ozone budget. Stratospheric intrusions at Maitri were associated with pronounced cut-off circulations, which provided a large reservoir of ozone-rich air for eventual transport to the lower troposphere.</t>
  </si>
  <si>
    <t>St Xavier Coll, Dept Phys, Ahmadabad 380009, Gujarat, India</t>
  </si>
  <si>
    <t>Ganguly, ND (corresponding author), St Xavier Coll, Dept Phys, Ahmadabad 380009, Gujarat, India.</t>
  </si>
  <si>
    <t>ganguly.nandita@gmail.com</t>
  </si>
  <si>
    <t>ISRO under CAWSES India</t>
  </si>
  <si>
    <t>I thank ISRO for providing a grant under the CAWSES India project for the above study; the anonymous reviewers for valuable suggestions and Prof. J. N. Goswami, Director, Physical Research Laboratory, Ahmedabad, for providing library facility. The ozone profiles and total ozone were retrieved from WOUDC. The 5-day back trajectories at different pressure levels were retrieved from ECMWF. Tropospheric column ozone, carbon monoxide and methane data were obtained from TES on NASA's EOS spacecraft. Tropospheric NO2 column data from the SIAMACHY instrument were obtained from the website www.temis.nl. The vertical pressure velocity and geopotential maps were retrieved from NCEP reanalysis.</t>
  </si>
  <si>
    <t>INDIAN ACAD SCIENCES</t>
  </si>
  <si>
    <t>BANGALORE</t>
  </si>
  <si>
    <t>C V RAMAN AVENUE, SADASHIVANAGAR, P B #8005, BANGALORE 560 080, INDIA</t>
  </si>
  <si>
    <t>0011-3891</t>
  </si>
  <si>
    <t>CURR SCI INDIA</t>
  </si>
  <si>
    <t>Curr. Sci.</t>
  </si>
  <si>
    <t>OCT 25</t>
  </si>
  <si>
    <t>677KY</t>
  </si>
  <si>
    <t>WOS:000283992500031</t>
  </si>
  <si>
    <t>Baker, CS; Steel, D; Choi, Y; Lee, H; Kim, KS; Choi, SK; Ma, YU; Hambleton, C; Psihoyos, L; Brownell, RL; Funahashi, N</t>
  </si>
  <si>
    <t>Baker, C. Scott; Steel, Debbie; Choi, Yeyong; Lee, Hang; Kim, Kyung Seok; Choi, Sung Kyoung; Ma, Yong-Un; Hambleton, Charles; Psihoyos, Louie; Brownell, R. L.; Funahashi, Naoko</t>
  </si>
  <si>
    <t>Genetic evidence of illegal trade in protected whales links Japan with the US and South Korea</t>
  </si>
  <si>
    <t>BIOLOGY LETTERS</t>
  </si>
  <si>
    <t>IWC; whaling; CITES; infraction</t>
  </si>
  <si>
    <t>PRODUCTS; WILDLIFE; MARKETS</t>
  </si>
  <si>
    <t>We report on genetic identification of 'whale meat' purchased in sushi restaurants in Los Angeles, CA (USA) in October 2009 and in Seoul, South Korea in June and September 2009. Phylogenetic analyses of mtDNA cytochrome b sequences confirmed that the products included three species of whale currently killed in the controversial scientific whaling programme of Japan, but which are protected from international trade: the fin, sei and Antarctic minke. The DNA profile of the fin whale sold in Seoul established a match to products purchased previously in Japan in September 2007, confirming unauthorized trade between these two countries. Following species identification, these products were handed over to the appropriate national or local authorities for further investigation. The illegal trade of products from protected species of whales, presumably taken under a national permit for scientific research, is a timely reminder of the need for independent, transparent and robust monitoring of any future whaling.</t>
  </si>
  <si>
    <t>[Baker, C. Scott; Steel, Debbie] Oregon State Univ, Marine Mammal Inst, Newport, OR 97365 USA; [Baker, C. Scott; Steel, Debbie] Oregon State Univ, Dept Fisheries &amp; Wildlife, Newport, OR 97365 USA; [Choi, Yeyong] Korean Federat Environm Movements, Ocean Comm, Seoul, South Korea; [Lee, Hang; Kim, Kyung Seok; Choi, Sung Kyoung] Seoul Natl Univ, Conservat &amp; Genome Resource Bank Korean Wildlife, Seoul, South Korea; [Ma, Yong-Un] Korean Federat Environm Movements, Nat Conservat Comm, Seoul, South Korea; [Hambleton, Charles; Psihoyos, Louie] Ocean Preservat Soc, Boulder, CO USA; [Brownell, R. L.] Natl Marine Fisheries Serv, SW Fisheries Ctr, Pacific Grove, CA USA; [Funahashi, Naoko] Int Fund Anim Welf, Tokyo, Japan</t>
  </si>
  <si>
    <t>Oregon State University; Oregon State University; Seoul National University (SNU); National Oceanic Atmospheric Admin (NOAA) - USA</t>
  </si>
  <si>
    <t>Baker, CS (corresponding author), Oregon State Univ, Marine Mammal Inst, Newport, OR 97365 USA.</t>
  </si>
  <si>
    <t>scott.baker@oregonstate.edu</t>
  </si>
  <si>
    <t>Lee, Hang/A-7516-2011</t>
  </si>
  <si>
    <t>Lee, Hang/0000-0003-0264-6289; Steel, Debbie/0000-0001-5898-2850</t>
  </si>
  <si>
    <t>Pacific Life Foundation; US National Marine Fisheries Service</t>
  </si>
  <si>
    <t>Funding in support of laboratory analyses was provided by the Pacific Life Foundation and the US National Marine Fisheries Service.</t>
  </si>
  <si>
    <t>ROYAL SOC</t>
  </si>
  <si>
    <t>6-9 CARLTON HOUSE TERRACE, LONDON SW1Y 5AG, ENGLAND</t>
  </si>
  <si>
    <t>1744-9561</t>
  </si>
  <si>
    <t>BIOL LETTERS</t>
  </si>
  <si>
    <t>Biol. Lett.</t>
  </si>
  <si>
    <t>OCT 23</t>
  </si>
  <si>
    <t>10.1098/rsbl.2010.0239</t>
  </si>
  <si>
    <t>Biology; Ecology; Evolutionary Biology</t>
  </si>
  <si>
    <t>Life Sciences &amp; Biomedicine - Other Topics; Environmental Sciences &amp; Ecology; Evolutionary Biology</t>
  </si>
  <si>
    <t>649AW</t>
  </si>
  <si>
    <t>WOS:000281739100021</t>
  </si>
  <si>
    <t>Fiedler, EK; Lachlan-Cope, TA; Renfrew, IA; King, JC</t>
  </si>
  <si>
    <t>Fiedler, E. K.; Lachlan-Cope, T. A.; Renfrew, I. A.; King, J. C.</t>
  </si>
  <si>
    <t>Convective heat transfer over thin ice covered coastal polynyas</t>
  </si>
  <si>
    <t>INTERNAL BOUNDARY-LAYER; ST-LAWRENCE-ISLAND; COLD-AIR OUTBREAK; WEDDELL SEA; INTERANNUAL VARIABILITY; TURBULENT FLUXES; WATER FORMATION; BERING-SEA; WIND-SPEED; LEADS</t>
  </si>
  <si>
    <t>Polynyas play an important role in the regional meteorology and oceanography of the high latitudes and in the global ocean circulation. Unique low-level observations of an Antarctic coastal polynya, the Ronne Polynya, were conducted using an instrumented aircraft. At the time of the observations, the polynya was mostly covered with thin ice perforated with holes and was composed of two distinct regimes: an inner region of newly formed and thin ice and an outer region of thicker more consolidated ice. The sensible heat flux over the polynya was similar to 100 W m(-2) and decreased with fetch, primarily as a result of the thickening ice cover. The mean sensible heat transfer and drag coefficients over the polynya were C-HN10 = (0.7 +/- 0.1) x 10(-3) and C-DN10 = (1.1 +/- 0.2) x 10(-3), respectively. The heat transfer coefficient is similar to that found over heterogeneous sea ice and is significantly lower than has been used in previous studies of heat fluxes over polynyas, which are often assumed to be open water. The transfer coefficients were not found to be a function of fetch or ice conditions as represented by the surface temperature and albedo. The data were used in an investigation of the output of sensible heat flux, potential temperature, and boundary layer depth from a simple fetch-dependent model. For this case study, surface temperatures and transfer coefficients appropriate to an ice-covered surface were required for an accurate simulation.</t>
  </si>
  <si>
    <t>[Fiedler, E. K.; Renfrew, I. A.] Univ E Anglia, Sch Environm Sci, Norwich NR4 7TJ, Norfolk, England; [Lachlan-Cope, T. A.; King, J. C.] British Antarctic Survey, Cambridge CB3 0ET, England</t>
  </si>
  <si>
    <t>Fiedler, EK (corresponding author), Met Off, Exeter EX1 3PB, Devon, England.</t>
  </si>
  <si>
    <t>emma.fiedler@metoffice.gov.uk</t>
  </si>
  <si>
    <t>Renfrew, Ian A/E-4057-2010</t>
  </si>
  <si>
    <t>Renfrew, Ian/0000-0001-9379-8215</t>
  </si>
  <si>
    <t>NERC; British Antarctic Survey; NERC [bas0100023] Funding Source: UKRI; Natural Environment Research Council [bas0100023] Funding Source: researchfish</t>
  </si>
  <si>
    <t>NERC(UK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</si>
  <si>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This research was funded by a NERC studentship with CASE funding from the British Antarctic Survey. The authors would like to thank the operations staff at Rothera, as well as the pilots and the Air Unit. Russ Ladkin and Alex Weiss are also acknowledged for their contributions to this work, as well as Keith Nicholls, for his role as Ph.D. cosupervisor. The helpful comments of two anonymous reviewers are also gratefully acknowledged.</t>
  </si>
  <si>
    <t>C10051</t>
  </si>
  <si>
    <t>10.1029/2009JC005797</t>
  </si>
  <si>
    <t>671XP</t>
  </si>
  <si>
    <t>Bronze, Green Accepted</t>
  </si>
  <si>
    <t>WOS:000283547500001</t>
  </si>
  <si>
    <t>Hudson, SR; Warren, SG; Kato, S</t>
  </si>
  <si>
    <t>Hudson, Stephen R.; Warren, Stephen G.; Kato, Seiji</t>
  </si>
  <si>
    <t>A comparison of shortwave reflectance over the East Antarctic Plateau observed by CERES to that estimated from surface reflectance observations</t>
  </si>
  <si>
    <t>JOURNAL OF GEOPHYSICAL RESEARCH-ATMOSPHERES</t>
  </si>
  <si>
    <t>IMAGING SPECTRORADIOMETER MISR; BIDIRECTIONAL REFLECTANCE; SOLAR-RADIATION; SNOW SURFACE; ULTRAVIOLET; INSTRUMENT; GREENLAND; MISSION; ICE</t>
  </si>
  <si>
    <t>Spectral albedo and bidirectional reflectance of snow were measured at Dome C on the East Antarctic Plateau for wavelengths of 350-2400 nm and solar zenith angles of 52 degrees-87 degrees. A parameterization of bidirectional reflectance, based on those measurements, is used as the lower boundary condition in the atmospheric radiation model SBDART to calculate radiance and flux at the top of the atmosphere (TOA). The model's atmospheric profile is based on radiosoundings at Dome C and ozonesoundings at the South Pole. Computed TOA radiances are integrated over wavelength for comparison with the Clouds and the Earth's Radiant Energy System (CERES) shortwave channel. CERES radiance observations and flux estimates from four clear days in January 2004 and January 2005 from within 200 km of Dome C are compared with the TOA radiances and fluxes computed for the same solar zenith angle and viewing geometry, providing 11,000 comparisons. The measured radiance and flux are lower than the computed values. The median difference is about 7% for CERES on Terra, and 9% on Aqua. Sources of uncertainty in the model and observations are examined in detail and suggest that the measured values should be less than the computed values, but only by 1.7% +/- 4%. The source of the discrepancy of about 6% cannot be identified here; however, the modeled values do agree with observations from another satellite instrument (Multiangle Imaging Spectroradiometer), suggesting that the CERES calibration must be considered a possible source of the discrepancy.</t>
  </si>
  <si>
    <t>[Hudson, Stephen R.] Polar Environm Ctr, Norwegian Polar Inst, N-9296 Tromso, Norway; [Warren, Stephen G.] Univ Washington, Dept Atmospher Sci, Seattle, WA 98195 USA; [Kato, Seiji] NASA Langley Res Ctr, Climate Sci Branch, Hampton, VA 23681 USA</t>
  </si>
  <si>
    <t>Norwegian Polar Institute; University of Washington; University of Washington Seattle; National Aeronautics &amp; Space Administration (NASA); NASA Langley Research Center</t>
  </si>
  <si>
    <t>Hudson, SR (corresponding author), Polar Environm Ctr, Norwegian Polar Inst, N-9296 Tromso, Norway.</t>
  </si>
  <si>
    <t>hudson@npolar.no; sgw@atmos.washington.edu; seiji.kato@nasa.gov</t>
  </si>
  <si>
    <t>Hudson, Stephen/ABD-9923-2020; Keyes, Dennis/AAZ-9285-2021</t>
  </si>
  <si>
    <t>Hudson, Stephen/0000-0002-6498-9167;</t>
  </si>
  <si>
    <t>National Science Foundation [OPP-00-03826, ANT-06-36993]; Norwegian Research Council [176096/S30]</t>
  </si>
  <si>
    <t>National Science Foundation(National Science Foundation (NSF)); Norwegian Research Council(Research Council of Norway)</t>
  </si>
  <si>
    <t>We thank Richard Brandt, Bruce Wielicki, Norman Loeb, Tom Charlock, and Zhonghai Jin for useful discussions, and two anonymous reviewers who provided comments that improved the paper. David Longenecker provided the NOAA ESRL radiation data from the South Pole that were used in section 4.1.3. CERES and MISR data were obtained from the Atmospheric Science Data Center at the NASA Langley Research Center. This research was supported by National Science Foundation grants OPP-00-03826 and ANT-06-36993. Hudson also received funding from the Norwegian Research Council through its IPY programme and the project iAOOS Norway (grant 176096/S30).</t>
  </si>
  <si>
    <t>2169-897X</t>
  </si>
  <si>
    <t>2169-8996</t>
  </si>
  <si>
    <t>J GEOPHYS RES-ATMOS</t>
  </si>
  <si>
    <t>J. Geophys. Res.-Atmos.</t>
  </si>
  <si>
    <t>OCT 22</t>
  </si>
  <si>
    <t>D20110</t>
  </si>
  <si>
    <t>10.1029/2010JD013912</t>
  </si>
  <si>
    <t>671XG</t>
  </si>
  <si>
    <t>WOS:000283546500004</t>
  </si>
  <si>
    <t>Joughin, I; Smith, BE; Holland, DM</t>
  </si>
  <si>
    <t>Joughin, Ian; Smith, Benjamin E.; Holland, David M.</t>
  </si>
  <si>
    <t>Sensitivity of 21st century sea level to ocean-induced thinning of Pine Island Glacier, Antarctica</t>
  </si>
  <si>
    <t>WEST ANTARCTICA; BASAL CONDITIONS; ICE-SHEET; ACCELERATION</t>
  </si>
  <si>
    <t>Pine Island Glacier (PIG), Antarctica, is rapidly losing mass, supporting arguments that it may play a major role in 21st century sea-level rise. Yet this glacier's quantitative contribution to sea level based on theoretical and computational models is poorly known. We have developed a basin-scale glaciological model to examine the sensitivity of PIG to a range of environmental forcings. While oceanic melt likely played the leading role in recent thinning and retreat, we find that the particular grounding-line geometry with an extended ice plain in the 1990s made it susceptible to such forcing. Our model further indicates that while the rate of grounding-line retreat should diminish soon, the glacier's mass loss may continue at rates similar to, or moderately elevated from, the present. While substantial, our model-derived maximum rate of 2.7 cm/century is considerably smaller than previous heuristically-derived bounds on the sea-level contribution. Citation: Joughin, I., B. E. Smith, and D. M. Holland (2010), Sensitivity of 21st century sea level to ocean-induced thinning of Pine Island Glacier, Antarctica, Geophys. Res. Lett., 37, L20502, doi: 10.1029/2010GL044819.</t>
  </si>
  <si>
    <t>[Joughin, Ian; Smith, Benjamin E.] Univ Washington, Polar Sci Ctr, APL, Seattle, WA 98105 USA; [Holland, David M.] NYU, Courant Inst Math Sci, New York, NY 10012 USA</t>
  </si>
  <si>
    <t>University of Washington; University of Washington Seattle; New York University</t>
  </si>
  <si>
    <t>Joughin, I (corresponding author), Univ Washington, Polar Sci Ctr, APL, 1013 NE 40th St, Seattle, WA 98105 USA.</t>
  </si>
  <si>
    <t>Joughin, Ian/AAR-7778-2021; Joughin, Ian R/A-2998-2008</t>
  </si>
  <si>
    <t>Joughin, Ian/0000-0001-6229-679X; Joughin, Ian R/0000-0001-6229-679X</t>
  </si>
  <si>
    <t>NASA [NNG06GG25G, NNG05G009G, NNX09AE47G]; NSF [NSF-OPP-ANT-0732869, NSF-OPP-ANS-0806393]; Office of Polar Programs (OPP); Directorate For Geosciences [0806393] Funding Source: National Science Foundation; NASA [119983, NNX09AE47G] Funding Source: Federal RePORTER</t>
  </si>
  <si>
    <t>NASA(National Aeronautics &amp; Space Administration (NASA)); NSF(National Science Foundation (NSF)); Office of Polar Programs (OPP); Directorate For Geosciences(National Science Foundation (NSF)NSF - Directorate for Geosciences (GEO)); NASA(National Aeronautics &amp; Space Administration (NASA))</t>
  </si>
  <si>
    <t>NASA funded the contributions by I. J. (NNG06GG25G and NNG05G009G) and B. S. (NNX09AE47G). Contributions by D. H. were supported by NSF (NSF-OPP-ANT-0732869 and NSF-OPP-ANS-0806393). We are grateful for the surface (J. Bamber) and bed (British Antarctic Survey and the University of Texas) DEMs. The European (ESA), Japanese (JAXA), and German Space (DLR) agencies provided SAR data. The Alaska Satellite facility processed and distributed data from the ALOS and ERS SARs. Comments by four anonymous reviewers and M. Maki improved the manuscript.</t>
  </si>
  <si>
    <t>OCT 21</t>
  </si>
  <si>
    <t>L20502</t>
  </si>
  <si>
    <t>10.1029/2010GL044819</t>
  </si>
  <si>
    <t>671WW</t>
  </si>
  <si>
    <t>WOS:000283545300004</t>
  </si>
  <si>
    <t>Allison, DB; Stramski, D; Mitchell, BG</t>
  </si>
  <si>
    <t>Allison, David B.; Stramski, Dariusz; Mitchell, B. Greg</t>
  </si>
  <si>
    <t>Empirical ocean color algorithms for estimating particulate organic carbon in the Southern Ocean</t>
  </si>
  <si>
    <t>OPTICAL-PROPERTIES; ATMOSPHERIC CORRECTION; BIOOPTICAL PROPERTIES; CHLOROPHYLL-A; BACKSCATTERING; VALIDATION; ABSORPTION; SCATTERING; POC; PHYTOPLANKTON</t>
  </si>
  <si>
    <t>We have examined empirical algorithms for estimating surface concentration of particulate organic carbon (POC) from remotely sensed ocean color in the Southern Ocean using field data of POC, spectral remote-sensing reflectance, R-rs(lambda), and the inherent optical properties (IOPs) of seawater collected during a number of cruises. Several algorithm formulations have been considered, including direct relationships between POC and the blue-to-green band ratios of reflectance and a single-wavelength two-step algorithm that consists of relationships linking reflectance to the backscattering coefficient and POC to the particulate backscattering coefficient at 555 nm. The best error statistics among the algorithms tested were obtained for the power function fit POC (in mg m(-3)) = 189.29 [R-rs(443)/R-rs(555)](-0.87). This band ratio algorithm is based on 85 pairs of field data and shows a small mean bias of about 3%, the normalized root mean square error of 27%, and the determination coefficient of 0.93. These error statistics as well as the analysis of matchup comparisons of satellite-derived POC and in situ POC determinations support the prospect for reasonably good performance of this algorithm in the Southern Ocean. The two-step empirical algorithm operating at 555 nm shows inferior error statistics of the regression fits and matchup comparisons compared with the band ratio algorithm. The analysis of our data set also indicates that a general trend of variation in the blue-to-green reflectance band ratio over the examined range of POC values is driven primarily by the green-to-blue ratio of particulate absorption coefficient.</t>
  </si>
  <si>
    <t>[Allison, David B.; Stramski, Dariusz] Univ Calif San Diego, Marine Phys Lab, Scripps Inst Oceanog, La Jolla, CA 92093 USA; [Mitchell, B. Greg] Univ Calif San Diego, Integrat Oceanog Div, Scripps Inst Oceanog, La Jolla, CA 92093 USA</t>
  </si>
  <si>
    <t>University of California System; University of California San Diego; Scripps Institution of Oceanography; University of California System; University of California San Diego; Scripps Institution of Oceanography</t>
  </si>
  <si>
    <t>Allison, DB (corresponding author), Univ Calif San Diego, Marine Phys Lab, Scripps Inst Oceanog, La Jolla, CA 92093 USA.</t>
  </si>
  <si>
    <t>dstramski@ucsd.edu</t>
  </si>
  <si>
    <t>Altshuler, David M/A-4476-2009</t>
  </si>
  <si>
    <t>Mitchell, B. Greg/0000-0002-8550-4333</t>
  </si>
  <si>
    <t>NASA [NNG04GO02G, G2004-2983, NAG5-7100]; NSF [OCE-0324680, ANT0444134, OPP 98-023836]; U.S. JGOFS; NOAA; Directorate For Geosciences; Office of Polar Programs (OPP) [0948338] Funding Source: National Science Foundation</t>
  </si>
  <si>
    <t>NASA(National Aeronautics &amp; Space Administration (NASA)); NSF(National Science Foundation (NSF)); U.S. JGOFS; NOAA(National Oceanic Atmospheric Admin (NOAA) - USA); Directorate For Geosciences; Office of Polar Programs (OPP)(National Science Foundation (NSF)NSF - Directorate for Geosciences (GEO))</t>
  </si>
  <si>
    <t>This work was funded by NASA Ocean Biology and Biogeochemistry Program (grant NNG04GO02G awarded to D. S), NSF Chemical Oceanography Program (OCE-0324680 to D. S.), NASA (G2004-2983 to B. G. M), NSF (ANT0444134 to B. G. M), NASA and NSF (NAG5-7100 and OPP 98-023836 to D. S. and B. G. M.) as part of the U.S. JGOFS Antarctic Environment Southern Ocean Process Study, NSF Graduate Student Fellowship (awarded to D. B. A.), the NOAA Fisheries' U.S. Antarctic Marine Living Resources (AMRL) Program, and the NASA SIMBIOS program. We are grateful to Rick Reynolds, Mati Kahru, Haili Wang, and John Wieland for their invaluable contributions to the execution of our field program and data processing. We also thank the SeaWiFS Project and the NASA's Goddard Earth Sciences Data and Information Services Center DAAC (NASA's Ocean Color Web site) for the production and distribution of ocean color data. The technical staff of Antarctic Support Associates, scientists, officers, and crews of the R/V Nathaniel B. Palmer, R/V Roger Revelle, R/V Yuzhmorgeologiya, and R/V Laurence M. Gould are acknowledged for providing logistical support and their help onboard during the field work. The analysis of samples for particulate organic carbon was made at Marine Science Institute Analytical Laboratory, University of California Santa Barbara. We also thank two anonymous reviewers for valuable comments on the manuscript.</t>
  </si>
  <si>
    <t>C10044</t>
  </si>
  <si>
    <t>10.1029/2009JC006040</t>
  </si>
  <si>
    <t>671XM</t>
  </si>
  <si>
    <t>WOS:000283547200002</t>
  </si>
  <si>
    <t>Thorne, RM; Ni, BB; Tao, X; Horne, RB; Meredith, NP</t>
  </si>
  <si>
    <t>Thorne, Richard M.; Ni, Binbin; Tao, Xin; Horne, Richard B.; Meredith, Nigel P.</t>
  </si>
  <si>
    <t>Scattering by chorus waves as the dominant cause of diffuse auroral precipitation</t>
  </si>
  <si>
    <t>NATURE</t>
  </si>
  <si>
    <t>PITCH-ANGLE; ELECTROSTATIC-WAVES; RADIATION; DISTRIBUTIONS; CYCLOTRON; DRIVEN</t>
  </si>
  <si>
    <t>Earth's diffuse aurora occurs over a broad latitude range(1) and is primarily caused by the precipitation of low-energy (0.1-30-keV) electrons originating in the central plasma sheet(2), which is the source region for hot electrons in the nightside outer magnetosphere. Although generally not visible, the diffuse auroral precipitation provides the main source of energy for the high-latitude nightside upper atmosphere(3), leading to enhanced ionization and chemical changes. Previous theoretical studies have indicated that two distinct classes of magnetospheric plasma wave, electrostatic electron cyclotron harmonic waves(4,5) and whistler-mode chorus waves(6,7), could be responsible for the electron scattering that leads to diffuse auroral precipitation, but it has hitherto not been possible to determine which is the more important. Here we report an analysis of satellite wave data and Fokker-Planck diffusion calculations which reveals that scattering by chorus is the dominant cause of the most intense diffuse auroral precipitation. This resolves a long-standing controversy. Furthermore, scattering by chorus can remove most electrons as they drift around Earth's magnetosphere, leading to the development of observed pancake distributions(8), and can account for the global morphology of the diffuse aurora(1,3).</t>
  </si>
  <si>
    <t>[Thorne, Richard M.; Ni, Binbin; Tao, Xin] Univ Calif Los Angeles, Dept Atmospher &amp; Ocean Sci, Los Angeles, CA 90095 USA; [Horne, Richard B.; Meredith, Nigel P.] British Antarctic Survey, Cambridge CB3 0ET, England; [Horne, Richard B.] Univ Sheffield, Dept Automat Control &amp; Syst Engn, Sheffield S1 3JD, S Yorkshire, England</t>
  </si>
  <si>
    <t>University of California System; University of California Los Angeles; UK Research &amp; Innovation (UKRI); Natural Environment Research Council (NERC); NERC British Antarctic Survey; University of Sheffield</t>
  </si>
  <si>
    <t>Thorne, RM (corresponding author), Univ Calif Los Angeles, Dept Atmospher &amp; Ocean Sci, 405 Hilgard Ave, Los Angeles, CA 90095 USA.</t>
  </si>
  <si>
    <t>rmt@atmos.ucla.edu</t>
  </si>
  <si>
    <t>Horne, Richard B/U-3764-2019; Ni, Binbin/I-5244-2013; Meredith, Nigel P/C-5806-2018</t>
  </si>
  <si>
    <t>Horne, Richard B/0000-0002-0412-6407; Meredith, Nigel/0000-0001-5032-3463</t>
  </si>
  <si>
    <t>NSF [ATM 0802843]; UK Natural Environment Research Council; NERC [bas0100025, bas0100023] Funding Source: UKRI; Natural Environment Research Council [bas0100025, bas0100023] Funding Source: researchfish</t>
  </si>
  <si>
    <t>NSF(National Science Foundation (NSF));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</si>
  <si>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in part by NSF grant ATM 0802843 and by the UK Natural Environment Research Council. We thank R. R. Anderson for provision of the CRRES plasma wave data used in this study and S. Petrinec for reproduction of the PIXIE observations.</t>
  </si>
  <si>
    <t>NATURE PUBLISHING GROUP</t>
  </si>
  <si>
    <t>MACMILLAN BUILDING, 4 CRINAN ST, LONDON N1 9XW, ENGLAND</t>
  </si>
  <si>
    <t>0028-0836</t>
  </si>
  <si>
    <t>Nature</t>
  </si>
  <si>
    <t>10.1038/nature09467</t>
  </si>
  <si>
    <t>668FT</t>
  </si>
  <si>
    <t>WOS:000283254700033</t>
  </si>
  <si>
    <t>Vanderlinde, K; Crawford, TM; de Haan, T; Dudley, JP; Shaw, L; Ade, PAR; Aird, KA; Benson, BA; Bleem, LE; Brodwin, M; Carlstrom, JE; Chang, CL; Crites, AT; Desai, S; Dobbs, MA; Foley, RJ; George, EM; Gladders, MD; Hall, NR; Halverson, NW; High, FW; Holder, GP; Holzapfel, WL; Hrubes, JD; Joy, M; Keisler, R; Knox, L; Lee, AT; Leitch, EM; Loehr, A; Lueker, M; Marrone, DP; McMahon, JJ; Mehl, J; Meyer, SS; Mohr, JJ; Montroy, TE; Ngeow, CC; Padin, S; Plagge, T; Pryke, C; Reichardt, CL; Rest, A; Ruel, J; Ruhl, JE; Schaffer, KK; Shirokoff, E; Song, J; Spieler, HG; Stalder, B; Staniszewski, Z; Stark, AA; Stubbs, CW; van Engelen, A; Vieira, JD; Williamson, R; Yang, Y; Zahn, O; Zenteno, A</t>
  </si>
  <si>
    <t>Vanderlinde, K.; Crawford, T. M.; de Haan, T.; Dudley, J. P.; Shaw, L.; Ade, P. A. R.; Aird, K. A.; Benson, B. A.; Bleem, L. E.; Brodwin, M.; Carlstrom, J. E.; Chang, C. L.; Crites, A. T.; Desai, S.; Dobbs, M. A.; Foley, R. J.; George, E. M.; Gladders, M. D.; Hall, N. R.; Halverson, N. W.; High, F. W.; Holder, G. P.; Holzapfel, W. L.; Hrubes, J. D.; Joy, M.; Keisler, R.; Knox, L.; Lee, A. T.; Leitch, E. M.; Loehr, A.; Lueker, M.; Marrone, D. P.; McMahon, J. J.; Mehl, J.; Meyer, S. S.; Mohr, J. J.; Montroy, T. E.; Ngeow, C. -C.; Padin, S.; Plagge, T.; Pryke, C.; Reichardt, C. L.; Rest, A.; Ruel, J.; Ruhl, J. E.; Schaffer, K. K.; Shirokoff, E.; Song, J.; Spieler, H. G.; Stalder, B.; Staniszewski, Z.; Stark, A. A.; Stubbs, C. W.; van Engelen, A.; Vieira, J. D.; Williamson, R.; Yang, Y.; Zahn, O.; Zenteno, A.</t>
  </si>
  <si>
    <t>GALAXY CLUSTERS SELECTED WITH THE SUNYAEV-ZEL'DOVICH EFFECT FROM 2008 SOUTH POLE TELESCOPE OBSERVATIONS</t>
  </si>
  <si>
    <t>ASTROPHYSICAL JOURNAL</t>
  </si>
  <si>
    <t>cosmology: observations; galaxies: clusters: general</t>
  </si>
  <si>
    <t>DIGITAL SKY SURVEY; MICROWAVE BACKGROUND ANISOTROPIES; STAR-FORMATION; DARK ENERGY; EXTRAGALACTIC SOURCES; INTRACLUSTER MEDIUM; SCALING RELATIONS; POWER SPECTRUM; SOURCE CATALOG; RADIO-SOURCES</t>
  </si>
  <si>
    <t>We present a detection-significance-limited catalog of 21 Sunyaev-Zel'dovich-selected galaxy clusters. These clusters, along with one unconfirmed candidate, were identified in 178 deg(2) of sky surveyed in 2008 by the South Pole Telescope (SPT) to a depth of 18 mu K arcmin at 150 GHz. Optical imaging from the Blanco Cosmology Survey (BCS) and Magellan telescopes provided photometric (and in some cases spectroscopic) redshift estimates, with catalog redshifts ranging from z = 0.15 to z &gt; 1, with a median z = 0.74. Of the 21 confirmed galaxy clusters, 3 were previously identified as Abell clusters, 3 were presented as SPT discoveries in Staniszewski et al., and 3 were first identified in a recent analysis of BCS data by Menanteau et al.; the remaining 12 clusters are presented for the first time in this work. Simulated observations of the SPT fields predict the sample to be nearly 100% complete above a mass threshold of M-200 approximate to 5 x 10(14) M-circle dot h(-1) at z = 0.6. This completeness threshold pushes to lower mass with increasing redshift, dropping to similar to 4 x 10(14) M-circle dot h(-1) at z = 1. The size and redshift distribution of this catalog are in good agreement with expectations based on our current understanding of galaxy clusters and cosmology. In combination with other cosmological probes, we use this cluster catalog to improve estimates of cosmological parameters. Assuming a standard spatially flat wCDM cosmological model, the addition of our catalog to the WMAP seven-year results yields sigma(8) = 0.81 +/- 0.09 and w = -1.07 +/- 0.29, a similar to 50% improvement in precision on both parameters over WMAP7 alone.</t>
  </si>
  <si>
    <t>[Vanderlinde, K.; de Haan, T.; Dudley, J. P.; Shaw, L.; Dobbs, M. A.; Holder, G. P.; van Engelen, A.] McGill Univ, Dept Phys, Montreal, PQ H3A 2T8, Canada; [Crawford, T. M.; Benson, B. A.; Bleem, L. E.; Carlstrom, J. E.; Chang, C. L.; Crites, A. T.; Gladders, M. D.; Keisler, R.; Leitch, E. M.; Marrone, D. P.; McMahon, J. J.; Mehl, J.; Meyer, S. S.; Padin, S.; Pryke, C.; Schaffer, K. K.; Vieira, J. D.; Williamson, R.] Univ Chicago, Kavli Inst Cosmol Phys, Chicago, IL 60637 USA; [Crawford, T. M.; Carlstrom, J. E.; Crites, A. T.; Gladders, M. D.; Leitch, E. M.; Mehl, J.; Meyer, S. S.; Padin, S.; Plagge, T.; Pryke, C.; Williamson, R.] Univ Chicago, Dept Astron &amp; Astrophys, Chicago, IL 60637 USA; [Shaw, L.] Yale Univ, Dept Phys, New Haven, CT 06520 USA; [Ade, P. A. R.] Cardiff Univ, Dept Phys &amp; Astron, Cardiff CF24 3YB, S Glam, Wales; [Benson, B. A.; George, E. M.; Holzapfel, W. L.; Lee, A. T.; Lueker, M.; Plagge, T.; Reichardt, C. L.; Shirokoff, E.; Zahn, O.] Univ Calif Berkeley, Dept Phys, Berkeley, CA 94720 USA; [Benson, B. A.; Carlstrom, J. E.; Chang, C. L.; McMahon, J. J.; Meyer, S. S.; Pryke, C.; Schaffer, K. K.] Univ Chicago, Enrico Fermi Inst, Chicago, IL 60637 USA; [Bleem, L. E.; Carlstrom, J. E.; Keisler, R.; Meyer, S. S.; Vieira, J. D.] Univ Chicago, Dept Phys, Chicago, IL 60637 USA; [Brodwin, M.; Foley, R. J.; Loehr, A.; Stalder, B.; Stark, A. A.; Stubbs, C. W.] Harvard Smithsonian Ctr Astrophys, Cambridge, MA 02138 USA; [Desai, S.; Ngeow, C. -C.; Song, J.; Yang, Y.] Univ Illinois, Dept Astron, Urbana, IL 61801 USA; [Hall, N. R.; Knox, L.] Univ Calif Davis, Dept Phys, Davis, CA 95616 USA; [Halverson, N. W.] Univ Colorado, Dept Astrophys &amp; Planetary Sci, Boulder, CO 80309 USA; [Halverson, N. W.] Univ Colorado, Dept Phys, Boulder, CO 80309 USA; [High, F. W.; Rest, A.; Ruel, J.; Stubbs, C. W.] Harvard Univ, Dept Phys, Cambridge, MA 02138 USA; [Joy, M.] NASA, George C Marshall Space Flight Ctr, Dept Space Sci, Huntsville, AL 35812 USA; [Lee, A. T.; Spieler, H. G.] Univ Calif Berkeley, Lawrence Berkeley Lab, Div Phys, Berkeley, CA 94720 USA; [McMahon, J. J.] Univ Michigan, Dept Phys, Ann Arbor, MI 48109 USA; [Mohr, J. J.; Zenteno, A.] Univ Munich, Dept Phys, D-81679 Munich, Germany; [Mohr, J. J.; Zenteno, A.] Excellence Cluster Universe, D-85748 Garching, Germany; [Mohr, J. J.] Max Planck Inst Extraterr Phys, D-85748 Garching, Germany; [Montroy, T. E.; Ruhl, J. E.; Staniszewski, Z.] Case Western Reserve Univ, Dept Phys, Cleveland, OH 44106 USA; [Montroy, T. E.; Ruhl, J. E.; Staniszewski, Z.] Case Western Reserve Univ, CERCA, Cleveland, OH 44106 USA; [Ngeow, C. -C.] Natl Cent Univ, Grad Inst Astron, Jhongli 32001, Taiwan</t>
  </si>
  <si>
    <t>McGill University; University of Chicago; University of Chicago; Yale University; Cardiff University; University of California System; University of California Berkeley; University of Chicago; University of Chicago; Harvard University; Smithsonian Astrophysical Observatory; Smithsonian Institution; University of Illinois System; University of Illinois Urbana-Champaign; University of California System; University of California Davis; University of Colorado System; University of Colorado Boulder; University of Colorado System; University of Colorado Boulder; Harvard University; National Aeronautics &amp; Space Administration (NASA); NASA Marshall Space Flight Center; University of California System; University of California Berkeley; United States Department of Energy (DOE); Lawrence Berkeley National Laboratory; University of Michigan System; University of Michigan; University of Munich; University of Munich; Max Planck Society; University System of Ohio; Case Western Reserve University; University System of Ohio; Case Western Reserve University; National Central University</t>
  </si>
  <si>
    <t>Vanderlinde, K (corresponding author), McGill Univ, Dept Phys, 3600 Rue Univ, Montreal, PQ H3A 2T8, Canada.</t>
  </si>
  <si>
    <t>keith.vanderlinde@mail.mcgill.ca</t>
  </si>
  <si>
    <t>Reichardt, Christian/IST-5017-2023; George, Elizabeth/AAR-7371-2021; Williamson, Ross/H-1734-2015; Ruhl, John/HHS-2212-2022; Holzapfel, William L/I-4836-2015; Rest, Armin/ABE-6469-2020; Desai, Shantanu/AAM-8055-2020; Stubbs, Christopher W/IQS-2815-2023</t>
  </si>
  <si>
    <t>George, Elizabeth/0000-0001-7874-0445; Ruhl, John/0000-0001-5875-4751; Stubbs, Christopher W/0000-0003-0347-1724; Ngeow, Chow-Choong/0000-0001-8771-7554; Marrone, Daniel/0000-0002-2367-1080; Dudley, Jonathan/0000-0002-0180-9771; Aird, Kenneth/0000-0003-1441-9518; Stark, Antony/0000-0002-2718-9996; Chang, Clarence/0000-0002-6311-0448; Foley, Ryan/0000-0002-2445-5275; Reichardt, Christian/0000-0003-2226-9169; Holzapfel, William/0000-0002-5744-6439; Benson, Bradford/0000-0002-5108-6823; Meyer, Stephan/0000-0003-3315-4332; Van Engelen, Alexander/0000-0002-3495-158X; Mohr, Joseph/0000-0002-6875-2087; Dobbs, Matt/0000-0001-7166-6422; Bleem, Lindsey/0000-0001-7665-5079; CRAWFORD, THOMAS/0000-0001-9000-5013</t>
  </si>
  <si>
    <t>National Science Foundation (NSF) Office of Polar Programs; United States Antarctic Program; Raytheon Polar Services Company; NASA Office of Space Science; National Science Foundation (NSF) [ANT-0638937, ANT-0130612, MRI-0723073]; NSF Physics Frontier Center [PHY-0114422]; Kavli Foundation; Gordon and Betty Moore Foundation; Office of Science of the U.S. Department of Energy [DE-AC02-05CH11231]; Office of Science, Office of High Energy Physics, of the U.S. Department of Energy [DE-AC02-05CH11231]; National Sciences and Engineering Research Council of Canada; Quebec Fonds de recherche sur la nature et les technologies; Canadian Institute for Advanced Research; KICP; Fermi Fellowship; Clay Fellowship; Hubble Fellowship [HF-51259.01-A]; Keck Foundation; GAAN Fellowship; Miller Institute; STFC [ST/G002711/1] Funding Source: UKRI; Division Of Astronomical Sciences; Direct For Mathematical &amp; Physical Scien [1009012] Funding Source: National Science Foundation</t>
  </si>
  <si>
    <t>National Science Foundation (NSF) Office of Polar Programs(National Science Foundation (NSF)); United States Antarctic Program; Raytheon Polar Services Company; NASA Office of Space Science(National Aeronautics &amp; Space Administration (NASA)); National Science Foundation (NSF)(National Science Foundation (NSF)); NSF Physics Frontier Center(National Science Foundation (NSF)); Kavli Foundation; Gordon and Betty Moore Foundation(Gordon and Betty Moore Foundation); Office of Science of the U.S. Department of Energy(United States Department of Energy (DOE)); Office of Science, Office of High Energy Physics, of the U.S. Department of Energy(United States Department of Energy (DOE)); National Sciences and Engineering Research Council of Canada(Natural Sciences and Engineering Research Council of Canada (NSERC)); Quebec Fonds de recherche sur la nature et les technologies; Canadian Institute for Advanced Research(Canadian Institute for Advanced Research (CIFAR)); KICP; Fermi Fellowship(United States Department of Energy (DOE)University of Chicago); Clay Fellowship; Hubble Fellowship; Keck Foundation(W.M. Keck Foundation); GAAN Fellowship; Miller Institute; STFC(UK Research &amp; Innovation (UKRI)Science &amp; Technology Facilities Council (STFC)); Division Of Astronomical Sciences; Direct For Mathematical &amp; Physical Scien(National Science Foundation (NSF)NSF - Directorate for Mathematical &amp; Physical Sciences (MPS))</t>
  </si>
  <si>
    <t>The SPT team gratefully acknowledges the contributions to the design and construction of the telescope by S. Busetti, E. Chauvin, T. Hughes, P. Huntley, and E. Nichols and his team of iron workers. We also thank the National Science Foundation (NSF) Office of Polar Programs, the United States Antarctic Program and the Raytheon Polar Services Company for their support of the project. We are grateful for professional support from the staff of the South Pole station. We thank H.-M. Cho, T. Lanting, J. Leong, W. Lu, M. Runyan, D. Schwan, M. Sharp, and C. Greer for their early contributions to the SPT project and J. Joseph and C. Vu for their contributions to the electronics. We acknowledge S. Alam, W. Barkhouse, S. Bhattacharya, L. Buckley-Greer, S. Hansen, H. Lin, Y-T Lin, C. Smith, and D. Tucker for their contribution to BCS data acquisition, and we acknowledge the DESDM team, which has developed the tools we used to process and calibrate the BCS data; We acknowledge the use of the Legacy Archive for Microwave Background Data Analysis (LAMBDA). Support for LAMBDA is provided by the NASA Office of Space Science. This research was facilitated in part by allocations of time on the COSMOS supercomputer at DAMTP in Cambridge, a UK-CCC facility supported by HEFCE and PPARC. This work is based in part on observations obtained at the Cerro Tololo Inter-American Observatory, and the Las Campanas Observatory. CTIO is operated by the Association of Universities for Research in Astronomy (AURA), Inc., under cooperative agreement with the National Science Foundation (NSF).; The South Pole Telescope is supported by the National Science Foundation through grants ANT-0638937 and ANT-0130612. Partial support is also provided by the NSF Physics Frontier Center grant PHY-0114422 to the Kavli Institute of Cosmological Physics at the University of Chicago, the Kavli Foundation and the Gordon and Betty Moore Foundation. This research used resources of the National Energy Research Scientific Computing Center, which is supported by the Office of Science of the U.S. Department of Energy under Contract No. DE-AC02-05CH11231. This work is supported in part by the Director, Office of Science, Office of High Energy Physics, of the U.S. Department of Energy under Contract No. DE-AC02-05CH11231. The McGill group acknowledges funding from the National Sciences and Engineering Research Council of Canada, the Quebec Fonds de recherche sur la nature et les technologies, and the Canadian Institute for Advanced Research. Partial support was provided by NSF grant MRI-0723073. The following individuals acknowledge additional support: A. L. and B. S. from the Brinson Foundation, B. A. B. and K. K. S. from KICP Fellowships, J.J.M. from a Fermi Fellowship, R.J.F. from a Clay Fellowship, D. P. M. from Hubble Fellowship grant HF-51259.01-A, M. B. from the Keck Foundation, Z.S. from a GAAN Fellowship, and A. T. L. from the Miller Institute</t>
  </si>
  <si>
    <t>IOP PUBLISHING LTD</t>
  </si>
  <si>
    <t>TEMPLE CIRCUS, TEMPLE WAY, BRISTOL BS1 6BE, ENGLAND</t>
  </si>
  <si>
    <t>0004-637X</t>
  </si>
  <si>
    <t>1538-4357</t>
  </si>
  <si>
    <t>ASTROPHYS J</t>
  </si>
  <si>
    <t>Astrophys. J.</t>
  </si>
  <si>
    <t>OCT 20</t>
  </si>
  <si>
    <t>10.1088/0004-637X/722/2/1180</t>
  </si>
  <si>
    <t>Astronomy &amp; Astrophysics</t>
  </si>
  <si>
    <t>678LK</t>
  </si>
  <si>
    <t>WOS:000284075400017</t>
  </si>
  <si>
    <t>Heinonen, JS; Carlson, RW; Luttinen, AV</t>
  </si>
  <si>
    <t>Heinonen, Jussi S.; Carlson, Richard W.; Luttinen, Arto V.</t>
  </si>
  <si>
    <t>Isotopic (Sr, Nd, Pb, and Os) composition of highly magnesian dikes of Vestfjella, western Dronning Maud Land, Antarctica: A key to the origins of the Jurassic Karoo large igneous province?</t>
  </si>
  <si>
    <t>CHEMICAL GEOLOGY</t>
  </si>
  <si>
    <t>Karoo; Continental flood basalt; Petrology; Isotope geochemistry; Ferropicrite; Meimechite</t>
  </si>
  <si>
    <t>SOUTHWEST INDIAN RIDGE; ENERGY-CONSTRAINED ASSIMILATION; TRACE-ELEMENT COMPOSITION; MANTLE-PLUME; FLOOD BASALTS; GONDWANA BREAKUP; TRIPLE JUNCTION; EAST ANTARCTICA; PICRITE BASALTS; KAAPVAAL CRATON</t>
  </si>
  <si>
    <t>There is a substantial debate on the mantle sources and ultimate origins of continental flood basalts (CFBs), e.g., whether they are related to deep-seated thermal upwellings (i.e. mantle plumes) in the upper mantle or not. Here we present high-precision isotopic (Sr, Nd, Pb, and Os) whole-rock data on some primitive dike rocks (ferropicrites, meimechites, picrobasalts, and basalts) associated with the Antarctic extension of the Jurassic (similar to 180 Ma) Karoo CFB province. The isotopic data together with previously published trace element data show that the parental melts of the studied rocks sampled two distinctive geochemical reservoirs in the deep sub-Gondwanan mantle. The isotopic signatures of the relatively depleted types show evidence of extensive melt extraction in the past and are indistinguishable from those of mid-ocean ridge basalts (MORBs) of the SW Indian Ridge. On the other hand, the relatively enriched type isotopically resembles modern oceanic island basalts (OIBs) and may sample pyroxenitic sources either formed by melt infiltration in the upper mantle or by reaction of peridotite with recycled oceanic crustal components (with up to 15% of sediment material). The depleted types have previously been associated with anomalously hot mantle sources (&gt; 1600 degrees C) and mantle plumes, but their MORB-like isotope compositions are unusual for plume-derived rocks. Instead, our findings are more concordant with a recent model [Coltice, N., Bertrand, H., Rey, P., Jourdan, F., Phillips, BR., Ricard, Y., 2009. Global warming of the mantle beneath continents back to the Archean. Gondwana Research 15,254-266] that suggests the generation of the Karoo CFBs in an extensive melting episode caused by internal heating of the upper mantle beneath the Gondwana supercontinent. (C) 2010 Elsevier B.V. All rights reserved.</t>
  </si>
  <si>
    <t>[Heinonen, Jussi S.] Univ Helsinki, Dept Geosci &amp; Geog, POB 64, FI-00014 Helsinki, Finland; [Heinonen, Jussi S.; Carlson, Richard W.] Carnegie Inst Sci, Dept Terr Magnetism, Washington, DC 20015 USA; [Luttinen, Arto V.] Univ Helsinki, Finnish Museum Nat Hist, FI-00014 Helsinki, Finland</t>
  </si>
  <si>
    <t>University of Helsinki; Carnegie Institution for Science; University of Helsinki</t>
  </si>
  <si>
    <t>Heinonen, JS (corresponding author), Univ Helsinki, Dept Geosci &amp; Geog, POB 64, FI-00014 Helsinki, Finland.</t>
  </si>
  <si>
    <t>jussi.s.heinonen@helsinki.fi; rcarlson@ciw.edu; arto.luttinen@helsinki.fi</t>
  </si>
  <si>
    <t>; Heinonen, Jussi/L-6152-2013</t>
  </si>
  <si>
    <t>Luttinen, Arto Vesa/0000-0002-3129-0392; Heinonen, Jussi/0000-0001-8998-4357</t>
  </si>
  <si>
    <t>Academy of Finland [210640, 129910]; Finnish Graduate School of Geology; Carnegie Institution of Washington; IPY [77, Eol 1264]; Academy of Finland (AKA) [129910, 210640] Funding Source: Academy of Finland (AKA)</t>
  </si>
  <si>
    <t>Academy of Finland(Research Council of Finland); Finnish Graduate School of Geology; Carnegie Institution of Washington; IPY; Academy of Finland (AKA)(Research Council of Finland)</t>
  </si>
  <si>
    <t>The comments of Fred Jourdan and an anonymous reviewer, and the editorial remarks by Bernard Bourdon helped to improve the manuscript and are highly appreciated. Nicolas Coltice provided additional comments on our presentation of the global mantle warming model. The FINNARP 2007 crew, especially Ilona Romu and Mika Kalakoski, are thanked for their assiduous support during the 2007-2008 field season at Vestfjella. Previous FINNARP expedition members (especially Henrik Grind, Mika Raisanen, and Saku Vuori) are also thanked for assisting in gathering samples for this study. Arto Peltola and Juhani Virkanen assisted with the sample preparations and Mary Horan and Timothy Mock assisted with the chemical separations and spectrometry at DTM, respectively. Hannu Huhma provided invaluable help with the isotope analyses at GSF. This work was supported by the Academy of Finland (grant nos. 210640 for J.H. and 129910 for A.L.), the Finnish Graduate School of Geology (for J.H.), and the Carnegie Institution of Washington, and is a contribution to IPY project Plates and Gates (#77; Eol 1264).</t>
  </si>
  <si>
    <t>0009-2541</t>
  </si>
  <si>
    <t>1872-6836</t>
  </si>
  <si>
    <t>CHEM GEOL</t>
  </si>
  <si>
    <t>Chem. Geol.</t>
  </si>
  <si>
    <t>10.1016/j.chemgeo.2010.08.004</t>
  </si>
  <si>
    <t>672UA</t>
  </si>
  <si>
    <t>WOS:000283611200004</t>
  </si>
  <si>
    <t>Hitchman, MH; Rogal, MJ</t>
  </si>
  <si>
    <t>Hitchman, M. H.; Rogal, M. J.</t>
  </si>
  <si>
    <t>ENSO influences on Southern Hemisphere column ozone during the winter to spring transition</t>
  </si>
  <si>
    <t>QUASI-BIENNIAL OSCILLATION; LOWER STRATOSPHERIC TEMPERATURE; ROSSBY-WAVE BREAKING; NORTHERN-HEMISPHERE; STATIONARY WAVES; EXTRATROPICAL STRATOSPHERE; METEOROLOGICAL REGIMES; PLANETARY-WAVES; EQUATORIAL QBO; EL-NINO</t>
  </si>
  <si>
    <t>This study investigates how the El Nino Southern Oscillation (ENSO) modulates the distribution of column ozone during the Southern Hemisphere (SH) winter to spring transition, when a zonal asymmetry in column ozone develops near 55 degrees S, with a maximum south of Australia. ENSO differences in column ozone and planetary wave structure are explored for the average of seven El Nino (EN) versus six La Nina (LN) events during 1982-2004. A westward shift in convection during LN corresponds to a 30-50 degrees westward shift of SH planetary wave and column ozone patterns. The extratropical lower stratospheric temperature anomalies are inversely correlated with tropical anomalies in similar longitude bands and are highly correlated with local column ozone anomalies. The tropical signal is communicated to higher latitudes by modulating subtropical anticyclones, with distinctive responses for EN and LN years for each month. During August and EN a subtropical anticyclone extends from South America to South Africa, and the wave one asymmetry of the Antarctic vortex is more pronounced and shifted eastward, along with column ozone. In September and EN a strong anticyclone exists over South Africa, with a corresponding cold, ozone-poor anomaly in the stratosphere, diminishing the western edge of the ozone maximum. In October and LN a strong anticyclone exists over Australia, with an amplified trough on its poleward flank. This trough is overlain by an ozone-rich warm anomaly, which expands the western edge of the ozone maximum, and the polar vortex asymmetry is amplified and rotated westward.</t>
  </si>
  <si>
    <t>[Hitchman, M. H.; Rogal, M. J.] Univ Wisconsin, Dept Atmospher &amp; Ocean Sci, Madison, WI 53706 USA</t>
  </si>
  <si>
    <t>University of Wisconsin System; University of Wisconsin Madison</t>
  </si>
  <si>
    <t>Hitchman, MH (corresponding author), Univ Wisconsin, Dept Atmospher &amp; Ocean Sci, 1225 W Dayton St, Madison, WI 53706 USA.</t>
  </si>
  <si>
    <t>matt@aos.wisc.edu</t>
  </si>
  <si>
    <t>NSF [ATM-0822858]; NASA [NNX08AW52G]; NASA [92661, NNX08AW52G] Funding Source: Federal RePORTER</t>
  </si>
  <si>
    <t>NSF(National Science Foundation (NSF)); NASA(National Aeronautics &amp; Space Administration (NASA)); NASA(National Aeronautics &amp; Space Administration (NASA))</t>
  </si>
  <si>
    <t>This work was supported by NSF grant ATM-0822858 and NASA grant NNX08AW52G.</t>
  </si>
  <si>
    <t>D20104</t>
  </si>
  <si>
    <t>10.1029/2009JD012844</t>
  </si>
  <si>
    <t>671XC</t>
  </si>
  <si>
    <t>WOS:000283546100001</t>
  </si>
  <si>
    <t>Sasgen, I; Martinec, Z; Bamber, J</t>
  </si>
  <si>
    <t>Sasgen, I.; Martinec, Z.; Bamber, J.</t>
  </si>
  <si>
    <t>Combined GRACE and InSAR estimate of West Antarctic ice mass loss</t>
  </si>
  <si>
    <t>GLACIAL-ISOSTATIC-ADJUSTMENT; SEA-LEVEL RISE; VISCOELASTIC RELAXATION; EARTH; GREENLAND; VARIABILITY; SURFACE; SHEETS; MODEL</t>
  </si>
  <si>
    <t>We estimate the mass balance of eight drainage basins in West Antarctica from the Gravity Recovery and Climate Experiment (GRACE) data (GFZ RL04, GSM Level 2) using a constrained inverse-gravimetric approach. We consider InSAR observations of ice surface velocity as an indication of mass change, assuming that large mass loss occurs in areas of fast glacier flow. From these mass distribution functions we construct forward models of the geoid height change and their spatial correlations for each drainage basin. Then the difference between the GRACE data and the forward model is minimized by adjusting the total amount of mass change within each drainage basin. To overcome the ambiguity inherent in this inverse problem, we constrain its solution by including a priori estimates based on the InSAR mass-budget method. However, unconstrained (GRACE only) mass-change estimates can be recovered for three to four combined drainage basins. Differences between GRACE and InSAR values exist mainly for the Pine Island Glacier and Getz Ice Shelf region, resulting in a lower unconstrained GRACE total of -91.0 +/- 3.5 Gt/yr (for the years 2002-2008) compared to the InSAR estimate of -116.6 +/- 19.0 Gt/yr (outflow measurement for the years 1992, 1996, and 2006). There is evidence that this difference arises from anomalously large accumulation within the GRACE time interval (August 2002 to August 2008) in the Amundsen Sea sector and possibly from an overestimation of ice thickness for parts of the Bellinghausen Sea sector underlying the InSAR mass-budget values.</t>
  </si>
  <si>
    <t>[Sasgen, I.] Geoforschungszentrum Potsdam, Dept Geodesy &amp; Remote Sensing, D-14473 Potsdam, Germany; [Martinec, Z.] Dublin Inst Adv Studies, Sch Theoret Phys, Dublin 4, Ireland; [Bamber, J.] Univ Bristol, Sch Geog Sci, Bristol BS8 1SS, Avon, England</t>
  </si>
  <si>
    <t>Helmholtz Association; Helmholtz-Center Potsdam GFZ German Research Center for Geosciences; Dublin Institute for Advanced Studies; University of Bristol</t>
  </si>
  <si>
    <t>Sasgen, I (corresponding author), Geoforschungszentrum Potsdam, Dept Geodesy &amp; Remote Sensing, Telegrafenberg A20, D-14473 Potsdam, Germany.</t>
  </si>
  <si>
    <t>sasgen@gfz-potsdam.de</t>
  </si>
  <si>
    <t>Bamber, Jonathan/C-7608-2011; Martinec, Zdenek/AAA-6095-2022; Martinec, Zdenek/M-9860-2017</t>
  </si>
  <si>
    <t>Bamber, Jonathan/0000-0002-2280-2819; Martinec, Zdenek/0000-0002-7036-2571</t>
  </si>
  <si>
    <t>Deutsche Forschungsgemeinschaft (DFG) (German Research Foundation) [MA 3432/3-1 (SPP1257)]; Grant Agency of the Czech Republic [205/09/0546]; U.K. Natural Environment Research Council [NE/E004032/1]; Colorado University Cooperative Institute for Research in Environmental Sciences (CIRES); Natural Environment Research Council [NE/E004032/1] Funding Source: researchfish; NERC [NE/E004032/1] Funding Source: UKRI</t>
  </si>
  <si>
    <t>Deutsche Forschungsgemeinschaft (DFG) (German Research Foundation)(German Research Foundation (DFG)); Grant Agency of the Czech Republic(Grant Agency of the Czech RepublicNorwegian Agency for Development Cooperation - NORAD); U.K. Natural Environment Research Council(UK Research &amp; Innovation (UKRI)Natural Environment Research Council (NERC)); Colorado University Cooperative Institute for Research in Environmental Sciences (CIRES); Natural Environment Research Council(UK Research &amp; Innovation (UKRI)Natural Environment Research Council (NERC)); NERC(UK Research &amp; Innovation (UKRI)Natural Environment Research Council (NERC))</t>
  </si>
  <si>
    <t>We thank two anonymous reviewers for their comments that have helped to improve the manuscript. I. S. acknowledges support from the Deutsche Forschungsgemeinschaft (DFG) (German Research Foundation) through grant MA 3432/3-1 (SPP1257) and is grateful to Erik Ivins for his comments on the manuscript. Z.M. acknowledges support from the Grant Agency of the Czech Republic through Grant 205/09/0546. J.L.B. is grateful to Ron Kwok, JPL and Ian Joughin, and APL for providing their unpublished InSAR data and to Laura Edwards for combining these with other InSAR data. J.L.B. was partially funded by U.K. Natural Environment Research Council grant NE/E004032/1 and a Colorado University Cooperative Institute for Research in Environmental Sciences (CIRES) fellowship.</t>
  </si>
  <si>
    <t>F04010</t>
  </si>
  <si>
    <t>10.1029/2009JF001525</t>
  </si>
  <si>
    <t>671XK</t>
  </si>
  <si>
    <t>WOS:000283547000003</t>
  </si>
  <si>
    <t>Seear, PJ; Tarling, GA; Burns, G; Goodall-Copestake, WP; Gaten, E; Özkaya, Ö; Rosato, E</t>
  </si>
  <si>
    <t>Seear, Paul J.; Tarling, Geraint A.; Burns, Gavin; Goodall-Copestake, William P.; Gaten, Edward; Ozkaya, Ozge; Rosato, Ezio</t>
  </si>
  <si>
    <t>Differential gene expression during the moult cycle of Antarctic krill (Euphausia superba)</t>
  </si>
  <si>
    <t>BMC GENOMICS</t>
  </si>
  <si>
    <t>CUTICLE; INTEGUMENT; CRUSTACEAN; PROTEINS; CRAYFISH; GROWTH; ENZYME; ULTRASTRUCTURE; METAMORPHOSIS; PEPTIDE</t>
  </si>
  <si>
    <t>Background: All crustaceans periodically moult to renew their exoskeleton. In krill this involves partial digestion and resorption of the old exoskeleton and synthesis of new cuticle. Molecular events that underlie the moult cycle are poorly understood in calcifying crustaceans and even less so in non-calcifying organisms such as krill. To address this we constructed an Antarctic krill cDNA microarray in order to generate gene expression profiles across the moult cycle and identify possible activation pathways. Results: A total of 26 different cuticle genes were identified that showed differential gene expression across the moult cycle. Almost all cuticle genes were up regulated during premoult and down regulated during late intermoult. There were a number of transcripts with significant sequence homology to genes potentially involved in the synthesis, breakdown and resorption of chitin. During early premoult glutamine synthetase, a gene involved in generating an amino acid used in the synthesis of glucosamine, a constituent of chitin, was up regulated more than twofold. Mannosyltransferase 1, a member of the glycosyltransferase family of enzymes that includes chitin synthase was also up regulated during early premoult. Transcripts homologous to a beta-N-acetylglucosaminidase (beta-NAGase) precursor were expressed at a higher level during late intermoult (prior to apolysis) than during premoult. This observation coincided with the up regulation during late intermoult, of a coatomer subunit epsilon involved in the production of vesicles that maybe used to transport the beta-NAGase precursors into the exuvial cleft. Trypsin, known to activate the beta-NAGase precursor, was up regulated more than fourfold during premoult. The up regulation of a predicted oligopeptide transporter during premoult may allow the transport of chitin breakdown products across the newly synthesised epi- and exocuticle layers. Conclusion: We have identified many genes differentially expressed across the moult cycle of krill that correspond with known phenotypic structural changes. This study has provided a better understanding of the processes involved in krill moulting and how they may be controlled at the gene expression level.</t>
  </si>
  <si>
    <t>[Seear, Paul J.; Tarling, Geraint A.; Burns, Gavin; Goodall-Copestake, William P.] British Antarctic Surveycx, Cambridge CB3 0ET, England; [Gaten, Edward] Univ Leicester, Dept Biol, Leicester LE1 7RH, Leics, England; [Ozkaya, Ozge; Rosato, Ezio] Univ Leicester, Dept Genet, Leicester LE1 7RH, Leics, England</t>
  </si>
  <si>
    <t>UK Research &amp; Innovation (UKRI); Natural Environment Research Council (NERC); NERC British Antarctic Survey; University of Leicester; University of Leicester</t>
  </si>
  <si>
    <t>Seear, PJ (corresponding author), British Antarctic Surveycx, Madingley Rd, Cambridge CB3 0ET, England.</t>
  </si>
  <si>
    <t>paea@bas.ac.uk</t>
  </si>
  <si>
    <t>Goodall-Copestake, William/CAF-6866-2022; Gaten, Edward/B-4513-2011; Goodall-Copestake, William P/C-1061-2011</t>
  </si>
  <si>
    <t>Rosato, Ezio/0000-0001-7297-4697; Goodall-Copestake, Will/0000-0003-3586-9091</t>
  </si>
  <si>
    <t>Natural Environment Research Council Antarctic Funding Initiative [AFI 7/06]; NERC [bas0100025] Funding Source: UKRI; Natural Environment Research Council [bas0100025] Funding Source: researchfish</t>
  </si>
  <si>
    <t>Natural Environment Research Council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</si>
  <si>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captain and crew of the RRV James Clark Ross during the JR177 cruise. We would also like to thank J. Cuzin-Roudy for her helpful advice in writing this manuscript and G. Hillyard for help in PCR amplification of microarray clones. This study was funded by the Natural Environment Research Council Antarctic Funding Initiative project AFI 7/06 'Gene function in Antarctic krill: determining the role of clock genes in synchronised behavioural patterns'.</t>
  </si>
  <si>
    <t>1471-2164</t>
  </si>
  <si>
    <t>BMC Genomics</t>
  </si>
  <si>
    <t>OCT 19</t>
  </si>
  <si>
    <t>10.1186/1471-2164-11-582</t>
  </si>
  <si>
    <t>Biotechnology &amp; Applied Microbiology; Genetics &amp; Heredity</t>
  </si>
  <si>
    <t>675SQ</t>
  </si>
  <si>
    <t>gold, Green Published, Green Accepted</t>
  </si>
  <si>
    <t>WOS:000283854000001</t>
  </si>
  <si>
    <t>Segtnan, OH; Furevik, T; Jenkins, AD</t>
  </si>
  <si>
    <t>Segtnan, Ole Henrik; Furevik, Tore; Jenkins, Alastair D.</t>
  </si>
  <si>
    <t>Computing cross-isotherm volume transports from ocean temperature observations and surface heat fluxes, with application to the Barents Sea inflow</t>
  </si>
  <si>
    <t>CONTINENTAL SHELF RESEARCH</t>
  </si>
  <si>
    <t>Volume flux; Barents Sea; Cross-isotherm currents</t>
  </si>
  <si>
    <t>VARIABILITY; REANALYSIS</t>
  </si>
  <si>
    <t>A method for determining the cross-isotherm ocean transport from surface heat flux and ocean temperature data is derived By computing the volume flux through the isotherm that extend from 19 degrees E, 74 degrees N to the eastern part of the Kola Peninsula, the flow through the western entrance of the Barents Sea south of 74 degrees N is estimated Using three different surface heat flux datasets, the inflow is found to range from 2.9 to 45 Sv in winter (October-March) and from 04 to 1.4 Sv in summer (April-September, 1 Sv = 10(6) m(3) s(-1)). The seasonal variations are stronger than indicated by results from direct current measurements, probably because the seasonal cycle of the surface heat fluxes is overestimated along the considered isotherm. The annual mean inflow ranges from 1.9 to 2 2Sv during a cold period (1986-1988), and from 24 to 3.0 Sv during a warm period (1990-1992), close to reported observations. (C) 2010 Elsevier Ltd. All rights reserved</t>
  </si>
  <si>
    <t>[Segtnan, Ole Henrik; Furevik, Tore; Jenkins, Alastair D.] Univ Bergen, Inst Geophys, N-5007 Bergen, Norway; [Furevik, Tore] Bjerknes Ctr Climate Res, Bergen, Norway</t>
  </si>
  <si>
    <t>University of Bergen; Bjerknes Centre for Climate Research</t>
  </si>
  <si>
    <t>Segtnan, OH (corresponding author), Univ Bergen, Inst Geophys, Allegaten 70, N-5007 Bergen, Norway.</t>
  </si>
  <si>
    <t>Furevik, Tore/0000-0002-1668-2785</t>
  </si>
  <si>
    <t>Research Council of Norway [175763]; NORCLIM; BIAC; Arc Change; POCAHONTAS</t>
  </si>
  <si>
    <t>Research Council of Norway(Research Council of Norway); NORCLIM; BIAC; Arc Change; POCAHONTAS</t>
  </si>
  <si>
    <t>The hydrographic data were provided by the Marine Research Institute, Iceland, Institute of Marine Research, Norway, the Faroese Fisheries Laboratory, and the Arctic and Antarctic Research Institute, Russia, through the NISE project. NCEP/DOE 2 Reanalysis data were provided by the NOAA/OAR/ESRL PSD, Boulder, CO, USA, from their web site at http://www.cdc.noaa.gov. ERA-40 data were provided from the ECMWF data server at http://www.ecmwf.int. Data from Objectively Analyzed Air-Sea Fluxes and International Satellite Cloud Climatology Project were provided from the project website at http://oaflux.whoi.eclu/. The work was supported by the Research Council of Norway through the projects Atmosphere-Ocean Interaction (project no. 175763), NORCLIM, BIAC and Arc Change. It also contributes to the POCAHONTAS project. The authors would like to thank Jan Even Oye Nilsen and Oystein Skagseth for reading through early drafts of this manuscript.</t>
  </si>
  <si>
    <t>0278-4343</t>
  </si>
  <si>
    <t>1873-6955</t>
  </si>
  <si>
    <t>CONT SHELF RES</t>
  </si>
  <si>
    <t>Cont. Shelf Res.</t>
  </si>
  <si>
    <t>OCT 15</t>
  </si>
  <si>
    <t>10.1016/j.csr.2010.08.009</t>
  </si>
  <si>
    <t>673EZ</t>
  </si>
  <si>
    <t>WOS:000283643200004</t>
  </si>
  <si>
    <t>Vergara, A; Vitagliano, L; Merlino, A; Sica, F; Marino, K; Verde, C; di Prisco, G; Mazzarella, L</t>
  </si>
  <si>
    <t>Vergara, Alessandro; Vitagliano, Luigi; Merlino, Antonello; Sica, Filomena; Marino, Katia; Verde, Cinzia; di Prisco, Guido; Mazzarella, Lelio</t>
  </si>
  <si>
    <t>An Order-Disorder Transition Plays a Role in Switching Off the Root Effect in Fish Hemoglobins</t>
  </si>
  <si>
    <t>JOURNAL OF BIOLOGICAL CHEMISTRY</t>
  </si>
  <si>
    <t>CRYSTAL-STRUCTURE; TREMATOMUS-BERNACCHII; STRUCTURAL BASIS; PAGOTHENIA-BERNACCHII; TETRAMERIC HEMOGLOBIN; DEOXY; NEWNESI; BINDING; EQUILIBRIA; STABILITY</t>
  </si>
  <si>
    <t>The Root effect is a widespread property among fish hemoglobins whose structural basis remains largely obscure. Here we report a crystallographic and spectroscopic characterization of the non-Root-effect hemoglobin isolated from the Antarctic fish Trematomus newnesi in the deoxygenated form. The crystal structure unveils that the T state of this hemoglobin is stabilized by a strong H-bond between the side chains of Asp95 alpha and Asp101 beta at the alpha(1)beta(2) and alpha(2)beta(1) interfaces. This unexpected finding undermines the accepted paradigm that correlates the presence of this unusual H-bond with the occurrence of the Root effect. Surprisingly, the T state is characterized by an atypical flexibility of two alpha chains within the tetramer. Indeed, regions such as the CD alpha corner and the EF alpha pocket, which are normally well ordered in the T state of tetrameric hemoglobins, display high B-factors and non-continuous electron densities. This flexibility also leads to unusual distances between the heme iron and the proximal and distal His residues. These observations are in line with Raman micro-spectroscopy studies carried out both in solution and in the crystal state. The findings here presented suggest that in fish hemoglobins the Root effect may be switched off through a significant destabilization of the T state regardless of the presence of the inter-aspartic H-bond. Similar mechanisms may also operate for other non-Root effect hemoglobins. The implications of the flexibility of the CD alpha corner for the mechanism of the T-R transition in tetrameric hemoglobins are also discussed.</t>
  </si>
  <si>
    <t>[Mazzarella, Lelio] Univ Naples Federico II, Dept Chem, I-80126 Naples, Italy; [Vergara, Alessandro; Vitagliano, Luigi; Merlino, Antonello; Sica, Filomena; Mazzarella, Lelio] CNR, Ist Biostrutture &amp; Bioimmagini, I-80134 Naples, Italy; [Marino, Katia; Verde, Cinzia; di Prisco, Guido] CNR, Inst Prot Biochem, I-80131 Naples, Italy</t>
  </si>
  <si>
    <t>University of Naples Federico II; Consiglio Nazionale delle Ricerche (CNR); Istituto di Biostrutture e Bioimmagini (IBB-CNR); Consiglio Nazionale delle Ricerche (CNR); Istituto di Biochimica delle Proteine (IBP-CNR)</t>
  </si>
  <si>
    <t>Mazzarella, L (corresponding author), Complesso Univ Monte S Angelo, Via Cinthia, I-80126 Naples, Italy.</t>
  </si>
  <si>
    <t>lelio.mazzarella@unina.it</t>
  </si>
  <si>
    <t>Vergara, Alessandro/C-4435-2013; Merlino, Antonello/AAI-2114-2020</t>
  </si>
  <si>
    <t>VERDE, Cinzia/0000-0001-6185-282X; Vergara, Alessandro/0000-0003-4135-0245; Merlino, Antonello/0000-0002-1045-7720</t>
  </si>
  <si>
    <t>PNRA (Italian National Programme for Antarctic Research); Evolution and Biodiversity in the Antarctic (EBA); Scientific Committee for Antarctic Research (SCAR); Ministero Italiano dell'Universita e della Ricerca Scientifica</t>
  </si>
  <si>
    <t>PNRA (Italian National Programme for Antarctic Research); Evolution and Biodiversity in the Antarctic (EBA); Scientific Committee for Antarctic Research (SCAR); Ministero Italiano dell'Universita e della Ricerca Scientifica(Ministry of Education, Universities and Research (MIUR))</t>
  </si>
  <si>
    <t>This work was financially supported by PNRA (Italian National Programme for Antarctic Research) and is in the framework of the programme Evolution and Biodiversity in the Antarctic (EBA), sponsored by the Scientific Committee for Antarctic Research (SCAR). This study was also supported in part by the Ministero Italiano dell'Universita e della Ricerca Scientifica (PRIN 2007 Struttura, funzione ed evoluzione di emoproteine da organismi marini artici ed antartici: meccanismi di adattamento al freddo e acquisizione di nuove funzioni).</t>
  </si>
  <si>
    <t>AMER SOC BIOCHEMISTRY MOLECULAR BIOLOGY INC</t>
  </si>
  <si>
    <t>BETHESDA</t>
  </si>
  <si>
    <t>9650 ROCKVILLE PIKE, BETHESDA, MD 20814-3996 USA</t>
  </si>
  <si>
    <t>0021-9258</t>
  </si>
  <si>
    <t>1083-351X</t>
  </si>
  <si>
    <t>J BIOL CHEM</t>
  </si>
  <si>
    <t>J. Biol. Chem.</t>
  </si>
  <si>
    <t>10.1074/jbc.M110.143537</t>
  </si>
  <si>
    <t>Biochemistry &amp; Molecular Biology</t>
  </si>
  <si>
    <t>660XZ</t>
  </si>
  <si>
    <t>Green Published, hybrid</t>
  </si>
  <si>
    <t>WOS:000282683000071</t>
  </si>
  <si>
    <t>McDonald, AJ; Tan, B; Chu, XZ</t>
  </si>
  <si>
    <t>McDonald, Adrian J.; Tan, Bo; Chu, Xinzhao</t>
  </si>
  <si>
    <t>Role of gravity waves in the spatial and temporal variability of stratospheric temperature measured by COSMIC/FORMOSAT-3 and Rayleigh lidar observations</t>
  </si>
  <si>
    <t>NUMBER SPECTRA; AIRCRAFT; MISSION; ANTARCTICA; TURBULENCE; VARIANCE</t>
  </si>
  <si>
    <t>This study utilizes COSMIC satellite and lidar observations to examine the spatial and temporal variability of stratospheric temperature at a number of scales. The geographic variation of the RMS temperature difference between pairs of COSMIC profiles shows a strong correspondence to previous climatologies of gravity wave activity. In addition, the second-order structure functions we form can be directly related to the horizontal wave number power spectrum. These structure functions for different seasons and altitudes display a close correspondence to previous studies which examined the form of the horizontal wave number power spectra. Our analysis suggests that the wavefield may be particularly affected by changes in the zonal wind between 15 and 25 km and that the wind reversal between tropospheric westerlies and stratospheric easterlies in summer strongly contributes to critical-level filtering. Inspection also shows that longer horizontal wavelength waves are preferentially removed in this region. At low altitudes, the variability related to gravity waves shows a remarkably similar pattern as a function of horizontal separation in both hemispheres but is quite different at higher altitudes. Such contrast implies that seasonal variability at higher altitudes may be dominated by changes in propagation conditions in the lower stratosphere. Examination of temperature variability as a function of spatial and temporal separation indicates that gravity wave activity dominates stratospheric temperature variability, and this has impacts on validation study site selection. For example, validation exercises in the summer hemisphere stratosphere are likely to be less affected by geophysical variability than those in the winter hemisphere.</t>
  </si>
  <si>
    <t>[McDonald, Adrian J.] Univ Canterbury, Dept Phys &amp; Astron, Christchurch 8020, New Zealand; [Tan, Bo; Chu, Xinzhao] Univ Colorado, Cooperat Inst Res Environm Sci, Boulder, CO 80309 USA; [Tan, Bo; Chu, Xinzhao] Univ Colorado, Dept Aerosp Engn, Boulder, CO 80309 USA</t>
  </si>
  <si>
    <t>University of Canterbury; University of Colorado System; University of Colorado Boulder; University of Colorado System; University of Colorado Boulder</t>
  </si>
  <si>
    <t>McDonald, AJ (corresponding author), Univ Canterbury, Dept Phys &amp; Astron, Private Bag 4800, Christchurch 8020, New Zealand.</t>
  </si>
  <si>
    <t>adrian.mcdonald@canterbury.ac.nz</t>
  </si>
  <si>
    <t>Chu, Xinzhao/I-5670-2015</t>
  </si>
  <si>
    <t>McDonald, Adrian/0000-0002-1456-6254</t>
  </si>
  <si>
    <t>CIRES; NSF [ATM-0645584]; Office of Polar Programs (OPP); Directorate For Geosciences [0839091] Funding Source: National Science Foundation</t>
  </si>
  <si>
    <t>CIRES; NSF(National Science Foundation (NSF)); Office of Polar Programs (OPP); Directorate For Geosciences(National Science Foundation (NSF)NSF - Directorate for Geosciences (GEO))</t>
  </si>
  <si>
    <t>The authors would like to acknowledge the distribution of FORMOSAT-3/COSMIC data by CDAAC. A.J.M. would also like to acknowledge support provided by CIRES during his period as a visiting sabbatical fellow, during which period this work was completed. Support for the lidar observations was provided by the National Science Foundation, the British Antarctic Survey, and the University of Illinois at Urbana-Champagin. We thank C. S. Gardner, G. Papen, P. Espy, G. Nott, J. Diettrich, D. J. Maxfield, A. El Dakrouri, and J. Bird for their assistance in deploying the lidar. B. T. and X. C. were partially supported by NSF CAREER grant ATM-0645584.</t>
  </si>
  <si>
    <t>D19128</t>
  </si>
  <si>
    <t>10.1029/2009JD013658</t>
  </si>
  <si>
    <t>666BU</t>
  </si>
  <si>
    <t>WOS:000283084800003</t>
  </si>
  <si>
    <t>Rogers, M</t>
  </si>
  <si>
    <t>Rogers, Mike</t>
  </si>
  <si>
    <t>Deep Freeze!: A Photographer's Antarctic Odyssey the Year 1959</t>
  </si>
  <si>
    <t>LIBRARY JOURNAL</t>
  </si>
  <si>
    <t>Book Review</t>
  </si>
  <si>
    <t>REED BUSINESS INFORMATION</t>
  </si>
  <si>
    <t>360 PARK AVENUE SOUTH, NEW YORK, NY 10010 USA</t>
  </si>
  <si>
    <t>0363-0277</t>
  </si>
  <si>
    <t>LIBR J</t>
  </si>
  <si>
    <t>Libr. J.</t>
  </si>
  <si>
    <t>Information Science &amp; Library Science</t>
  </si>
  <si>
    <t>Social Science Citation Index (SSCI)</t>
  </si>
  <si>
    <t>670WC</t>
  </si>
  <si>
    <t>WOS:000283457000109</t>
  </si>
  <si>
    <t>McNeil, B; Tagliabue, A; Sweeney, C</t>
  </si>
  <si>
    <t>McNeil, Ben I.; Tagliabue, Alessandro; Sweeney, Colm</t>
  </si>
  <si>
    <t>A multi-decadal delay in the onset of corrosive 'acidified' waters in the Ross Sea of Antarctica due to strong air-sea CO2 disequilibrium</t>
  </si>
  <si>
    <t>OCEAN ACIDIFICATION; IMPACTS</t>
  </si>
  <si>
    <t>Antarctic coastal waters have an abundance of marine organisms that secrete the mineral aragonite for growth and survival. Increasing oceanic anthropogenic CO2 uptake will push these waters to a point whereby aragonite will start to geochemically corrode, with direct consequences for the Antarctic ecosystem. Here we combine surface CO2 data in the Ross Sea, Antarctica with a regional ocean/sea-ice model to better pinpoint the timing of corrosive conditions. Our analysis suggests sea-ice cover and deep-water entrainment during winter results in 65% lower storage of anthropogenic CO2 in comparison to atmospheric CO2 equilibrium. This means that instead of corrosive 'acidified' waters beginning as early as the winter of 2015, anthropogenic CO2 disequilibrium delays its onset by up to 30 years, giving this Antarctic marine ecosystem a several decade reprieve to corrosive conditions. Our results demonstrate a broader importance of understanding natural oceanic carbon cycle variability for the onset of corrosive conditions. Citation: McNeil, B. I., A. Tagliabue, and C. Sweeney (2010), A multi-decadal delay in the onset of corrosive 'acidified' waters in the Ross Sea of Antarctica due to strong air-sea CO2 disequilibrium, Geophys. Res. Lett., 37, L19607, doi: 10.1029/2010GL044597.</t>
  </si>
  <si>
    <t>[McNeil, Ben I.] Univ New S Wales, Fac Sci, Climate Change Res Ctr, Sydney, NSW 2052, Australia; [Sweeney, Colm] Univ Colorado, CIRES, Boulder, CO 80309 USA; [Tagliabue, Alessandro] UVSQ, Lab Sci Climat &amp; Environm, IPSL, CEA,CNRS, F-91198 Gif Sur Yvette, France</t>
  </si>
  <si>
    <t>University of New South Wales Sydney; University of Colorado System; University of Colorado Boulder; CEA; Centre National de la Recherche Scientifique (CNRS); Universite Paris Saclay; Universite Paris Cite</t>
  </si>
  <si>
    <t>McNeil, B (corresponding author), Univ New S Wales, Fac Sci, Climate Change Res Ctr, Sydney, NSW 2052, Australia.</t>
  </si>
  <si>
    <t>b.mcneil@unsw.edu.au</t>
  </si>
  <si>
    <t>Sweeney, Colm/AAE-9291-2019</t>
  </si>
  <si>
    <t>Tagliabue, Alessandro/0000-0002-3572-3634; McNeil, Ben/0000-0001-5765-7087; Sweeney, Colm/0000-0002-4517-0797</t>
  </si>
  <si>
    <t>Australian Research Council [ARC/DP0880815]; European Project on Ocean Acidification (EPOCA) [211384]; NSF/OPP [ANT-0636975]; Office of Polar Programs (OPP); Directorate For Geosciences [0944761] Funding Source: National Science Foundation</t>
  </si>
  <si>
    <t>Australian Research Council(Australian Research Council); European Project on Ocean Acidification (EPOCA); NSF/OPP(National Science Foundation (NSF)); Office of Polar Programs (OPP); Directorate For Geosciences(National Science Foundation (NSF)NSF - Directorate for Geosciences (GEO))</t>
  </si>
  <si>
    <t>B.I.B. was supported by an Australian Research Council Queen Elizabeth II Fellowship (ARC/DP0880815). A.T. received support from the European Project on Ocean Acidification (EPOCA) under grant agreement 211384. C.S. was supported by NSF/OPP ANT-0636975.</t>
  </si>
  <si>
    <t>OCT 14</t>
  </si>
  <si>
    <t>L19607</t>
  </si>
  <si>
    <t>10.1029/2010GL044597</t>
  </si>
  <si>
    <t>666AE</t>
  </si>
  <si>
    <t>Bronze, Green Published</t>
  </si>
  <si>
    <t>WOS:000283078600003</t>
  </si>
  <si>
    <t>Lavergne, T; Eastwood, S; Teffah, Z; Schyberg, H; Breivik, LA</t>
  </si>
  <si>
    <t>Lavergne, T.; Eastwood, S.; Teffah, Z.; Schyberg, H.; Breivik, L. -A.</t>
  </si>
  <si>
    <t>Sea ice motion from low-resolution satellite sensors: An alternative method and its validation in the Arctic</t>
  </si>
  <si>
    <t>SIMPLEX-METHOD; OPTICAL-FLOW; IMAGERY; TRACKING; DRIFT; SAR; CURRENTS; SSM/I; BUOY</t>
  </si>
  <si>
    <t>The retrieval of sea ice motion with the Maximum Cross-Correlation (MCC) method from low-resolution (10-15 km) spaceborne imaging sensors is challenged by a dominating quantization noise as the time span of displacement vectors is shortened. To allow investigating shorter displacements from these instruments, we introduce an alternative sea ice motion tracking algorithm that builds on the MCC method but relies on a continuous optimization step for computing the motion vector. The prime effect of this method is to effectively dampen the quantization noise, an artifact of the MCC. It allows for retrieving spatially smooth 48 h sea ice motion vector fields in the Arctic. Strategies to detect and correct erroneous vectors as well as to optimally merge several polarization channels of a given instrument are also described. A test processing chain is implemented and run with several active and passive microwave imagers (Advanced Microwave Scanning Radiometer-EOS (AMSR-E), Special Sensor Microwave Imager, and Advanced Scatterometer) during three Arctic autumn, winter, and spring seasons. Ice motion vectors are collocated to and compared with GPS positions of in situ drifters. Error statistics are shown to be ranging from 2.5 to 4.5 km (standard deviation for components of the vectors) depending on the sensor, without significant bias. We discuss the relative contribution of measurement and representativeness errors by analyzing monthly validation statistics. The 37 GHz channels of the AMSR-E instrument allow for the best validation statistics. The operational low-resolution sea ice drift product of the EUMETSAT OSI SAF (European Organisation for the Exploitation of Meteorological Satellites Ocean and Sea Ice Satellite Application Facility) is based on the algorithms presented in this paper.</t>
  </si>
  <si>
    <t>[Lavergne, T.; Eastwood, S.; Teffah, Z.; Schyberg, H.; Breivik, L. -A.] Norwegian Meteorol Inst, Div Res &amp; Dev, Remote Sensing Sect, N-0313 Oslo, Norway</t>
  </si>
  <si>
    <t>Norwegian Meteorological Institute</t>
  </si>
  <si>
    <t>Lavergne, T (corresponding author), Norwegian Meteorol Inst, Div Res &amp; Dev, Remote Sensing Sect, Postboks 43 Blindern, N-0313 Oslo, Norway.</t>
  </si>
  <si>
    <t>t.lavergne@met.no</t>
  </si>
  <si>
    <t>Lavergne, Thomas/0000-0002-9498-4551</t>
  </si>
  <si>
    <t>European Union; Norwegian Research Council [176096/S30]; EUMETSAT Ocean and Sea Ice SAF</t>
  </si>
  <si>
    <t>European Union(European Union (EU)); Norwegian Research Council(Research Council of Norway); EUMETSAT Ocean and Sea Ice SAF</t>
  </si>
  <si>
    <t>This research work partly took place within the frame of the DAMOCLES project. The DAMOCLES project is financed by the European Union under the 6th Framework Programme for Research and Development. The research work also received support from the Norwegian Research Council through its International Polar Year programme and the project iAOOS Norway: Closing the Loop (grant 176096/S30, http://www.iaoos.no). The European Commission also participated through the MERSEA Integrated Project, under the 6th Framework Program, Thematic Priority Space/GMES. Finally, the EUMETSAT Ocean and Sea Ice SAF (http://www.osi-saf.org) provided financial support during its Continuous Development and Operations Phase (CDOP). SSMI swath data were made available by the National Oceanic and Atmospheric Administration (NOAA) through the UK Met Office. AMSR-E swath data were made available by the National Aeronautics and Space Administration (NASA), Ashcroft and Wentz [2006]. ASCAT L1B swath files were made available by EUMETSAT through the EUMETCast distribution system. The Ice-Tethered Profiler data were collected and made available by the Ice-Tethered Profiler Program based at the Woods Hole Oceanographic Institution (http://www.whoi.edu/itp). GPS-located data on NP-35 and NP-36 positions were kindly provided by the Arctic and Antarctic Research Institute (AARI, http://www.aari.ru) of Roshydromet, PIs Vladimir Sokolov, and Vasily Smolyanitsky. The GPS trajectory of the Tara was collected and made available through the DAMOCLES project. Coast lines entering Figures 1 and 3 are from the GSHHS database [Wessel and Smith, 1996]. We thank several ice drift investigators from the DAMOCLES project for insightful discussions as well as Phil Hwang (SAMS, UK) for sharing with us on the validation methodology. This work could not have been possible without the support of the Research and Development Division of the Norwegian Meteorological Institute.</t>
  </si>
  <si>
    <t>C10032</t>
  </si>
  <si>
    <t>10.1029/2009JC005958</t>
  </si>
  <si>
    <t>666DL</t>
  </si>
  <si>
    <t>WOS:000283091800004</t>
  </si>
  <si>
    <t>Moffat-Griffin, T; Hibbins, RE; Jarvis, MJ</t>
  </si>
  <si>
    <t>Moffat-Griffin, T.; Hibbins, R. E.; Jarvis, M. J.</t>
  </si>
  <si>
    <t>Calibrating an imaging riometer: Determination of the true beam azimuth angle position</t>
  </si>
  <si>
    <t>RADIO SCIENCE</t>
  </si>
  <si>
    <t>SPATIAL STRUCTURE; WAVELET ANALYSIS; GRAVITY-WAVES; ABSORPTION; ARRAY</t>
  </si>
  <si>
    <t>An imaging riometer uses the absorption of cosmic radio noise as a means of measuring electron density enhancements in the D region of the ionosphere. It employs a ground-based phased antenna array to produce narrow beams which typically observe a region 200 by 200 km at 90 km altitude. Imaging riometers have traditionally been used for studying energetic electron precipitation into the D region and have also recently been used to characterize mesospheric gravity waves. Determining the location and shape of the riometer beam pattern projected onto the ionosphere is therefore important because it allows the spatial distribution of space weather effects to be accurately visualized and also because it would allow mesospheric gravity wave characteristics to be accurately quantified. Currently, the beam patterns of imaging riometers are determined theoretically, and attempts have been made to validate them by comparison with cosmic radio maps of low spatial resolution; alternatively, they are determined by calibration overflights using aircraft in a complex and expensive procedure. Here we demonstrate a novel wavelet-based approach to accurately determine the azimuth angle of each imaging riometer beam from the riometer data itself using quiet day observations alone and by way of example show how the actual beam azimuth angles (pointing directions) of the Halley (76 degrees S, 27 degrees W) 49-beam imaging riometer vary from those expected using theoretical calculations.</t>
  </si>
  <si>
    <t>[Moffat-Griffin, T.; Hibbins, R. E.; Jarvis, M. J.] British Antarctic Survey, Cambridge CB3 0ET, England</t>
  </si>
  <si>
    <t>Moffat-Griffin, T (corresponding author), British Antarctic Survey, High Cross,Madingley Rd, Cambridge CB3 0ET, England.</t>
  </si>
  <si>
    <t>tmof@bas.ac.uk</t>
  </si>
  <si>
    <t>Hibbins, Robert/0000-0002-6867-2255</t>
  </si>
  <si>
    <t>NERC [bas0100023] Funding Source: UKRI; Natural Environment Research Council [bas0100023] Funding Source: researchfish</t>
  </si>
  <si>
    <t>0048-6604</t>
  </si>
  <si>
    <t>RADIO SCI</t>
  </si>
  <si>
    <t>Radio Sci.</t>
  </si>
  <si>
    <t>RS5011</t>
  </si>
  <si>
    <t>10.1029/2009RS004340</t>
  </si>
  <si>
    <t>Astronomy &amp; Astrophysics; Geochemistry &amp; Geophysics; Meteorology &amp; Atmospheric Sciences; Remote Sensing; Telecommunications</t>
  </si>
  <si>
    <t>666FF</t>
  </si>
  <si>
    <t>WOS:000283098400001</t>
  </si>
  <si>
    <t>Beron-Vera, FJ</t>
  </si>
  <si>
    <t>Beron-Vera, F. J.</t>
  </si>
  <si>
    <t>Mixing by low- and high-resolution surface geostrophic currents</t>
  </si>
  <si>
    <t>LAGRANGIAN COHERENT STRUCTURES; EDDY DIFFUSIVITY; OCEAN; TOPEX/POSEIDON; VARIABILITY; TRANSPORT; CIRCULATION; DISPERSION; MESOSCALE; ALTIMETRY</t>
  </si>
  <si>
    <t>The nature of mixing near the ocean's surface is investigated by considering passive tracer advection by currents derived geostrophically using sea surface height fields that differ in their spatiotemporal resolution. One is a low-resolution field that can be thought of as being derived using current-generation groundtrack altimetric measurements. The other is a high-resolution field that may be envisioned as derived using hypothetical next-generation wideswath altimetric measurements. The investigation is carried out in two world ocean regions with quite distinct characteristics and which have been the focus of recent studies on mixing by altimetry-derived currents. One region corresponds to an ample domain in the South Atlantic, which is traversed by vortices shed from the Agulhas current. The other region corresponds to a portion of the Pacific sector of the Southern Ocean, which is dominated by multiple zonal jets associated with the Antarctic Circumpolar Current. It is argued that while altimetry-derived currents capture the most salient characteristics of surface ocean mixing, deterministic Lagrangian calculations may be improved by considering surface geostrophic currents with greater spatiotemporal resolution. This is supported on analysis of probability distribution functions of finite-time Lyapunov exponents (FTLEs); inspection of Lagrangian coherent structures (or LCSs), which constitute distinguished material fluid curves that organize mixing; computation of kinetic energy and FTLE variance spectra; and realization of explicit passive tracer advection experiments.</t>
  </si>
  <si>
    <t>Univ Miami, Div Appl Marine Phys, Rosenstiel Sch Marine &amp; Atmospher Sci, Miami, FL 33149 USA</t>
  </si>
  <si>
    <t>University of Miami</t>
  </si>
  <si>
    <t>Beron-Vera, FJ (corresponding author), Univ Miami, Div Appl Marine Phys, Rosenstiel Sch Marine &amp; Atmospher Sci, 4600 Rickenbacker Cswy, Miami, FL 33149 USA.</t>
  </si>
  <si>
    <t>fberon@rsmas.miami.edu</t>
  </si>
  <si>
    <t>Beron-Vera, Francisco/ABA-2542-2021</t>
  </si>
  <si>
    <t>CNES; NSF [CMG0825547]; NASA [NNX09AD82G, NNX10AE99G]; NASA [NNX10AE99G, 133557, NNX09AD82G, 120308] Funding Source: Federal RePORTER</t>
  </si>
  <si>
    <t>CNES(Centre National D'etudes Spatiales); NSF(National Science Foundation (NSF)); NASA(National Aeronautics &amp; Space Administration (NASA)); NASA(National Aeronautics &amp; Space Administration (NASA))</t>
  </si>
  <si>
    <t>Comments on the manuscript by M. Olascoaga, G. Goni, F. Bryan, and two anonymous reviewers are sincerely appreciated. Technical assistance by P. DiNezio and language corrections by L. Fiorentino are acknowledged. The HYCOM fields are distributed by the HYCOM Consortium Server at http://www.hycom.org/dataserver. The altimeter products are produced by SSALTO/DUCAS and distributed by AVISO, with support from CNES (http://www.aviso.oceanobs.com/duacs/). The Rio05 Combined Mean Dynamic Topography was produced by CLS Space Oceanography Division and is distributed by AVISO, with support from CNES (http://www.aviso.oceanobs.com/). Support for this work was provided by NSF grant CMG0825547 and NASA grants NNX09AD82G and NNX10AE99G.</t>
  </si>
  <si>
    <t>OCT 13</t>
  </si>
  <si>
    <t>C10027</t>
  </si>
  <si>
    <t>10.1029/2009JC006006</t>
  </si>
  <si>
    <t>666DI</t>
  </si>
  <si>
    <t>WOS:000283091400002</t>
  </si>
  <si>
    <t>Morrow, R; Ward, ML; Hogg, AM; Pasquet, S</t>
  </si>
  <si>
    <t>Morrow, R.; Ward, Marshall L.; Hogg, Andrew McC.; Pasquet, S.</t>
  </si>
  <si>
    <t>Eddy response to Southern Ocean climate modes</t>
  </si>
  <si>
    <t>ANTARCTIC CIRCUMPOLAR CURRENT; EXTRATROPICAL CIRCULATION; ANNULAR MODES; VARIABILITY</t>
  </si>
  <si>
    <t>Interannual variations in Southern Ocean eddy kinetic energy (EKE) are investigated using 16 years of altimetric data. Circumpolar averages show a peak in EKE from 2000 to 2002, 2-3 years after the peak in the Southern Annular Mode (SAM) index. Although the SAM forcing is in phase around the circumpolar band, we find the EKE response varies regionally. The strongest EKE is in the Pacific, with energy peaks occurring progressively later toward the east. We suggest that this is due to the presence of two climate modes: SAM and ENSO. When strong positive SAM events coincide with La Nina periods, as in 1999, anomalous meridional wind forcing is enhanced in the South Pacific Ocean, contributing to the observed increase in EKE 2-3 years later. When positive SAM events coincide with El Nino periods, as in 1993, the climate modes are in opposition in the South Pacific, leading to a weak EKE response during the mid-1990s. Numerical modeling supports these observations. By applying different combinations of SAM and ENSO, we can reproduce both the elevated Pacific EKE response to SAM as well as an additional amplification/suppression of EKE during La Nina/El Nino. In general, we find that the EKE response depends on the interplay between wind forcing, topography, and mean flow and produces a strongly heterogeneous distribution in the Southern Ocean.</t>
  </si>
  <si>
    <t>[Morrow, R.; Pasquet, S.] LEGOS CNRS, F-31401 Toulouse, France; [Ward, Marshall L.; Hogg, Andrew McC.] Australian Natl Univ, Res Sch Earth Sci, Canberra, ACT 0200, Australia</t>
  </si>
  <si>
    <t>Universite de Toulouse; Universite Toulouse III - Paul Sabatier; Centre National de la Recherche Scientifique (CNRS); Institut de Recherche pour le Developpement (IRD); Laboratoire d'Etudes en Geophysique et oceanographie spatiales; Australian National University</t>
  </si>
  <si>
    <t>Morrow, R (corresponding author), LEGOS CNRS, 18 Ave Edouard Belin, F-31401 Toulouse, France.</t>
  </si>
  <si>
    <t>Rosemary.Morrow@legos.obs-mip.fr</t>
  </si>
  <si>
    <t>Hogg, Andy/AAZ-8733-2021; Hogg, Andy McC./A-7553-2011</t>
  </si>
  <si>
    <t>Hogg, Andy/0000-0001-5898-7635; Hogg, Andy McC./0000-0001-5898-7635</t>
  </si>
  <si>
    <t>Australian ARC [DP0877824]; French TOSCA program; Australian National Facility of the National Computational Infrastructure; Australian Research Council [DP0877824] Funding Source: Australian Research Council</t>
  </si>
  <si>
    <t>Australian ARC; French TOSCA program; Australian National Facility of the National Computational Infrastructure; Australian Research Council(Australian Research Council)</t>
  </si>
  <si>
    <t>M. L. W. and A. M. H. were supported by Australian ARC Discovery Project DP0877824, and R. M. and S. P. were supported by the French TOSCA program. Numerical computations were supported by the Australian National Facility of the National Computational Infrastructure.</t>
  </si>
  <si>
    <t>C10030</t>
  </si>
  <si>
    <t>10.1029/2009JC005894</t>
  </si>
  <si>
    <t>WOS:000283091400001</t>
  </si>
  <si>
    <t>Brierley, AS; Cox, MJ</t>
  </si>
  <si>
    <t>Brierley, Andrew S.; Cox, Martin J.</t>
  </si>
  <si>
    <t>Shapes of Krill Swarms and Fish Schools Emerge as Aggregation Members Avoid Predators and Access Oxygen</t>
  </si>
  <si>
    <t>CURRENT BIOLOGY</t>
  </si>
  <si>
    <t>SCANNING MULTIBEAM SONAR; EUPHAUSIA-SUPERBA; ANTARCTIC KRILL; PREY INTERACTIONS; DISSOLVED-OXYGEN; SELFISH HERD; BEHAVIOR; ACOUSTICS; DYNAMICS; HYPOXIA</t>
  </si>
  <si>
    <t>Many types of animals exhibit aggregative behavior: birds flock, bees swarm, fish shoal, and ungulates herd [1]. Terrestrial and aerial aggregations can be observed directly, and photographic techniques have provided insights into the behaviors of animals in these environments [2] and data against which behavioral theory can be tested [3]. Underwater, however, limited visibility can hamper direct observation, and understanding of shoaling remains incomplete. We used multibeam sonar to observe three-dimensional structure of Antarctic krill shoals acoustically [4]. Shoal size and packing density varied greatly, but surface area:volume ratios (roughnesses) were distributed narrowly about similar to 3.3 m(-1) [5]. Shoals of clupeid fish (e.g., sardine, anchovy) from geographically and oceanographically diverse locations have very similar roughnesses [6-8]. This common emergent shape property suggests common driving forces across diverse ecosystems. Group behavior can be complex [9], but a simple tradeoff-that we model-in which individual fish and krill juggle only their access to oxygen-replete water and exposure to predation can explain the observed shoal shape. Decreasing oxygen availability in a warming world ocean [10] may impact shoal structure: because structure affects catchability by predators and fishers [11-13], understanding the response will be necessary for ecological and commercial reasons.</t>
  </si>
  <si>
    <t>[Brierley, Andrew S.; Cox, Martin J.] Univ St Andrews, Pelag Ecol Res Grp, Gatty Marine Lab, St Andrews KY16 8LB, Fife, Scotland</t>
  </si>
  <si>
    <t>University of St Andrews</t>
  </si>
  <si>
    <t>Brierley, AS (corresponding author), Univ St Andrews, Pelag Ecol Res Grp, Gatty Marine Lab, St Andrews KY16 8LB, Fife, Scotland.</t>
  </si>
  <si>
    <t>asb4@st-and.ac.uk</t>
  </si>
  <si>
    <t>Brierley, Andrew/G-8019-2011</t>
  </si>
  <si>
    <t>Brierley, Andrew/0000-0002-6438-6892</t>
  </si>
  <si>
    <t>UK Natural Environment Research Council; UK Royal Society; US National Science Foundation [06-OPP-33939]</t>
  </si>
  <si>
    <t>UK Natural Environment Research Council(UK Research &amp; Innovation (UKRI)Natural Environment Research Council (NERC)); UK Royal Society(Royal Society); US National Science Foundation(National Science Foundation (NSF))</t>
  </si>
  <si>
    <t>M.J.C. was funded by a PhD studentship from the UK Natural Environment Research Council, with additional support from the Russell Trust. Antarctic fieldwork was carried out in conjunction with D.A. Demer and J.D. Warren under their US National Science Foundation grant 06-OPP-33939, with equipment support from the UK Royal Society and logistic support from the US Antarctic Marine Living Resources program; we thank R.S. Holt for access to that program's facilities. We thank J. Condiotty, Simrad USA, for loan of the multibeam sonar, and S. Sessions, A. Jenkins, D. Needham, the crew of the RV Yuzhmorgeologiya, and personnel at the Cape Shirreff field camp for assistance in the field. A.S.B. acknowledges travel support from the Royal Society and the Australian National Network in Marine Science that enabled him to discuss aspects of this work with Australian experts at a key phase in the revision of this manuscript.</t>
  </si>
  <si>
    <t>CELL PRESS</t>
  </si>
  <si>
    <t>600 TECHNOLOGY SQUARE, 5TH FLOOR, CAMBRIDGE, MA 02139 USA</t>
  </si>
  <si>
    <t>0960-9822</t>
  </si>
  <si>
    <t>1879-0445</t>
  </si>
  <si>
    <t>CURR BIOL</t>
  </si>
  <si>
    <t>Curr. Biol.</t>
  </si>
  <si>
    <t>OCT 12</t>
  </si>
  <si>
    <t>10.1016/j.cub.2010.08.041</t>
  </si>
  <si>
    <t>Biochemistry &amp; Molecular Biology; Biology; Cell Biology</t>
  </si>
  <si>
    <t>Biochemistry &amp; Molecular Biology; Life Sciences &amp; Biomedicine - Other Topics; Cell Biology</t>
  </si>
  <si>
    <t>665NB</t>
  </si>
  <si>
    <t>WOS:000283041300030</t>
  </si>
  <si>
    <t>Hurwitz, MM; Newman, PA</t>
  </si>
  <si>
    <t>Hurwitz, M. M.; Newman, P. A.</t>
  </si>
  <si>
    <t>21st century trends in Antarctic temperature and polar stratospheric cloud (PSC) area in the GEOS chemistry-climate model</t>
  </si>
  <si>
    <t>OZONE</t>
  </si>
  <si>
    <t>This study examines trends in Antarctic temperature and A(PSC), a temperature proxy for the area of polar stratospheric clouds, in an ensemble of Goddard Earth Observing System (GEOS) chemistry-climate model (CCM) simulations of the 21st century. A selection of greenhouse gas, ozone-depleting substance, and sea surface temperature scenarios is used to test the trend sensitivity to these parameters. One scenario is used to compare temperature trends in two versions of the GEOS CCM. An extended austral winter season is examined in detail. In May, June, and July, the expected future increase in CO2-related radiative cooling drives temperature trends in the Antarctic lower stratosphere. At 50 hPa, a 1-3 K cooling is expected between 2000 and 2100. Ozone levels increase, despite this robust cooling signal and the consequent increase in A(PSC), suggesting the enhancement of stratospheric transport in future. In the lower stratosphere, the choice of climate change scenarios does not affect the magnitude of the early winter cooling. Midwinter temperature trends are generally small. In October, A(PSC) trends have the same sign as the prescribed halogen trends. That is, there are negative A(PSC) trends in realistic future simulations, where halogen loading decreases in accordance with the Montreal Protocol and CO2 continues to increase. In these simulations, the speed of ozone recovery is not influenced by either the choice of sea surface temperature and greenhouse gas scenarios or by the model version.</t>
  </si>
  <si>
    <t>[Hurwitz, M. M.] NASA, Goddard Space Flight Ctr, NASA Postdoctoral Program, Greenbelt, MD 20771 USA</t>
  </si>
  <si>
    <t>National Aeronautics &amp; Space Administration (NASA); NASA Goddard Space Flight Center</t>
  </si>
  <si>
    <t>Hurwitz, MM (corresponding author), NASA, Goddard Space Flight Ctr, NASA Postdoctoral Program, Greenbelt, MD 20771 USA.</t>
  </si>
  <si>
    <t>margaret.m.hurwitz@nasa.gov</t>
  </si>
  <si>
    <t>Newman, Paul A./D-6208-2012</t>
  </si>
  <si>
    <t>Newman, Paul A./0000-0003-1139-2508</t>
  </si>
  <si>
    <t>The authors thank J. E. Nielsen and L. D. Oman for running the GEOS CCM simulations, S. M. Frith for data processing, P. Hitchcock for providing CMAM output, E. R. Nash and E. Fleming for their assistance with the radiative flux calculations, R. S. Stolarski for assistance with the multiple linear regressions, M. A. Olsen for editing the manuscript, and NASA's MAP program for funding. M. M. Hurwitz was supported by an appointment to the NASA Postdoctoral Program at Goddard Space Flight Center, administered by Oak Ridge Associated Universities through a contract with NASA.</t>
  </si>
  <si>
    <t>OCT 7</t>
  </si>
  <si>
    <t>D19109</t>
  </si>
  <si>
    <t>10.1029/2009JD013397</t>
  </si>
  <si>
    <t>716RG</t>
  </si>
  <si>
    <t>WOS:000286990600007</t>
  </si>
  <si>
    <t>Hoover, S; Nam, J; Gorham, PW; Grashorn, E; Allison, P; Barwick, SW; Beatty, JJ; Belov, K; Besson, DZ; Binns, WR; Chen, C; Chen, P; Clem, JM; Connolly, A; Dowkontt, PF; DuVernois, MA; Field, RC; Goldstein, D; Vieregg, AG; Hast, C; Israel, MH; Javaid, A; Kowalski, J; Learned, JG; Liewer, KM; Link, JT; Lusczek, E; Matsuno, S; Mercurio, BC; Miki, C; Miocinovic, P; Naudet, CJ; Ng, J; Nichol, RJ; Palladino, K; Reil, K; Romero-Wolf, A; Rosen, M; Ruckman, L; Saltzberg, D; Seckel, D; Varner, GS; Walz, D; Wu, F</t>
  </si>
  <si>
    <t>Hoover, S.; Nam, J.; Gorham, P. W.; Grashorn, E.; Allison, P.; Barwick, S. W.; Beatty, J. J.; Belov, K.; Besson, D. Z.; Binns, W. R.; Chen, C.; Chen, P.; Clem, J. M.; Connolly, A.; Dowkontt, P. F.; DuVernois, M. A.; Field, R. C.; Goldstein, D.; Vieregg, A. G.; Hast, C.; Israel, M. H.; Javaid, A.; Kowalski, J.; Learned, J. G.; Liewer, K. M.; Link, J. T.; Lusczek, E.; Matsuno, S.; Mercurio, B. C.; Miki, C.; Miocinovic, P.; Naudet, C. J.; Ng, J.; Nichol, R. J.; Palladino, K.; Reil, K.; Romero-Wolf, A.; Rosen, M.; Ruckman, L.; Saltzberg, D.; Seckel, D.; Varner, G. S.; Walz, D.; Wu, F.</t>
  </si>
  <si>
    <t>Observation of Ultrahigh-Energy Cosmic Rays with the ANITA Balloon-Borne Radio Interferometer</t>
  </si>
  <si>
    <t>PHYSICAL REVIEW LETTERS</t>
  </si>
  <si>
    <t>EXTENSIVE AIR SHOWERS; PULSES; EMISSION; SPECTRUM</t>
  </si>
  <si>
    <t>We report the observation of 16 cosmic ray events with a mean energy of 1: 5 x 10(19) eV via radio pulses originating from the interaction of the cosmic ray air shower with the Antarctic geomagnetic field, a process known as geosynchrotron emission. We present measurements in the 300-900 MHz range, which are the first self-triggered, first ultrawide band, first far-field, and the highest energy sample of cosmic ray events collected with the radio technique. Their properties are inconsistent with current ground-based geosynchrotron models. The emission is 100% polarized in the plane perpendicular to the projected geomagnetic field. Fourteen events are seen to have a phase inversion due to reflection of the radio beam off the ice surface, and two additional events are seen directly from above the horizon. Based on a likelihood analysis, we estimate angular pointing precision of order 2 degrees for the event arrival directions.</t>
  </si>
  <si>
    <t>[Hoover, S.; Belov, K.; Vieregg, A. G.; Saltzberg, D.] Univ Calif Los Angeles, Dept Phys &amp; Astron, Los Angeles, CA 90095 USA; [Nam, J.] Ewha Womans Univ, Dept Phys, Seoul, South Korea; [Gorham, P. W.; Allison, P.; DuVernois, M. A.; Kowalski, J.; Learned, J. G.; Link, J. T.; Matsuno, S.; Miki, C.; Miocinovic, P.; Romero-Wolf, A.; Rosen, M.; Ruckman, L.; Varner, G. S.] Univ Hawaii, Dept Phys &amp; Astron, Manoa, HI 96822 USA; [Grashorn, E.; Beatty, J. J.; Mercurio, B. C.; Palladino, K.] Ohio State Univ, Dept Phys, Columbus, OH 43210 USA; [Barwick, S. W.; Goldstein, D.; Wu, F.] Univ Calif Irvine, Dept Phys, Irvine, CA 92697 USA; [Besson, D. Z.] Univ Kansas, Dept Phys &amp; Astron, Lawrence, KS 66045 USA; [Binns, W. R.; Israel, M. H.] Washington Univ, Dept Phys, St Louis, MO 63130 USA; [Chen, C.; Chen, P.] Natl Taiwan Univ, Dept Phys, Grad Inst Astrophys, Taipei 10764, Taiwan; [Chen, C.; Chen, P.] Natl Taiwan Univ, Leung Ctr Cosmol &amp; Particle Astrophys, Taipei 10764, Taiwan; [Chen, P.; Field, R. C.; Hast, C.; Ng, J.; Reil, K.; Walz, D.] SLAC Natl Accelerator Lab, Menlo Pk, CA 94025 USA; [Clem, J. M.; Javaid, A.; Seckel, D.] Univ Delaware, Dept Phys, Newark, DE 19716 USA; [Connolly, A.; Nichol, R. J.] UCL, Dept Phys &amp; Astron, London, England; [DuVernois, M. A.; Lusczek, E.] Univ Minnesota, Sch Phys &amp; Astron, Minneapolis, MN 55455 USA; [Liewer, K. M.; Naudet, C. J.] Jet Prop Lab, Pasadena, CA 91109 USA</t>
  </si>
  <si>
    <t>University of California System; University of California Los Angeles; Ewha Womans University; University of Hawaii System; University of Hawaii Manoa; University System of Ohio; Ohio State University; University of California System; University of California Irvine; University of Kansas; Washington University (WUSTL); National Taiwan University; National Taiwan University; Stanford University; United States Department of Energy (DOE); SLAC National Accelerator Laboratory; University of Delaware; University of London; University College London; University of Minnesota System; University of Minnesota Twin Cities; National Aeronautics &amp; Space Administration (NASA); NASA Jet Propulsion Laboratory (JPL)</t>
  </si>
  <si>
    <t>Hoover, S (corresponding author), Univ Calif Los Angeles, Dept Phys &amp; Astron, Los Angeles, CA 90095 USA.</t>
  </si>
  <si>
    <t>Belov, Konstantin V/D-2520-2013; Beatty, James/D-9310-2011; Connolly, Amy Lynn/J-3958-2013; Chen, Pisin/IAO-8769-2023; Vieregg, Abigail/D-2287-2012; Nichol, Ryan/C-1645-2008</t>
  </si>
  <si>
    <t>Belov, Konstantin V/0000-0002-8861-110X; Beatty, James/0000-0003-0481-4952; Chen, Pisin/0000-0001-5251-7210; Nichol, Ryan/0000-0003-0557-0443; Palladino, Kimberly/0000-0002-5175-5628; Goldstein, David/0000-0003-3654-8142; Allison, Patrick/0000-0001-8141-2653; Gorham, Peter/0000-0002-0923-9363; Lusczek, Elizabeth/0000-0003-4680-965X</t>
  </si>
  <si>
    <t>Science and Technology Facilities Council [PP/E006876/1] Funding Source: researchfish; STFC [PP/E006876/1] Funding Source: UKRI</t>
  </si>
  <si>
    <t>Science and Technology Facilities Council(UK Research &amp; Innovation (UKRI)Science &amp; Technology Facilities Council (STFC)); STFC(UK Research &amp; Innovation (UKRI)Science &amp; Technology Facilities Council (STFC))</t>
  </si>
  <si>
    <t>AMER PHYSICAL SOC</t>
  </si>
  <si>
    <t>COLLEGE PK</t>
  </si>
  <si>
    <t>ONE PHYSICS ELLIPSE, COLLEGE PK, MD 20740-3844 USA</t>
  </si>
  <si>
    <t>0031-9007</t>
  </si>
  <si>
    <t>PHYS REV LETT</t>
  </si>
  <si>
    <t>Phys. Rev. Lett.</t>
  </si>
  <si>
    <t>OCT 5</t>
  </si>
  <si>
    <t>10.1103/PhysRevLett.105.151101</t>
  </si>
  <si>
    <t>Physics, Multidisciplinary</t>
  </si>
  <si>
    <t>Physics</t>
  </si>
  <si>
    <t>658TH</t>
  </si>
  <si>
    <t>WOS:000282511800001</t>
  </si>
  <si>
    <t>Dierssen, HM</t>
  </si>
  <si>
    <t>Dierssen, Heidi M.</t>
  </si>
  <si>
    <t>Perspectives on empirical approaches for ocean color remote sensing of chlorophyll in a changing climate</t>
  </si>
  <si>
    <t>PROCEEDINGS OF THE NATIONAL ACADEMY OF SCIENCES OF THE UNITED STATES OF AMERICA</t>
  </si>
  <si>
    <t>biological oceanography; phytoplankton; primary productivity; satellite oceanography; ocean optics</t>
  </si>
  <si>
    <t>ANTARCTIC PENINSULA; SOUTHERN-OCEAN; NATURAL PHYTOPLANKTON; BIOOPTICAL PROPERTIES; NORTH-ATLANTIC; CASE-1 WATERS; ABSORPTION; BACKSCATTERING; SIZE; COEFFICIENTS</t>
  </si>
  <si>
    <t>Phytoplankton biomass and productivity have been continuously monitored from ocean color satellites for over a decade. Yet, the most widely used empirical approach for estimating chlorophyll a (Chl) from satellites can be in error by a factor of 5 or more. Such variability is due to differences in absorption and backscattering properties of phytoplankton and related concentrations of colored-dissolved organic matter (CDOM) and minerals. The empirical algorithms have built-in assumptions that follow the basic precept of biological oceanography-namely, oligotrophic regions with low phytoplankton biomass are populated with small phytoplankton, whereas more productive regions contain larger bloom-forming phytoplankton. With a changing world ocean, phytoplankton composition may shift in response to altered environmental forcing, and CDOM and mineral concentrations may become uncoupled from phytoplankton stocks, creating further uncertainty and error in the empirical approaches. Hence, caution is warranted when using empirically derived Chl to infer climate-related changes in ocean biology. The Southern Ocean is already experiencing climatic shifts and shows substantial errors in satellite-derived Chl for different phytoplankton assemblages. Accurate global assessments of phytoplankton will require improved technology and modeling, enhanced field observations, and ongoing validation of our eyes in space.</t>
  </si>
  <si>
    <t>Univ Connecticut, Dept Marine Sci Geog, Groton, CT 06340 USA</t>
  </si>
  <si>
    <t>University of Connecticut</t>
  </si>
  <si>
    <t>Dierssen, HM (corresponding author), Univ Connecticut, Dept Marine Sci Geog, Groton, CT 06340 USA.</t>
  </si>
  <si>
    <t>heidi.dierssen@uconn.edu</t>
  </si>
  <si>
    <t>National Aeronautics and Space Administration (NASA) Ocean Biology and Biogeochemistry Group; Environmental Optics Division, Office of Naval Research</t>
  </si>
  <si>
    <t>National Aeronautics and Space Administration (NASA) Ocean Biology and Biogeochemistry Group(National Aeronautics &amp; Space Administration (NASA)); Environmental Optics Division, Office of Naval Research(Office of Naval Research)</t>
  </si>
  <si>
    <t>Many individuals have contributed to my thoughts and research on this topic, including Aurea Ciotti, Michael Twardowski, James Sullivan, and Richard Zimmerman. Thanks to SeaWiFS Project Office for imagery. Financial support was provided by the National Aeronautics and Space Administration (NASA) Ocean Biology and Biogeochemistry Group, and the Environmental Optics Division, Office of Naval Research.</t>
  </si>
  <si>
    <t>NATL ACAD SCIENCES</t>
  </si>
  <si>
    <t>2101 CONSTITUTION AVE NW, WASHINGTON, DC 20418 USA</t>
  </si>
  <si>
    <t>0027-8424</t>
  </si>
  <si>
    <t>1091-6490</t>
  </si>
  <si>
    <t>P NATL ACAD SCI USA</t>
  </si>
  <si>
    <t>Proc. Natl. Acad. Sci. U. S. A.</t>
  </si>
  <si>
    <t>10.1073/pnas.0913800107</t>
  </si>
  <si>
    <t>658TJ</t>
  </si>
  <si>
    <t>WOS:000282512000008</t>
  </si>
  <si>
    <t>Gower, JFR</t>
  </si>
  <si>
    <t>Gower, J. F. R.</t>
  </si>
  <si>
    <t>Comment on Response of the global ocean to Greenland and Antarctic ice melting by D. Stammer</t>
  </si>
  <si>
    <t>SEA-LEVEL; MODEL</t>
  </si>
  <si>
    <t>Fisheries &amp; Oceans Canada, Inst Ocean Sci, Sidney, BC V8L 4B2, Canada</t>
  </si>
  <si>
    <t>Fisheries &amp; Oceans Canada</t>
  </si>
  <si>
    <t>Gower, JFR (corresponding author), Fisheries &amp; Oceans Canada, Inst Ocean Sci, POB 6000, Sidney, BC V8L 4B2, Canada.</t>
  </si>
  <si>
    <t>jim.gower@dfo-mpo.gc.ca</t>
  </si>
  <si>
    <t>OCT 2</t>
  </si>
  <si>
    <t>C10009</t>
  </si>
  <si>
    <t>10.1029/2010JC006097</t>
  </si>
  <si>
    <t>658TB</t>
  </si>
  <si>
    <t>WOS:000282511200008</t>
  </si>
  <si>
    <t>Kusahara, K; Hasumi, H; Tamura, T</t>
  </si>
  <si>
    <t>Kusahara, Kazuya; Hasumi, Hiroyasu; Tamura, Takeshi</t>
  </si>
  <si>
    <t>Modeling sea ice production and dense shelf water formation in coastal polynyas around East Antarctica</t>
  </si>
  <si>
    <t>MERTZ GLACIER POLYNYA; CONTINENTAL-SLOPE; CIRCULATION; OCEAN; MASSES; HEAT</t>
  </si>
  <si>
    <t>Using an ice-ocean coupled model with fine horizontal resolution around East Antarctica, sea ice production and dense shelf water (DSW) formation in coastal polynyas are investigated. The model reproduces well the locations of coastal polynyas and the high sea ice production there. DSW is formed over the continental shelves under a number of coastal polynyas. A threshold density, beyond which net production of DSW takes place, is largely different among coastal polynyas. The densest and most vigorous DSW formation occurs in the Cape Darnley and Mertz-Ninnis Glacier polynyas followed by somewhat less but still significant DSW formation in the Prydz-Barrier and Vincennes polynyas. Assuming mixing of the DSW outflowing across the shelf break with typical Modified Circumpolar Deep Water over the continental slope, the maximum possible formation rate of Antarctic Bottom Water (AABW) is estimated to be 7.58 Sv around East Antarctica between 60 degrees E and 150 degrees E, with the Cape Darnley and Mertz-Ninnis Glacier polynyas exhibiting the most active formation rates of 2.13 and 1.97 Sv, respectively. From a series of numerical experiments, it is found that the treatment of coastline and grounded icebergs has a large impact on both sea ice production and formation of DSW and AABW.</t>
  </si>
  <si>
    <t>[Kusahara, Kazuya; Hasumi, Hiroyasu] Univ Tokyo, Atmosphere &amp; Ocean Res Inst, Kashiwa, Chiba 2778568, Japan; [Tamura, Takeshi] Univ Tasmania, Antarctic Climate &amp; Ecosyst Cooperat Res Ctr, Hobart, Tas 7001, Australia</t>
  </si>
  <si>
    <t>University of Tokyo; Antarctic Climate &amp; Ecosystems Cooperative Research Centre (ACE CRC); University of Tasmania</t>
  </si>
  <si>
    <t>Kusahara, K (corresponding author), Univ Tokyo, Atmosphere &amp; Ocean Res Inst, 5-1-5 Kashiwanoha, Kashiwa, Chiba 2778568, Japan.</t>
  </si>
  <si>
    <t>kusahara@aori.u-tokyo.ac.jp</t>
  </si>
  <si>
    <t>Kusahara, Kazuya/0000-0003-4067-7959</t>
  </si>
  <si>
    <t>JST/CREST</t>
  </si>
  <si>
    <t>JST/CREST(Japan Science &amp; Technology Agency (JST)Core Research for Evolutional Science and Technology (CREST))</t>
  </si>
  <si>
    <t>We would like to thank G. D. Williams for topography data around the Adelie Sill. Numerical calculations were performed on SR11000 and HA8000 at Information Technology Center, University of Tokyo. This study is supported by JST/CREST.</t>
  </si>
  <si>
    <t>C10006</t>
  </si>
  <si>
    <t>10.1029/2010JC006133</t>
  </si>
  <si>
    <t>Bronze, Green Published, Green Accepted</t>
  </si>
  <si>
    <t>WOS:000282511200009</t>
  </si>
  <si>
    <t>Stammer, D</t>
  </si>
  <si>
    <t>Stammer, D.</t>
  </si>
  <si>
    <t>Reply to comment by J. F. R. Gower on Response of the global ocean to Greenland and Antarctic ice melting</t>
  </si>
  <si>
    <t>Univ Hamburg, Inst Meereskunde, Zentrum Meeres &amp; Klimaforsch, D-20146 Hamburg, Germany</t>
  </si>
  <si>
    <t>University of Hamburg</t>
  </si>
  <si>
    <t>Stammer, D (corresponding author), Univ Hamburg, Inst Meereskunde, Zentrum Meeres &amp; Klimaforsch, Martinistr 52, D-20146 Hamburg, Germany.</t>
  </si>
  <si>
    <t>detlef.stammer@zmaw.de</t>
  </si>
  <si>
    <t>C10010</t>
  </si>
  <si>
    <t>10.1029/2010JC006457</t>
  </si>
  <si>
    <t>WOS:000282511200010</t>
  </si>
  <si>
    <t>Wilchinsky, AV; Feltham, DL; Hopkins, MA</t>
  </si>
  <si>
    <t>Wilchinsky, Alexander V.; Feltham, Daniel L.; Hopkins, Mark A.</t>
  </si>
  <si>
    <t>Effect of shear rupture on aggregate scale formation in sea ice</t>
  </si>
  <si>
    <t>TENSILE-STRENGTH; IN-SITU; FRACTURE; FAILURE; COMPRESSION; SATELLITE; RHEOLOGY</t>
  </si>
  <si>
    <t>A discrete element model is used to study shear rupture of sea ice under convergent wind stresses. The model includes compressive, tensile, and shear rupture of viscous elastic joints connecting floes that move under the action of the wind stresses. The adopted shear rupture is governed by Coulomb's criterion. The ice pack is a 400 km long square domain consisting of 4 km size floes. In the standard case with tensile strength 10 times smaller than the compressive strength, under uniaxial compression the failure regime is mainly shear rupture with the most probable scenario corresponding to that with the minimum failure work. The orientation of cracks delineating formed aggregates is bimodal with the peaks around the angles given by the wing crack theory determining diamond-shaped blocks. The ice block (floe aggregate) size decreases as the wind stress gradient increases since the elastic strain energy grows faster leading to a higher speed of crack propagation. As the tensile strength grows, shear rupture becomes harder to attain and compressive failure becomes equally important leading to elongation of blocks perpendicular to the compression direction and the blocks grow larger. In the standard case, as the wind stress confinement ratio increases the failure mode changes at a confinement ratio within 0.2-0.4, which corresponds to the analytical critical confinement ratio of 0.32. Below this value, the cracks are bimodal delineating diamond shape aggregates, while above this value failure becomes isotropic and is determined by small-scale stress anomalies due to irregularities in floe shape.</t>
  </si>
  <si>
    <t>[Wilchinsky, Alexander V.; Feltham, Daniel L.] UCL, Natl Ctr Earth Observat, Ctr Polar Observat &amp; Modelling, London WC1E 6BT, England; [Hopkins, Mark A.] USA, CRREL, Corps Engineers, Hanover, NH 03755 USA; [Feltham, Daniel L.] British Antarctic Survey, Cambridge CB3 0ET, England</t>
  </si>
  <si>
    <t>UK Research &amp; Innovation (UKRI); Natural Environment Research Council (NERC); NERC National Centre for Earth Observation; University of London; University College London; United States Department of Defense; United States Army; U.S. Army Corps of Engineers; U.S. Army Engineer Research &amp; Development Center (ERDC); Cold Regions Research &amp; Engineering Laboratory (CRREL); UK Research &amp; Innovation (UKRI); Natural Environment Research Council (NERC); NERC British Antarctic Survey</t>
  </si>
  <si>
    <t>Wilchinsky, AV (corresponding author), UCL, Natl Ctr Earth Observat, Ctr Polar Observat &amp; Modelling, Gower St, London WC1E 6BT, England.</t>
  </si>
  <si>
    <t>aw@cpom.ucl.ac.uk; dlf@cpom.ucl.ac.uk; mark.a.hopkins@usace.army.mil</t>
  </si>
  <si>
    <t>Feltham, Daniel/0000-0003-2289-014X</t>
  </si>
  <si>
    <t>Leverhulme Trust; NERC [cpom20001, bas0100023, NE/E014259/1] Funding Source: UKRI; Natural Environment Research Council [cpom20001, earth010006, bas0100023, NE/E014259/1] Funding Source: researchfish</t>
  </si>
  <si>
    <t>Leverhulme Trust(Leverhulme Trust); NERC(UK Research &amp; Innovation (UKRI)Natural Environment Research Council (NERC)); Natural Environment Research Council(UK Research &amp; Innovation (UKRI)Natural Environment Research Council (NERC))</t>
  </si>
  <si>
    <t>D. L. Feltham acknowledges financial support made available by the Leverhulme Trust by the award of a research prize.</t>
  </si>
  <si>
    <t>C10002</t>
  </si>
  <si>
    <t>10.1029/2009JC006043</t>
  </si>
  <si>
    <t>WOS:000282511200005</t>
  </si>
  <si>
    <t>Johnston, BM; Gabric, AJ</t>
  </si>
  <si>
    <t>Johnston, Barbara M.; Gabric, Albert J.</t>
  </si>
  <si>
    <t>Long-term trends in upper ocean structure and meridional circulation of the Southern Ocean south of Australia derived from the SODA reanalysis</t>
  </si>
  <si>
    <t>TELLUS SERIES A-DYNAMIC METEOROLOGY AND OCEANOGRAPHY</t>
  </si>
  <si>
    <t>ANTARCTIC CIRCUMPOLAR CURRENT; WATER-MASS CHANGES; SEA-ICE; ANNULAR MODE; DEEP-WATER; PACIFIC-OCEAN; CLIMATE; TEMPERATURE; VARIABILITY; OSCILLATION</t>
  </si>
  <si>
    <t>Decadal-scale changes in the meridional circulation of the Southern Ocean south of Australia are studied, over the period 1958-2005, using Simple Ocean Data Assimilation (SODA) reanalysis data. Upper Circumpolar Deep Water (UCDW) is found to upwell nearer to the surface over time, while the mixed layer (ML) is found to deepen, leading to an increase in the number of times that UCDW intrudes into the ML. This entrainment of nutrients, especially iron, into the ML from UCDW, is crucial for primary production and appears to occur predominantly in summer/autumn, contrary to previous reports. ML temperature, density and salinity all show increasing trends in almost all seasons and latitudinal zones within the study region. A notable exception to the general increase in temperature occurs in the most southerly zone 60-65 S in summer. An explanation for this apparent anomaly could be related to increased winds (in conjunction with the increasing trend in the Southern Annular Mode), which mix remnant winter water into the ML, negating the surface temperature increase. Unlike trends in ML variables, trends in UCDW variables appear to be decoupled from the surface trends and occur on time-scales that may be centennial rather than decadal.</t>
  </si>
  <si>
    <t>[Johnston, Barbara M.; Gabric, Albert J.] Griffith Univ, Australian Rivers Inst, Nathan, Qld 4111, Australia</t>
  </si>
  <si>
    <t>Griffith University</t>
  </si>
  <si>
    <t>Johnston, BM (corresponding author), Griffith Univ, Australian Rivers Inst, Nathan, Qld 4111, Australia.</t>
  </si>
  <si>
    <t>Barbara.Johnston@griffith.edu.au</t>
  </si>
  <si>
    <t>Gabric, Albert J/S-1551-2017; Johnston, Barbara/A-5574-2009</t>
  </si>
  <si>
    <t>Johnston, Barbara/0000-0001-5889-8501</t>
  </si>
  <si>
    <t>Australian Antarctic Division [2784]; Australian Research Network for Earth System Science (ARCNESS)</t>
  </si>
  <si>
    <t>Australian Antarctic Division; Australian Research Network for Earth System Science (ARCNESS)</t>
  </si>
  <si>
    <t>This work was supported by Australian Antarctic Division grant, AAS Project 2784. Support from the Australian Research Network for Earth System Science (ARCNESS) is also gratefully acknowledged. The authors would also like to thank M. H. England for helpful discussions relating to this work. SO Front data was obtained from the Australian Antarctic Data Centre (IDN Node AMD/AU), a part of the Australian Antarctic Division (Commonwealth of Australia). These data are described in the metadata record 'Locations of the various fronts in the Southern Ocean' Orsi, A. and Ryan, U. (2001, updated 2006). The authors wish to acknowledge the use of the Ferret program for analysis and graphics in this study. Ferret is a product of NOAA's Pacific Marine Environmental Laboratory. MEI data was obtained from http://www.esrl.noaa.gov/psd/people/klaus.wolter/MEI/table.htm, SODA data was obtained from http://dsrs.atmos.umd.edu/DATA and SAM data from www.nerc-bas.ac.uk/icd/gjma/sam.html.</t>
  </si>
  <si>
    <t>1600-0870</t>
  </si>
  <si>
    <t>TELLUS A</t>
  </si>
  <si>
    <t>Tellus Ser. A-Dyn. Meteorol. Oceanol.</t>
  </si>
  <si>
    <t>OCT</t>
  </si>
  <si>
    <t>10.1111/j.1600-0870.2010.00462.x</t>
  </si>
  <si>
    <t>Meteorology &amp; Atmospheric Sciences; Oceanography</t>
  </si>
  <si>
    <t>654QE</t>
  </si>
  <si>
    <t>WOS:000282182300010</t>
  </si>
  <si>
    <t>Sandford, SA; Milam, SN; Nuevo, M; Jenniskens, P; Shaddad, MH</t>
  </si>
  <si>
    <t>Sandford, Scott A.; Milam, Stefanie N.; Nuevo, Michel; Jenniskens, Peter; Shaddad, Muawia H.</t>
  </si>
  <si>
    <t>The mid-infrared transmission spectra of multiple stones from the Almahata Sitta meteorite</t>
  </si>
  <si>
    <t>METEORITICS &amp; PLANETARY SCIENCE</t>
  </si>
  <si>
    <t>ANTARCTIC UREILITES; MU-M; ORIGIN; MINERALOGY; IMPACT</t>
  </si>
  <si>
    <t>On October 7, 2008, the asteroid 2008 TC(3) entered Earth's atmosphere, exploded at 37 km altitude, and created a strewn field of stones, the Almahata Sitta meteorite, in Sudan. A preliminary analysis of one of these stones (#7) showed it to be a unique polymict ureilite (Jenniskens et al. 2009). Here we report 39 mid-infrared (mid-IR) (4000-450 cm-1; 2.5-22.2 mu m) transmission spectra taken from 26 different stones collected from the strewn field. The ureilite spectra show a number of absorption bands including a complex feature centered near 1000 cm-1 (10 mu m) due to Si-O stretching vibrations. The profiles of the silicate features fall along a mixing line with endmembers represented by Mg-rich olivines and pyroxenes, and no evidence is seen for the presence of phyllosilicates. The relative abundances of olivine and pyroxene show substantial variation from sample to sample and sometimes differ between multiple samples taken from the same stone. Analysis of a mass normalized coaddition of all our ureilite spectra yields an olivine-to-pyroxene ratio of 74:26, a value that falls in the middle of the range inferred from the infrared spectra of other ureilites. Both the predominance of olivine and the variable olivine-to-pyroxene ratio are consistent with the known composition and heterogeneity of other ureilites. Variations in the colors of the samples and the intensities of the silicate feature relative to the mass of the samples indicate a significant contribution from additional materials having no strong absorption bands, most likely graphitized carbon, diamonds, and/or metals.</t>
  </si>
  <si>
    <t>[Sandford, Scott A.; Milam, Stefanie N.; Nuevo, Michel] NASA, Ames Res Ctr, Moffett Field, CA 94035 USA; [Milam, Stefanie N.; Jenniskens, Peter] SETI Inst, Carl Sagan Ctr, Mountain View, CA 94043 USA; [Shaddad, Muawia H.] Univ Khartoum, Dept Phys &amp; Astron, Khartoum 11115, Sudan</t>
  </si>
  <si>
    <t>National Aeronautics &amp; Space Administration (NASA); NASA Ames Research Center; University of Khartoum</t>
  </si>
  <si>
    <t>Sandford, SA (corresponding author), NASA, Ames Res Ctr, MS 245-6, Moffett Field, CA 94035 USA.</t>
  </si>
  <si>
    <t>Scott.A.Sandford@nasa.gov</t>
  </si>
  <si>
    <t>Milam, Stefanie/D-1092-2012</t>
  </si>
  <si>
    <t>Milam, Stefanie/0000-0001-7694-4129</t>
  </si>
  <si>
    <t>NASA [811073.02.07.02.54]</t>
  </si>
  <si>
    <t>We thank the many students and staff of the University of Khartoum for their support in helping recover the meteorites. We also thank Dr. Michael Zolensky for providing the images of Almahata Sitta #7. The authors are grateful for helpful comments from H. Downes, M. Gaffey, and an anonymous reviewer that resulted in improvements to this manuscript. The authors are also grateful for support from the NASA Origins of Solar Systems Program (grant 811073.02.07.02.54) and the NASA Planetary Astronomy Program. The pigeonite standards used in this paper were kindly provided by the American Museum of Natural History, Smithsonian Institution, Department of Mineral Sciences.</t>
  </si>
  <si>
    <t>WILEY-BLACKWELL PUBLISHING, INC</t>
  </si>
  <si>
    <t>1086-9379</t>
  </si>
  <si>
    <t>METEORIT PLANET SCI</t>
  </si>
  <si>
    <t>Meteorit. Planet. Sci.</t>
  </si>
  <si>
    <t>OCT-NOV</t>
  </si>
  <si>
    <t>10-11</t>
  </si>
  <si>
    <t>10.1111/j.1945-5100.2010.001096.x</t>
  </si>
  <si>
    <t>700QP</t>
  </si>
  <si>
    <t>WOS:000285759700020</t>
  </si>
  <si>
    <t>Lee, H; Kim, JH; Park, M; Kim, IC; Yim, JH; Lee, HK</t>
  </si>
  <si>
    <t>Lee, Hyoungseok; Kim, Ji Hyun; Park, Mira; Kim, Il-Chan; Yim, Joung Han; Lee, Hong Kum</t>
  </si>
  <si>
    <t>Reference genes validation for qPCR normalization in Deschampsia antarctica during abiotic stresses</t>
  </si>
  <si>
    <t>ANTARCTIC SCIENCE</t>
  </si>
  <si>
    <t>adaptation; Antarctic; cold; PLG; salt; TACR7</t>
  </si>
  <si>
    <t>REAL-TIME; INTERNAL STANDARDS; HOUSEKEEPING GENES; EXPRESSION; PCR; SELECTION; FAMILY</t>
  </si>
  <si>
    <t>Quantitative real time PCR is the most sensitive and widely used method for the analysis of gene expression The choice of one or several reference genes is very important for a normalization process which should not fluctuate Under stress conditions to reduce error rate and bias during experimental procedure In the present study the expression stability of nine reference genes (two actins two tubulins two elongation factor la two ubiquatins and cyclophilin) during abiotic stresses such as cold salt and PEG treatments was is evaluated on Deschampsia antarctica plants using geNorm software Results from various experimental conditions indicated that cyclophilin rind elongation factor la were the most stable genes in the deal and the root respectively 1 he expression of the other reference genes sailed uncle! stress The relative quantification of the TACR7 gene wined according to the kind and the number of reference genes used suggesting the importance of considering the implications of a combination of reference genes under different stress conditions rind in different tissues</t>
  </si>
  <si>
    <t>[Lee, Hyoungseok; Kim, Ji Hyun; Park, Mira; Kim, Il-Chan; Yim, Joung Han; Lee, Hong Kum] Korea Polar Res Inst KOPRI KORDI, Polar BioCtr, Inchon 406840, South Korea</t>
  </si>
  <si>
    <t>Korea Institute of Ocean Science &amp; Technology (KIOST); Korea Polar Research Institute (KOPRI)</t>
  </si>
  <si>
    <t>Lee, H (corresponding author), Korea Polar Res Inst KOPRI KORDI, Polar BioCtr, Inchon 406840, South Korea.</t>
  </si>
  <si>
    <t>Park, Mira/F-8443-2015</t>
  </si>
  <si>
    <t>Lee, Hyoungseok/0000-0002-5831-6345</t>
  </si>
  <si>
    <t>Korea Polar Research Institute [PE09050]</t>
  </si>
  <si>
    <t>Korea Polar Research Institute(Korea Polar Research Institute of Marine Research Placement (KOPRI))</t>
  </si>
  <si>
    <t>We think the referees whose comments helped improve this manuscript This work was supported by a grant PE09050 from the Korea Polar Research Institute</t>
  </si>
  <si>
    <t>0954-1020</t>
  </si>
  <si>
    <t>1365-2079</t>
  </si>
  <si>
    <t>ANTARCT SCI</t>
  </si>
  <si>
    <t>Antarct. Sci.</t>
  </si>
  <si>
    <t>10.1017/S0954102010000428</t>
  </si>
  <si>
    <t>673XT</t>
  </si>
  <si>
    <t>WOS:000283698200004</t>
  </si>
  <si>
    <t>Carvalo, JVD; Mendoça, ED; Barbosa, RT; Reis, EL; Seabra, PN; Schaefer, CEGR</t>
  </si>
  <si>
    <t>de Souza Carvalo, Juliana Vanir; Mendoca, Eduardo de Sa; Barbosa, Rui Tarcisio; Reis, Efrain Lazaro; Seabra, Paulo Negrais; Schaefer, Carlos Ernesto G. R.</t>
  </si>
  <si>
    <t>Impact of expected global warming on C mineralization in maritime Antarctic soils results of laboratory experiments</t>
  </si>
  <si>
    <t>humic substances; organic matter; soil organic matter fragility; South Shetland Islands</t>
  </si>
  <si>
    <t>ORGANIC-CARBON; HUMIC ACIDS; ECOSYSTEMS; SYSTEMS; DECOMPOSITION; RESPIRATION; CRYOSOLS</t>
  </si>
  <si>
    <t>This study concerned the fragility of maritime Antarctic sods under increasing temperature using the C dynamics and structural characteristics of humic substances as indicators Working with four representative soils from King George Island (Lithic Thiomorphic Cryosol (LTC1 and LTC2) Ornithogenic Cryosol (OG) and Gelic Orginosol (ORG)) we evaluated the total organic C and nitrogen contents the oxidizable C and humic substances Sod samples were incubated to assess the amount of C potentially mineralizable at temperatures typical of an Antarctic summer (5-14 degrees C) Humic acids showed a higher aliphatic character and a smaller number of condensed aromatic groups which suggests that these molecules from Antarctic soils ale generally less resistant to microbial degradation than humic acids molecules from other regions Based on C-13 NMR spectra of MAS and CP/MAS samples of soil humic acids of mineral soils (LTC1 and LTC2) have a higher content of aliphatic C and heteroatom C with lower levels of carbonyl and aromatic C when comp wed with organic matter rich sods (OG and ORG) Increasing incubation temperature led to a higher rate of mineralizable C in 111 soils A sequence of soil fragility was suggested LTC1 and LTC2 &gt; OG &gt; ORG which showed a correlation with the Q10 coefficient and the ratio of labile and recalcitrant C fractions of soil organic matter (R-2 = 0 83)</t>
  </si>
  <si>
    <t>[de Souza Carvalo, Juliana Vanir; Barbosa, Rui Tarcisio; Reis, Efrain Lazaro] Univ Fed Vicosa, Dept Quim, BR-36570000 Vicosa, MG, Brazil; Univ Fed Espirito Santo, Dept Prod Vegetal, BR-2950000 Alegre, Espirito Santo, Brazil; Univ Fed Vicosa, Orientador Programa Pos Grad Solos &amp; Nutr Plantas, BR-36750000 Vicosa, MG, Brazil; [Seabra, Paulo Negrais] Ctr Pesquisas &amp; Desenvolvimento Petrobras, BR-21941915 Rio De Janeiro, Brazil; Univ Vicosa Minas Gerais, Dept Solos, BR-36570000 Vicosa, MG, Brazil</t>
  </si>
  <si>
    <t>Universidade Federal de Vicosa; Universidade Federal do Espirito Santo; Universidade Federal de Vicosa; Petrobras</t>
  </si>
  <si>
    <t>Criosfera, Inct/J-8639-2013; Schaefer, Carlos Ernesto/AAY-4977-2020</t>
  </si>
  <si>
    <t>MENDONCA, EDUARDO/0000-0003-3284-7129; Ernesto Goncalves Reynaud Schaefer, Carlos/0000-0001-7060-1598; Ernesto Goncalves Reynaud Schaefer, Carlos/0000-0001-5735-3227</t>
  </si>
  <si>
    <t>FAPEMIG Minas Gerais State Foundation</t>
  </si>
  <si>
    <t>FAPEMIG Minas Gerais State Foundation(Fundacao de Amparo a Pesquisa do Estado de Minas Gerais (FAPEMIG))</t>
  </si>
  <si>
    <t>The authors thanks FAPEMIG Minas Gerais State Foundation for the scholarship to the first author to CNPq PROANTAR Brazilian Program for Antarctic Research for the financial support during the International Polar Year (Criossolos IPY ANTPAS Project) to Jose Bras Julio for his help in carrying out chemical analysis and to Dr Felipe Simas for his kind review of the manuscript This is a contribution of the INCT Criosfera</t>
  </si>
  <si>
    <t>10.1017/S0954102010000258</t>
  </si>
  <si>
    <t>WOS:000283698200005</t>
  </si>
  <si>
    <t>Taboada, S; Fernandez, LFG; Bueno, S; Vazquez, J; Cuevas, C; Avila, C</t>
  </si>
  <si>
    <t>Taboada, Sergi; Garcia Fernandez, Luis Francisco; Bueno, Santiago; Vazquez, Jennifer; Cuevas, Carmen; Avila, Conxita</t>
  </si>
  <si>
    <t>Antitumoural activity in Antarctic and sub-Antarctic benthic organisms</t>
  </si>
  <si>
    <t>Bouvet Island eastern Weddell Sea; invertebrates marine benthos pharmacology; South Shetland Islands</t>
  </si>
  <si>
    <t>MARINE NATURAL-PRODUCTS; STEROIDS; ECOLOGY; SPONGES; AGENTS; DRUGS</t>
  </si>
  <si>
    <t>A prospecting search for antitumoural activity in polar benthic invertebrates was conducted on Antarctic and sub Antarctic benthos in three different areas Bouvet Island (sub Antarctic) eastern Weddell Sea (Antarctica) and the South Shetland Islands (Antarctica) A total of 770 benthic invertebrate samples (corresponding to at least 290 different species) from 12 different phyla were assayed to establish their pharmacological potential against three human tumour cell lines (colorectal adenocarcinoma lung carcinoma and breast adenocarcinoma) Bioassays resulted in 15 different species showing anticancer activity corresponding to five different phyla Tunicata (5) Porifera (4) Crudaria (3) Echmodermata (2) and Annelida (1) This appears to be the largest pharmacological study ever carried out in Antarctica and it shows very promising antitumoural activities in the Antarctic and sub Antarctic benthos</t>
  </si>
  <si>
    <t>[Taboada, Sergi; Vazquez, Jennifer; Avila, Conxita] Univ Barcelona, Fac Biol, Dept Anim Biol Invertebrates, E-08028 Barcelona, Spain; PharmaMar SAU Pol Ind La Mina Norte, R&amp;D Dept, Madrid 28770, Spain</t>
  </si>
  <si>
    <t>University of Barcelona; PharmaMar</t>
  </si>
  <si>
    <t>Taboada, S (corresponding author), Univ Barcelona, Fac Biol, Dept Anim Biol Invertebrates, Ave Diagonal 645, E-08028 Barcelona, Spain.</t>
  </si>
  <si>
    <t>Taboada, Sergi/AAB-9390-2021; Avila, Conxita/B-9466-2008; Vazquez, Jennifer/K-7579-2017</t>
  </si>
  <si>
    <t>Taboada, Sergi/0000-0003-1669-1152; Avila, Conxita/0000-0002-5489-8376; Vazquez, Jennifer/0000-0002-1510-0034</t>
  </si>
  <si>
    <t>ECOQUIM; ACTIQUIM [REN2003 00545, REN2002 12006E/ANT, CGL2004 03356/ANT, CGL2007 65453/ANT]</t>
  </si>
  <si>
    <t>ECOQUIM; ACTIQUIM</t>
  </si>
  <si>
    <t>Thanks are due to the crews of the two research vessels used for sampling RV Polarstern and BIO Heperides as well as to W Arntz and the Bentart team Thanks are also due to the taxonomists helping in the identification of samples F J Custobo and P Rios (Porifera) L Nunez Pons B Figuerola and M Edo (Crudaria and Bryozoa) A Ramos and M Varela (Tunicata) and M Ballesteros A Bosch and N Campanya (Echinodermata) The useful comments of J Blunt A Riesgo and F Reyes and the help in the creation of Fig 4 by F J Cristobo are also gratefully acknowledged Financial support of ECOQUIM and ACTIQUIM projects (REN2003 00545 REN2002 12006E/ANT CGL2004 03356/ANT CGL2007 65453/ANT) is acknowledged as well This manuscript has greatly benefited from the very helpful comments of an anonymous reviewer</t>
  </si>
  <si>
    <t>10.1017/S0954102010000416</t>
  </si>
  <si>
    <t>WOS:000283698200006</t>
  </si>
  <si>
    <t>Martin, AP; Cooper, AF</t>
  </si>
  <si>
    <t>Martin, Adam P.; Cooper, Alan F.</t>
  </si>
  <si>
    <t>Post 3 9 Ma fault activity within the West Antarctic rift system onshore evidence from Gandalf Ridge, Mount Morning eruptive centre, southern Victoria Land, Antarctica</t>
  </si>
  <si>
    <t>continental rifting; dramictite; Erebus volcanic province; fault movement; slip rate tectonics</t>
  </si>
  <si>
    <t>ROSS SEA; TRANSANTARCTIC MOUNTAINS; MCMURDO SOUND; EXTENSION; CRUSTAL; GEOCHRONOLOGY; EVOLUTION; GEOLOGY; BASIN</t>
  </si>
  <si>
    <t>A hawaute dyke dated at 3 88 +/- 0 05 M-1 from the Mount Morning eruptive centre intrudes a diamictite deposit at Gandalf Ridge in the southern Ross Sea The dyke has been dextrally offset up to 6 m horizontally by faults interpreted is the onshore continuation of the West Antarctic rift system (WARS) fault array Felsic dykes emplaced during the Miocene are also present at Gandalf Ridge The offset of the Miocene dykes is equivalent to the offset on the hawaute dyke suggesting that at this locality movement on faults within WARS Ins been restricted to a period more recent than c 3 88 Ma over this period the minimum average rite of movement on these faults within WARS is 0 0015 mm yr(1)</t>
  </si>
  <si>
    <t>[Martin, Adam P.; Cooper, Alan F.] Univ Otago, Dept Geol, Dunedin 9054, New Zealand</t>
  </si>
  <si>
    <t>University of Otago</t>
  </si>
  <si>
    <t>Martin, AP (corresponding author), Univ Otago, Dept Geol, POB 56, Dunedin 9054, New Zealand.</t>
  </si>
  <si>
    <t>Martin, A. P./0000-0002-4676-8344</t>
  </si>
  <si>
    <t>Antarctica New Zealand; New Zealand Post</t>
  </si>
  <si>
    <t>We would like to thank Antarctica New Zealand and New Zealand Post for event sponsorship and Helicopters New Zealand for logistical support Thank you to Brent Pooley for assistance with slide preparation Thank you to J Dunlap at the University of Minnesota We also thank V Toy and J Scott for useful discussions and N Mortimer S Rocchi T Paulsen and the editor for constructive reviews and comments</t>
  </si>
  <si>
    <t>10.1017/S095410201000026X</t>
  </si>
  <si>
    <t>WOS:000283698200008</t>
  </si>
  <si>
    <t>Wagner, B; Ortlepp, S; Kenig, F; Doran, PT; Melles, M</t>
  </si>
  <si>
    <t>Wagner, Bernd; Ortlepp, Sabrina; Kenig, Fabien; Doran, Peter T.; Melles, Martin</t>
  </si>
  <si>
    <t>Palaeoenvironmental implications derived from a piston core from east lobe Bonney, Taylor Valley, Antarctica</t>
  </si>
  <si>
    <t>evaporates; hypersaline lakes; late Holocene; palaeolimnology</t>
  </si>
  <si>
    <t>MCMURDO DRY VALLEYS; GROUNDED ICE-SHEET; ISOTOPIC COMPOSITION; LAKE FRYXELL; ROSS SEA; CARBON; DRIFT; SEDIMENTS; RECORD; HOARE</t>
  </si>
  <si>
    <t>A 270 cm long sediment sequence was recovered with a piston corer from east lobe Bonney Taylor Valley Antarctica and characterized according to its sedimentological mineralogical and geochemical properties It is the first record of such length recovered from east lobe Bonney The sediment core is mainly composed of halite crystals of different sizes water and a relatively low and stable proportion of elastic particles Although the sediment surface was probably disturbed by the coring process and absence or low contents of organic material or carbonates hampers the establishment of a robust chronology by radiocarbon dating the core probably contains at least several hundred years of information about the history of the lake and the Bonney basin Variations in halite crystal sizes and amount as well as variations in the composition of elastic material can be related to past lake level changes and evaporation cycles</t>
  </si>
  <si>
    <t>[Wagner, Bernd; Ortlepp, Sabrina; Melles, Martin] Univ Cologne, Inst Geol &amp; Mineral, D-50674 Cologne, Germany; Univ Illinois, Chicago, IL 60607 USA</t>
  </si>
  <si>
    <t>University of Cologne; University of Illinois System; University of Illinois Chicago; University of Illinois Chicago Hospital</t>
  </si>
  <si>
    <t>Wagner, B (corresponding author), Univ Cologne, Inst Geol &amp; Mineral, Zulpicher Str 49A, D-50674 Cologne, Germany.</t>
  </si>
  <si>
    <t>Kenig, Fabien/A-4961-2008; Melles, Martin/J-4070-2012; Wagner, Bernd/J-4682-2012</t>
  </si>
  <si>
    <t>Melles, Martin/0000-0003-0977-9463; Wagner, Bernd/0000-0002-1369-7893; Kenig, Fabien/0000-0003-4868-5232</t>
  </si>
  <si>
    <t>Deutsche Forschungsgmeinschaft [DFG Me 1169/4 1]; National Science Foundation [OPP 0096250 0126270]; Office of Polar Programs (OPP); Directorate For Geosciences [1041742] Funding Source: National Science Foundation</t>
  </si>
  <si>
    <t>Deutsche Forschungsgmeinschaft; National Science Foundation(National Science Foundation (NSF)); Office of Polar Programs (OPP); Directorate For Geosciences(National Science Foundation (NSF)NSF - Directorate for Geosciences (GEO))</t>
  </si>
  <si>
    <t>The project was funded by the Deutsche Forschungsgemeinschaft (DFG Me 1169/4 1) and by the National Science Foundation (OPP 0096250 0126270) Peter Glenday Jennifer Lawson Knoepfle and David Mazzuechi are thanked for their assistance in the field Brenda Hill Berry Lyons and Alan Vaughan are thanked for numerous comments and suggestions on the manuscript</t>
  </si>
  <si>
    <t>10.1017/S0954102010000556</t>
  </si>
  <si>
    <t>WOS:000283698200009</t>
  </si>
  <si>
    <t>Bona, P; de la Fuente, MS; Reguero, MA</t>
  </si>
  <si>
    <t>Bona, Paula; de la Fuente, Marcelo S.; Reguero, Marcelo A.</t>
  </si>
  <si>
    <t>Short Note New fossil turtle remains from the Eocene of the Antarctic Peninsula</t>
  </si>
  <si>
    <t>[Bona, Paula; Reguero, Marcelo A.] Consejo Nacl Invest Cient &amp; Tecn, Div Paleontol Vertebrados, Museo La Plata, La Plata, Buenos Aires, Argentina; [de la Fuente, Marcelo S.] Consejo Nacl Invest Cient &amp; Tecn, Museo Hist Nat, Dept Paleontol, RA-5600 San Rafael, Argentina</t>
  </si>
  <si>
    <t>Consejo Nacional de Investigaciones Cientificas y Tecnicas (CONICET); National University of La Plata; Museo La Plata; Consejo Nacional de Investigaciones Cientificas y Tecnicas (CONICET)</t>
  </si>
  <si>
    <t>Bona, P (corresponding author), Consejo Nacl Invest Cient &amp; Tecn, Div Paleontol Vertebrados, Museo La Plata, Paseo Bosque S-N,B1900FWA, La Plata, Buenos Aires, Argentina.</t>
  </si>
  <si>
    <t>Reguero, Marcelo A./JHS-4893-2023</t>
  </si>
  <si>
    <t>Reguero, Marcelo A./0000-0003-0875-8484</t>
  </si>
  <si>
    <t>PICT [365 PICTA 1/2008]; PIP CONICET [00795]</t>
  </si>
  <si>
    <t>PICT(ANPCyT); PIP CONICET(Consejo Nacional de Investigaciones Cientificas y Tecnicas (CONICET))</t>
  </si>
  <si>
    <t>This is a contribution to the projects PICT 365 PICTA 1/2008 and PIP CONICET 00795 The Instituto Antartico Argentino provided the logistics support in Antarctica The authors wish to thank the CONICET for their constant support Thanks are due to L B Albright (Museum of Northern Arizona) and W Joyce (Eberhard Karls Univeritat Tubingen) for useful comments which helped to improve the manuscript The constructive comments of the reviewers are also gratefully acknowledged</t>
  </si>
  <si>
    <t>10.1017/S0954102010000362</t>
  </si>
  <si>
    <t>WOS:000283698200010</t>
  </si>
  <si>
    <t>Leveque, JJ; Maggi, A; Souriau, A</t>
  </si>
  <si>
    <t>Leveque, Jean Jacques; Maggi, Alessia; Souriau, Annie</t>
  </si>
  <si>
    <t>Seismological constraints on ice properties at Dome C, Antarctica, from horizontal to vertical spectral ratios</t>
  </si>
  <si>
    <t>Antarctic seismological stations; Concordia; firn; seismic ambient noise</t>
  </si>
  <si>
    <t>The French Italian Concordia (CCD) seismological station at Dome C is one of two observatories setup on the ice cap in the interior of the Antarctic continent We analysed the seismic signal due to ambient noise at this station and at three temporary stations 5 km away from Concordia in order to specify the ice properties beneath them A method based on the horizontal to vertical (H/V) spectral ratio commonly used to analyse sod response in seismic regions was applied to the Antarctic stations The main peak in the spectral ratios is observed it frequencies 6 7-8 Hz at the Dome C stations but it is not observed at another station on the ice cap QSPA where the sensor is buried at 275 m depth This peak can be explained by a 23 m thick unconsolidated snow or firn layer with a low S wave velocity of 0 7 km s (I) overlying a consolidated layer with S wave velocity 1 8 km s (I) Despite the non uniqueness of the solutions obtained by fitting the H/V spectra this model is preferred because the depth of the velocity contrast coincides with the density at which ice particles arrange themselves in a continuous dense lattice A small variability of this structure is observed around Dome C</t>
  </si>
  <si>
    <t>[Leveque, Jean Jacques; Maggi, Alessia] Univ Strasbourg, CNRS, F-67084 Strasbourg, France; Observ Midi Pyrenees, CNRS, F-31400 Toulouse, France</t>
  </si>
  <si>
    <t>Universites de Strasbourg Etablissements Associes; Universite de Strasbourg; Centre National de la Recherche Scientifique (CNRS); Centre National de la Recherche Scientifique (CNRS); Universite de Toulouse; Universite Toulouse III - Paul Sabatier</t>
  </si>
  <si>
    <t>Leveque, JJ (corresponding author), Univ Strasbourg, CNRS, 5 Rue Rene Descartes, F-67084 Strasbourg, France.</t>
  </si>
  <si>
    <t>Maggi, Alessia/P-5041-2016</t>
  </si>
  <si>
    <t>Maggi, Alessia/0000-0001-8859-8948</t>
  </si>
  <si>
    <t>IPEV; PNRA; ANR (Agence Nationale de la Recherche)</t>
  </si>
  <si>
    <t>IPEV; PNRA; ANR (Agence Nationale de la Recherche)(Agence Nationale de la Recherche (ANR))</t>
  </si>
  <si>
    <t>Funding and logistical support for the seismology programme at Concordia is provided by IPEV and PNRA The French contribution to POLENET is funded by ANR (Agence Nationale de la Recherche) via the CASE IPY project (Concordia Antarctica Seismic Experiment for the International Polar Year) The observatory station CCD is run in collaboration with our colleagues at INGV Stefania Danes' Andrea Morelli Alberto Delladio We thank Jacques Burdin Jean Yves Thore and Maxime Bes de Berc for their invaluable contribution to the design and installation of CCD and the autonomous CASE stations We also thank all the summer and winter personnel at Concordia base for helping us install and run the stations Thanks also to Paul Duval from the Laboratoire de Glaciologie at Grenoble for useful information about ice properties at Dome C to Low Jahan for computing facilities to M Asten and two other anonymous reviewers for useful comments and to C Hulbe for her editorial work</t>
  </si>
  <si>
    <t>10.1017/S0954102010000325</t>
  </si>
  <si>
    <t>WOS:000283698200013</t>
  </si>
  <si>
    <t>Alencar, AS; Evangelista, H; Dos Santos, EA; Correa, SM; Khodri, M; Garcia, VMT; Garcia, CAE; Pereira, EB; Piola, AR; Felzenszwalb, I</t>
  </si>
  <si>
    <t>Alencar, Alexandre S.; Evangelista, Heitor; Dos Santos, Elaine A.; Correa, Sergio M.; Khodri, Myriam; Garcia, Virginia M. T.; Garcia, Carlos A. E.; Pereira, Enio B.; Piola, Alberto R.; Felzenszwalb, Israel</t>
  </si>
  <si>
    <t>Potential source regions of biogenic aerosol number concentration apportioning at King George Island, Antarctic Peninsula</t>
  </si>
  <si>
    <t>Antarctica; atmospheric transport; chlorophyll a; dimethyl sulphide</t>
  </si>
  <si>
    <t>DIMETHYL SULFIDE; PHYTOPLANKTON; CHLOROPHYLL; SEA; VARIABILITY; ATLANTIC; CLIMATE; FLUX</t>
  </si>
  <si>
    <t>Nowadays it is well accepted that background aerosols in the boundary layer over remote oceans are of marine origin and not aged continental Particularly in the Atlantic sector of the Southern Ocean at least four main important regions exhibit significant ocean primary productivity They are the Bellingshausen-Amundsen Sea the Weddell Sea the southern Argentinean shelf and the southern Chilean coast In this work we have combined ground based continuous atmospheric sampling of aerosol number concentration (ANC) over sea dimethyl sulphide (DMS) measurements chlorophyll a (chl a) concentration provided by Sea viewing Wide Field of view Sensor (SeaW(1)FS) satellite images in situ, meteorological data and monthly regional NCEP NCAR re analysis wind fields in order to investigate the relative contribution of each of the above regions to the apportionment of the ANC at King George Island (KGI) South Shetland Islands Our results suggest that at least during the period from September 1998 December 1999 the southern Argentinean shelf acted as the main contributor to the ANC measured in KGI</t>
  </si>
  <si>
    <t>[Alencar, Alexandre S.; Evangelista, Heitor; Dos Santos, Elaine A.; Felzenszwalb, Israel] Univ Estado Rio de Janeiro, Lab Radioecol &amp; Mudancas Globats, BR-20550013 Subsolo Maracana, RJ, Brazil; Univ Estado Rio de Janeiro, Dept Quim Ambiental, Fac Tecnol, BR-27537000 Resende, RJ, Brazil; [Khodri, Myriam] UR Paleotrop Inst Rech Dev, F-93143 Bondy, France; LSCE, Gif Sur Yvette, France; [Garcia, Virginia M. T.] Fundacao Univ Fed Rio Grande, Dept Oceanog, Lab Ecol Phytoplankton &amp; Marine Microorganisms, BR-96201900 Rio Grande, RS, Brazil; [Garcia, Carlos A. E.] Fundacao Univ Fed Rio Grande, Dept Fis, Lab Oceanog Fis, BR-96201900 Rio Grande, RS, Brazil; [Pereira, Enio B.] Inst Nacl Pesquisas Espaciais, Dept Geofis Espacial, BR-12201970 Sao Jose Dos Campos, SP, Brazil; [Piola, Alberto R.] Univ Buenos Aires, Dept Oceanog, Serv Hidrog Naval, RA-2124 Buenos Aires, DF, Argentina; [Piola, Alberto R.] Univ Buenos Aires, Dept Ciencias Atmosfera &amp; Oceanos FCEN, RA-2124 Buenos Aires, DF, Argentina</t>
  </si>
  <si>
    <t>Universidade do Estado do Rio de Janeiro; Universidade do Estado do Rio de Janeiro; Institut de Recherche pour le Developpement (IRD); CEA; Centre National de la Recherche Scientifique (CNRS); Universite Paris Saclay; Universidade Federal do Rio Grande; Universidade Federal do Rio Grande; Instituto Nacional de Pesquisas Espaciais (INPE); University of Buenos Aires; Servicio de Hidrografia Naval; University of Buenos Aires</t>
  </si>
  <si>
    <t>Alencar, AS (corresponding author), Univ Estado Rio de Janeiro, Lab Radioecol &amp; Mudancas Globats, Rua Sao Francisco Xavier 524,PHLC, BR-20550013 Subsolo Maracana, RJ, Brazil.</t>
  </si>
  <si>
    <t>Pereira, Enio/AAH-3308-2020; Correa, Sergio Machado/AAB-4657-2021; Khodri, Myriam/JCE-1616-2023; Garcia, Carlos A. E./K-7382-2012; Piola, Alberto/HZI-5475-2023; Criosfera, Inct/J-8639-2013; Felzenszwalb, Israel/AAH-4915-2020; Evangelista, Heitor/C-7561-2013; Khodri, Myriam/K-1399-2016; Piola, Alberto/O-2280-2013; Tavano, Virginia/C-5241-2013</t>
  </si>
  <si>
    <t>Pereira, Enio/0000-0002-5095-0085; Correa, Sergio Machado/0000-0002-0038-0790; Felzenszwalb, Israel/0000-0003-1677-197X; Khodri, Myriam/0000-0003-1941-1646; Santos, Elaine/0000-0001-9620-9498; Piola, Alberto/0000-0002-5003-8926; Tavano, Virginia/0000-0003-0039-8111</t>
  </si>
  <si>
    <t>Brazilian Antarctic Program (PROANTAR); Brazilian National Council for Scientific and Technological Development (CNPq) [55 0353/02 0]; CAPES (Coordenacio de Aperfeicoamento de Pessoal de Nivel Superior)</t>
  </si>
  <si>
    <t>Brazilian Antarctic Program (PROANTAR); Brazilian National Council for Scientific and Technological Development (CNPq)(Conselho Nacional de Desenvolvimento Cientifico e Tecnologico (CNPQ)); CAPES (Coordenacio de Aperfeicoamento de Pessoal de Nivel Superior)(Coordenacao de Aperfeicoamento de Pessoal de Nivel Superior (CAPES))</t>
  </si>
  <si>
    <t>Part of the images and data used in this study were acquired using the GES DISC Interactive Online Visualization and Analysis Infrastructure (Grovanni) as part of the NASA s Goddard Earth Sciences (GES) Data and Information Services Center (DISC) NCEP/NCAR re analysis data was provided by the NOAA/OAR/ESRL PSD Boulder CO USA from then Web site at http//www cdc noaa gov/ The authors would like to thank the Brazilian Antarctic Program (PROANTAR) and the Brazilian National Council for Scientific and Technological Development (CNPq) for logistical and financial support (Project 55 0353/02 0) We also thank CAPES (Coordenacio de Aperfeicoamento de Pessoal de Nivel Superior) for funding scholarship The constructive comments of the reviewers are also gratefully acknowledged</t>
  </si>
  <si>
    <t>10.1017/S0954102010000398</t>
  </si>
  <si>
    <t>WOS:000283698200014</t>
  </si>
  <si>
    <t>Owada, M; Shimura, T; Yuhara, M; Kamei, A; Tsukada, K</t>
  </si>
  <si>
    <t>Owada, Masaaki; Shimura, Toshiaki; Yuhara, Masaki; Kamei, Atsushi; Tsukada, Kazuhiro</t>
  </si>
  <si>
    <t>Post-kinematic lamprophyre from the southwestern part of Sor Rondane Mountains, East Antarctica: Constraint on the Pan-African suture event</t>
  </si>
  <si>
    <t>JOURNAL OF MINERALOGICAL AND PETROLOGICAL SCIENCES</t>
  </si>
  <si>
    <t>Minette; Pan-African suture; K-Ar biotite age; Gondwana supercontinent</t>
  </si>
  <si>
    <t>DRONNING MAUD LAND; GONDWANA</t>
  </si>
  <si>
    <t>The Sor Rondane Mountains was situated within the collision zone between the West and East Gondwana during the Pan-African event. The mountains are made up of high-grade metamorphic rocks and various kinds of intrusive rocks. Here, we report the newly found post-kinematic lamprophyre (minette) collected from the southwestern part of Sor Rondane Mountains. The minette intruded along normal faults and has no sings of any metamorphism. The K-Ar dating of biotite separated from the minette gives an age of 563 +/- 14 Ma. Considering mode of occurrence, age data and geochemical signatures, the minette intruded in the within-plate tectonic setting and the timing of magma activity would start after the suture event related to the formation of Gondwana supercontinent.</t>
  </si>
  <si>
    <t>[Owada, Masaaki] Yamaguchi Univ, Dept Earth Sci, Yamaguchi 7538512, Japan; [Shimura, Toshiaki] Niigata Univ, Dept Geol, Niigata 9502181, Japan; [Yuhara, Masaki] Fukuoka Univ, Dept Earth Syst Sci, Fukuoka 8140180, Japan; [Kamei, Atsushi] Shimane Univ, Dept Geosci, Matsue, Shimane 6908504, Japan; [Tsukada, Kazuhiro] Nagoya Univ Museum, Nagoya, Aichi 4648601, Japan</t>
  </si>
  <si>
    <t>Yamaguchi University; Niigata University; Fukuoka University; Shimane University; Nagoya University</t>
  </si>
  <si>
    <t>Owada, M (corresponding author), Yamaguchi Univ, Dept Earth Sci, Yamaguchi 7538512, Japan.</t>
  </si>
  <si>
    <t>owada@sci.yamaguchi-u.ac.jp</t>
  </si>
  <si>
    <t>Yamaguchi University</t>
  </si>
  <si>
    <t>We are grateful to Y. Osanai, Y. Motyoshishi, K. Shiraishi and members of Japanese association for geology of Antarctic research for discussion. Thanks do to M. Abe, T. Hokada and the 50th Japanese Antarctic Research Expedition led by T. Odate, and Belgian Antarctic Research Expedition led by A. Hubert for support our fieldwork. We gratefully acknowledge the constructive reviews by Y. Ikeda and an anonymous referee and the editorial suggestions made by A. Ishiwatari with regard to the manuscript. This work was partly supported by the grant from Yamaguchi University (Highlight research project for Faculty of Science, 2009).</t>
  </si>
  <si>
    <t>JAPAN ASSOC MINERALOGICAL SCIENCES</t>
  </si>
  <si>
    <t>SENDAI</t>
  </si>
  <si>
    <t>C/O GRAD SCH SCIENCES, TOHOKU UNIV, AOBA, SENDAI, 980-8578, JAPAN</t>
  </si>
  <si>
    <t>1345-6296</t>
  </si>
  <si>
    <t>1349-3825</t>
  </si>
  <si>
    <t>J MINER PETROL SCI</t>
  </si>
  <si>
    <t>J. Mineral. Petrol. Sci.</t>
  </si>
  <si>
    <t>10.2465/jmps.100615b</t>
  </si>
  <si>
    <t>Mineralogy</t>
  </si>
  <si>
    <t>676ZP</t>
  </si>
  <si>
    <t>WOS:000283959000003</t>
  </si>
  <si>
    <t>Tiwari, M; Ramesh, R; Bhushan, R; Sheshshayee, MS; Somayajulu, BLK; Jull, AJT; Burr, GS</t>
  </si>
  <si>
    <t>Tiwari, Manish; Ramesh, Rengaswamy; Bhushan, Ravi; Sheshshayee, Madavalm S.; Somayajulu, Bammidipati L. K.; Jull, A. J. Timothy; Burr, George S.</t>
  </si>
  <si>
    <t>Did the Indo-Asian summer monsoon decrease during the Holocene following insolation?</t>
  </si>
  <si>
    <t>JOURNAL OF QUATERNARY SCIENCE</t>
  </si>
  <si>
    <t>monsoon; Arabian Sea; productivity; foraminifera; Holocene</t>
  </si>
  <si>
    <t>OMAN MARGIN; PRESERVATION; PRODUCTIVITY; RECORD</t>
  </si>
  <si>
    <t>A few studies from the western Arabian Sea indicate that the Indian summer (or southwest) monsoon (ISM), after attaining its maximum intensity at ca. 9 ka, declined during the Holocene, as did insolation. In contrast, earlier and later observations from both the eastern and the western Arabian Sea do not support this inference. Analysis of multiple proxies of productivity in a new sediment core from the western Arabian Sea fails to confirm the earlier, single-proxy (e.g. abundance of Globigerina bulloides) based, inference of the Holocene weakening of ISM, following insolation. The reason for the observed decreasing trend in foraminiferal abundance - the basis for the earlier inference - could be the favouring of silicate rather than carbonate productivity by the increased ISM wind strength. Although ISM exhibits several multi-millennial scale fluctuations, there is no evidence from several multi-proxy data to conclude that it declined during the Holocene; this is consistent with the phase lag analysis of longer time series of monsoon proxies. Thus, on sub-Milankovitch timescales, ISM did not follow insolation, highlighting the importance of internal feedbacks. A comparison with East Asian summer monsoon (EASM) records suggests that both ISM and EASM varied in unison, implying common forcing factors on such longer timescales. Copyright (C) 2010 John Wiley &amp; Sons, Ltd.</t>
  </si>
  <si>
    <t>[Tiwari, Manish; Ramesh, Rengaswamy; Bhushan, Ravi; Somayajulu, Bammidipati L. K.] Phys Res Lab, Geosci Div, Ahmadabad 380009, Gujarat, India; [Sheshshayee, Madavalm S.] Univ Agr Sci, Dept Crop Physiol, Bangalore, Karnataka, India; [Jull, A. J. Timothy; Burr, George S.] Univ Arizona, NSF Arizona AMS Facil, Tucson, AZ USA; [Tiwari, Manish] Natl Ctr Antarctic &amp; Ocean Res, Vasco 403804, Goa, India</t>
  </si>
  <si>
    <t>Department of Space (DoS), Government of India; Physical Research Laboratory - India; University of Agricultural Sciences Bangalore; National Science Foundation (NSF); University of Arizona; Ministry of Earth Sciences (MoES) - India; National Centre for Polar and Ocean Research (NCPOR)</t>
  </si>
  <si>
    <t>Tiwari, M (corresponding author), Natl Ctr Antarctic &amp; Ocean Res, Vasco 403804, Goa, India.</t>
  </si>
  <si>
    <t>manish@ncaor.org</t>
  </si>
  <si>
    <t>Sreeman, Sheshshayee/ABI-2719-2020</t>
  </si>
  <si>
    <t>Tiwari, Manish/0000-0003-3143-1658; Sreeman, Sheshshayee/0000-0002-2634-8596; Bhushan, Ravi/0000-0003-1347-5446; Burr, George/0000-0003-0068-7589</t>
  </si>
  <si>
    <t>Indian Space Research Organization; NCAOR</t>
  </si>
  <si>
    <t>We thank the Indian Space Research Organization - Geosphere Biosphere Program for funding, Chris Turney for editorial comments and Steven Clemens, along with an anonymous referee, for constructive criticism that improved the presentation; M. G. Yadava for help in stable isotope measurements; and Anil K. Gupta, Thamban Me loth, Rajesh Agnihotri, Gideon Henderson and Barbara Maher for sharing published data. Most of the data used for comparison have been obtained from data archived at the World Data Center for Paleoclimatology, Boulder, Colorado, USA. MT thanks Rasik Ravindra, Director NCAOR, for his support and encouragement. This is NCAOR contribution no. NCAOR-R 56.</t>
  </si>
  <si>
    <t>0267-8179</t>
  </si>
  <si>
    <t>1099-1417</t>
  </si>
  <si>
    <t>J QUATERNARY SCI</t>
  </si>
  <si>
    <t>J. Quat. Sci.</t>
  </si>
  <si>
    <t>10.1002/jqs.1398</t>
  </si>
  <si>
    <t>673XI</t>
  </si>
  <si>
    <t>WOS:000283697100013</t>
  </si>
  <si>
    <t>Ahluwalia, HS; Lopate, C; Ygbuhay, RC; Duldig, ML</t>
  </si>
  <si>
    <t>Ahluwalia, H. S.; Lopate, C.; Ygbuhay, R. C.; Duldig, M. L.</t>
  </si>
  <si>
    <t>Galactic cosmic ray modulation for sunspot cycle 23</t>
  </si>
  <si>
    <t>ADVANCES IN SPACE RESEARCH</t>
  </si>
  <si>
    <t>Galactic cosmic rays; Solar modulation; Sunspot cycle 23</t>
  </si>
  <si>
    <t>CORONAL MASS EJECTIONS; SOLAR MAGNETIC-FIELD; NEUTRON MONITOR; 11-YEAR MODULATION; COUPLING FUNCTIONS; FORBUSH DECREASES; POLARITY REVERSAL; WIND MODULATION; RECOVERY PHASE; DRIFT MODEL</t>
  </si>
  <si>
    <t>We present a study of the galactic cosmic ray modulation for sunspot cycle 23. We use the monthly and the annual mean hourly, pressure corrected, data from neutron monitors of the global network (monthly rate is calculated as the average of the hourly pressure corrected values). We draw attention to an asymmetry in the galactic cosmic ray (GCR) recovery during odd and even cycles for the monthly mean hourly rate data. For over half a century of observations, we find that the recovery for the odd cycles is to a higher level than for the even cycles. Qualitatively the effect is ascribed to charged particle drifts in inhomogeneous interplanetary magnetic field. Even so it has not been possible to arrive at a quantitative, self-consistent, explanation in terms of drifts at higher and lower GCR rigidities. We also study the rigidity dependence of the amplitude of 11-year modulation over a wide range (1-200 GV) of GCR spectrum; it is a power law in rigidity with an exponent -1.22. We discuss the implication of these findings on quasi-linear diffusion theories of modulation. We reflect on GCR recovery pattern for 2006-2009. (c) 2010 COSPAR. Published by Elsevier Ltd. All rights reserved.</t>
  </si>
  <si>
    <t>[Ahluwalia, H. S.; Ygbuhay, R. C.] Univ New Mexico, Dept Phys &amp; Astron, Albuquerque, NM 87131 USA; [Lopate, C.] Univ New Hampshire, Inst Earth Ocean &amp; Space Studies, Durham, NH 03824 USA; [Duldig, M. L.] Australian Antarctic Div, Kingston, Tas 7050, Australia</t>
  </si>
  <si>
    <t>University of New Mexico; University System Of New Hampshire; University of New Hampshire; Australian Antarctic Division</t>
  </si>
  <si>
    <t>Ahluwalia, HS (corresponding author), Univ New Mexico, Dept Phys &amp; Astron, MSC07 4220,800 Yale Blvd NE, Albuquerque, NM 87131 USA.</t>
  </si>
  <si>
    <t>hsa@unm.edu; clifford.lopate@unh.edu; ygbuhay@unm.edu; marc.duldi-g@aad.gov.au</t>
  </si>
  <si>
    <t>ELSEVIER SCI LTD</t>
  </si>
  <si>
    <t>THE BOULEVARD, LANGFORD LANE, KIDLINGTON, OXFORD OX5 1GB, OXON, ENGLAND</t>
  </si>
  <si>
    <t>0273-1177</t>
  </si>
  <si>
    <t>1879-1948</t>
  </si>
  <si>
    <t>ADV SPACE RES</t>
  </si>
  <si>
    <t>Adv. Space Res.</t>
  </si>
  <si>
    <t>OCT 1</t>
  </si>
  <si>
    <t>10.1016/j.asr.2010.04.008</t>
  </si>
  <si>
    <t>Engineering, Aerospace; Astronomy &amp; Astrophysics; Geosciences, Multidisciplinary; Meteorology &amp; Atmospheric Sciences</t>
  </si>
  <si>
    <t>Engineering; Astronomy &amp; Astrophysics; Geology; Meteorology &amp; Atmospheric Sciences</t>
  </si>
  <si>
    <t>651IV</t>
  </si>
  <si>
    <t>WOS:000281922300010</t>
  </si>
  <si>
    <t>Anmireddy, V; Vasudevan, R; Anand, D; Rao, TV; Kapardhi, BVN; Trivedi, D; Manchanda, RK</t>
  </si>
  <si>
    <t>Anmireddy, V.; Vasudevan, R.; Anand, D.; Rao, T. V.; Kapardhi, B. V. N.; Trivedi, D.; Manchanda, R. K.</t>
  </si>
  <si>
    <t>Telemetry, telecommand and safety sub-systems for scientific ballooning from Hyderabad</t>
  </si>
  <si>
    <t>Scientific ballooning; Telemetry and telecommand</t>
  </si>
  <si>
    <t>Highly sophisticated balloon-borne scientific payloads have stringent requirement on the telemetry and command system. The development and fabrication of the on-board TT&amp;C package for telemetry, tracking, command, safety and ranging for these experiments is done in-house at the National Balloon Facility (NBF) at Hyderabad. In the last few years, we have made major improvements both in the ground station and the on-board sub-systems, thereby improving the data quality, data handling speed and the general flight control along with aviation safety. The new system has telemetry data rate up to 1 Mbps. A reduction in weight, power and cost of the reengineered on-board integrated package has also lead to the ease of operation during field tests prior to launch and at remote recovery sites. In this paper, we describe the details of the new control package, its flight performance and our plans for portable S-band telemetry and telecommand system to cater to the balloon flights from Antarctic station and long duration balloon flights. (c) 2010 COSPAR. Published by Elsevier Ltd. All rights reserved.</t>
  </si>
  <si>
    <t>[Anmireddy, V.; Vasudevan, R.; Anand, D.; Rao, T. V.; Kapardhi, B. V. N.; Trivedi, D.; Manchanda, R. K.] Natl Balloon Facil, Tata Inst Fundamental Res, Hyderabad 500062, Andhra Pradesh, India</t>
  </si>
  <si>
    <t>Tata Institute of Fundamental Research (TIFR)</t>
  </si>
  <si>
    <t>Anmireddy, V (corresponding author), Natl Balloon Facil, Tata Inst Fundamental Res, ECIL POB 5, Hyderabad 500062, Andhra Pradesh, India.</t>
  </si>
  <si>
    <t>anmi.reddy@gmail.com</t>
  </si>
  <si>
    <t>Rao, Tanneeru Venkateswara/AGO-3736-2022</t>
  </si>
  <si>
    <t>Rao, Tanneeru Venkateswara/0000-0002-6939-1711; DEVARAJAN, ANAND/0000-0003-3000-8321; Manchanda, R K/0000-0003-0591-9668</t>
  </si>
  <si>
    <t>10.1016/j.asr.2010.04.037</t>
  </si>
  <si>
    <t>WOS:000281922300012</t>
  </si>
  <si>
    <t>Gambardella, C; Gallus, L; Ravera, S; Fasulo, S; Vacchi, M; Ferrando, S</t>
  </si>
  <si>
    <t>Gambardella, Chiara; Gallus, Lorenzo; Ravera, Silvia; Fasulo, Salvatore; Vacchi, Marino; Ferrando, Sara</t>
  </si>
  <si>
    <t>First Evidence of a Leptin-Like Peptide in a Cartilaginous Fish</t>
  </si>
  <si>
    <t>ANATOMICAL RECORD-ADVANCES IN INTEGRATIVE ANATOMY AND EVOLUTIONARY BIOLOGY</t>
  </si>
  <si>
    <t>leptin-like immunoreactivity; gastro-intestinal tract; liver; Scyliorhinus canicula; cartilaginous fish</t>
  </si>
  <si>
    <t>FOOD-INTAKE; EXPRESSION; STOMACH; CELLS; ENDOCRINE; EVOLUTION; CLONING; MUCOSA; SYSTEM; TISSUE</t>
  </si>
  <si>
    <t>Leptin is a hormone involved in food intake. Although leptin is evolutionarily conserved, no studies have investigated its presence in cartilaginous fish. Here, we report the presence of leptin-like immunoreactivity in the gastro-intestinal tract and liver of the cartilaginous fish Scyliorhinus canicula using western blot and immunohistochemical analyses. A leptin-like immunoreactive band of 16 kDa was detected in the homogenate of the stomach, whereas no immunoreactivity was observed in the intestine or the liver. Immunohistochemistry of the gastric mucosa revealed leptin-like staining localized to mucous-secreting cells and endocrine cells. This is the first report of a leptin-like peptide in a cartilaginous fish. Anat Rec, 293:1692-1697, 2010. (C) 2010 Wiley-Liss, Inc.</t>
  </si>
  <si>
    <t>[Gambardella, Chiara; Gallus, Lorenzo; Ferrando, Sara] Univ Genoa, LIBiOM, Dept Biol, I-16132 Genoa, Italy; [Gambardella, Chiara; Fasulo, Salvatore] Univ Messina, Dept Anim Biol &amp; Marine Ecol, Messina, Italy; [Ravera, Silvia] Univ Genoa, Biochem Lab, Dept Biol, DIBIO, I-16132 Genoa, Italy; [Vacchi, Marino] Univ Genoa, Natl Antarctic Museum, ISPRA, I-16132 Genoa, Italy</t>
  </si>
  <si>
    <t>University of Genoa; University of Messina; University of Genoa; University of Genoa</t>
  </si>
  <si>
    <t>Gambardella, C (corresponding author), Univ Genoa, LIBiOM, Dept Biol, Viale Benedetto XV 5, I-16132 Genoa, Italy.</t>
  </si>
  <si>
    <t>chiara.gambardella@unige.it</t>
  </si>
  <si>
    <t>Fasulo, Salvatore/I-1658-2019; Gambardella, Chiara/AAA-6260-2022; Fasulo, Salvatore/J-8861-2016; Ravera, Silvia/AAA-7982-2019; Ferrando, Sara/AAC-9934-2022</t>
  </si>
  <si>
    <t>Fasulo, Salvatore/0000-0001-8316-6791; Gambardella, Chiara/0000-0002-6667-9242; Fasulo, Salvatore/0000-0001-8316-6791; Ravera, Silvia/0000-0002-0803-1042; Ferrando, Sara/0000-0002-5781-9709</t>
  </si>
  <si>
    <t>1932-8486</t>
  </si>
  <si>
    <t>1932-8494</t>
  </si>
  <si>
    <t>ANAT REC</t>
  </si>
  <si>
    <t>Anat. Rec.</t>
  </si>
  <si>
    <t>10.1002/ar.21238</t>
  </si>
  <si>
    <t>Anatomy &amp; Morphology</t>
  </si>
  <si>
    <t>668LX</t>
  </si>
  <si>
    <t>WOS:000283272600007</t>
  </si>
  <si>
    <t>Vaughan, APM</t>
  </si>
  <si>
    <t>Vaughan, Alan P. M.</t>
  </si>
  <si>
    <t>The future of ocean drilling in the Southern Ocean</t>
  </si>
  <si>
    <t>Vaughan, Alan PM/B-7829-2010</t>
  </si>
  <si>
    <t>NERC [bas0100026] Funding Source: UKRI; Natural Environment Research Council [bas0100026] Funding Source: researchfish</t>
  </si>
  <si>
    <t>10.1017/S0954102010000714</t>
  </si>
  <si>
    <t>WOS:000283698200001</t>
  </si>
  <si>
    <t>Ruberto, L; Vazquez, SC; Dias, RL; Hernández, EA; Coria, SH; Levin, G; Lo Balbo, A; Mac Cormack, WP</t>
  </si>
  <si>
    <t>Ruberto, Lucas; Vazquez, Susana C.; Dias, Romina L.; Hernandez, Edgardo A.; Coria, Silvia H.; Levin, Gustavo; Lo Balbo, Alfredo; Mac Cormack, Walter P.</t>
  </si>
  <si>
    <t>Small-scale studies towards a rational use of bioaugmentation in an Antarctic hydrocarbon-contaminated soil</t>
  </si>
  <si>
    <t>bacterial consortium; bioremediation; hydrocarbon contamination; microbiology</t>
  </si>
  <si>
    <t>PSEUDOMONAS-FLUORESCENS; SURVIVAL</t>
  </si>
  <si>
    <t>Bioaugmentation is a controversial strategy. In this work, the effect of the inoculum size and the absence of natural microflora on the efficiency of hydrocarbon removal were studied. Two levels of inoculum (10(6) and 10(9) CFU g(-1)) were applied to soil microcosms containing. sterile (S6 and S9) and non-sterile (NS6 and NS9) oil contaminated Antarctic soil. Community controls (CC) and biostimulated autochthonous microflora (BAM) were also included. Total heterotrophic aerobic (THAB) and hydrocarbon degrading (HDB) bacteria as well as total petroleum hydrocarbons (TPH) were analysed. At day 0, THAB and HDB counts (CFU g(-1)) showed no differences among CC, BAM and NS6 but significantly higher values were observed in NS9 and S9. At day 60, three different levels of HDB were observed The lower level was represented by CC (10(6) CFU g(-1)), a second group (5 x 10(7) CFU g(-1)) was represented by BAM, NS6, NS9 and S6, and the third level was constituted by S9 (1 x 10(9) CFU g(-1)). TPH values at day 60 decreased significantly in all systems excluding the controls. NS6, NS9, S6 and S9 were not different from those corresponding to BAM. Results suggest that the bioaugmentation of a chronically diesel fuel-contaminated Antarctic soil is unlikely to be profitable or beneficial.</t>
  </si>
  <si>
    <t>[Ruberto, Lucas; Hernandez, Edgardo A.; Coria, Silvia H.; Mac Cormack, Walter P.] Inst Antartico Argentino, Buenos Aires, DF, Argentina; [Ruberto, Lucas; Vazquez, Susana C.; Hernandez, Edgardo A.; Coria, Silvia H.; Levin, Gustavo; Lo Balbo, Alfredo; Mac Cormack, Walter P.] Univ Buenos Aires, Fac Farm &amp; Bioquim, Catedra Biotecnol, RA-1113 Buenos Aires, DF, Argentina; [Ruberto, Lucas; Vazquez, Susana C.] Consejo Nacl Invest Cient &amp; Tecn, RA-1033 Buenos Aires, DF, Argentina; [Dias, Romina L.] CIC, RA-1900 Buenos Aires, DF, Argentina</t>
  </si>
  <si>
    <t>Instituto Antartico Argentino; University of Buenos Aires; Consejo Nacional de Investigaciones Cientificas y Tecnicas (CONICET)</t>
  </si>
  <si>
    <t>Mac Cormack, WP (corresponding author), Inst Antartico Argentino, Cerrito 1248 C1010AAZ, Buenos Aires, DF, Argentina.</t>
  </si>
  <si>
    <t>Vazquez, Susana/AEP-5214-2022</t>
  </si>
  <si>
    <t>Vazquez, Susana/0000-0002-0760-6254; Mac Cormack, Walter/0000-0002-5280-5463; Ruberto, Lucas Adolfo Mauro/0000-0001-5604-772X</t>
  </si>
  <si>
    <t>UBA (UBACyT) [U001]; Agencia Nacional de Investigaciones Cientificas y Tecnicas [35778]; CBC</t>
  </si>
  <si>
    <t>UBA (UBACyT)(University of Buenos Aires); Agencia Nacional de Investigaciones Cientificas y Tecnicas; CBC</t>
  </si>
  <si>
    <t>We thank Jubany station crew for the logistical support during fieldwork. This project was carried out under an agreement between the Instituto Antartico Argentino and the Facultad de Farmacia y Bioquimica of the Universidad de Buenos Aires (UBA). Field and laboratory works were supported by the CBC, UBA (UBACyT U001) and the Agencia Nacional de Investigaciones Cientificas y Tecnicas (Picto 2005 no. 35778) We thank the reviewers whose comments improved this paper</t>
  </si>
  <si>
    <t>10.1017/S0954102010000295</t>
  </si>
  <si>
    <t>WOS:000283698200002</t>
  </si>
  <si>
    <t>Dieser, M; Nocker, A; Priscu, JC; Foreman, CM</t>
  </si>
  <si>
    <t>Dieser, Markus; Nocker, Andreas; Priscu, John C.; Foreman, Christine M.</t>
  </si>
  <si>
    <t>Viable microbes in ice application of molecular assays to McMurdo Dry Valley lake ice communities</t>
  </si>
  <si>
    <t>Antarctica; bacteria live/dead; Propidium monoazide (PMA)</t>
  </si>
  <si>
    <t>PROPIDIUM MONOAZIDE; ANTARCTIC LAKE; BACTERIOPLANKTON; BACTERIA; DYNAMICS; BONNEY; COVER; AMPLIFICATION; DIVERSITY; CONSORTIA</t>
  </si>
  <si>
    <t>The permanent ice covers of the McMurdo Dry Valley lakes Antarctica are colonized by a diverse microbial assemblage We collected ice cores from Lakes Fryxell Hoare and Bonney Propidium monoazide (PMA) was used in combination with quantitative PCR (qPCR) and denaturing gradient gel electrophoresis (DGGE) to examine membrane integrity of prokaryotes in these extreme environments PMA selectively penetrates cells with compromised membranes and modifies their DNA resulting in the suppression of PCR amplification Our results based on analysis of 16S rRNA genes demonstrate that despite the hostile conditions of the Dry Valleys the permanent ice covers of the lakes support a potentially viable microbial community The level of membrane integrity as well as diversity was higher in samples where sediment was entrapped in the ice cover Pronounced differences in the fraction of cells with intact and compromised cell membranes were found for Lake Fryxell and east lobe of Lake Bonney both expressed in differences in DGGE banding patterns and qPCR signal reductions Limitations in the ability to distinguish between intact or compromised cells occurred in samples from Lake Hoare and west lobe of Like Bonney due to low DNA template concentrations recovered from the samples</t>
  </si>
  <si>
    <t>[Dieser, Markus; Nocker, Andreas; Foreman, Christine M.] Montana State Univ, Ctr Biofilm Engn, Bozeman, MT 59717 USA; [Dieser, Markus; Priscu, John C.; Foreman, Christine M.] Montana State Univ, Dept Land Resources &amp; Environm Sci, Bozeman, MT 59717 USA; [Nocker, Andreas] Netherlands Org Appl Sci Res TNO, NL-3704 HE Zeist, Netherlands</t>
  </si>
  <si>
    <t>Montana State University System; Montana State University Bozeman; Montana State University System; Montana State University Bozeman; Netherlands Organization Applied Science Research</t>
  </si>
  <si>
    <t>Foreman, CM (corresponding author), Montana State Univ, Ctr Biofilm Engn, Bozeman, MT 59717 USA.</t>
  </si>
  <si>
    <t>Nocker, Andreas/A-4613-2011</t>
  </si>
  <si>
    <t>Nocker, Andreas/0000-0002-5343-9418; Foreman, Christine/0000-0003-0230-4692; Dieser, Markus/0000-0001-8539-6646</t>
  </si>
  <si>
    <t>NSF [OPP 0338342]</t>
  </si>
  <si>
    <t>We would like to acknowledge the assistance of our McMurdo Dry Valleys LTER and Center for Biofilm Engineering colleagues Two anonymous reviewers provided suggestions that improved the final manuscript This work was supported in part by grant NSF OPP 0338342 to CMF</t>
  </si>
  <si>
    <t>10.1017/S0954102010000404</t>
  </si>
  <si>
    <t>WOS:000283698200003</t>
  </si>
  <si>
    <t>Convey, P; Key, RS; Key, RJD</t>
  </si>
  <si>
    <t>Convey, P.; Key, R. S.; Key, R. J. D.</t>
  </si>
  <si>
    <t>The establishment of a new ecological guild of pollinating insects on sub-Antarctic South Georgia</t>
  </si>
  <si>
    <t>bluebottle; calliphoridae; hoverfly; synergy; Syrphidae</t>
  </si>
  <si>
    <t>INVASIONS</t>
  </si>
  <si>
    <t>We report the establishment of two representatives of a new ecological functional group on the sub Antarctic island of South Georgia pollinating insects in the form of the hoverfly Emistahs croceunaculata Jacobs (Diptera Syrphidae) and the blowfly Calliphora a mum Robineau Desvoidy (Diptera Calliphoridae) The floricolous adults of these two species provide a new ecological role pollination in the ecosystems of this island The activity of their respectively saprophogous or necrophagous larvae will also augment that of the native insect and microarthropod soil fauna We discuss the potential new synergy between this functional group and that of a number of established non native plants reliant on insect pollinators for successful seed set and hence dispersal that are currently of persistent status with very limited local distributions</t>
  </si>
  <si>
    <t>[Convey, P.] British Antarctic Survey, NERC, Cambridge CB3 0ET, England; Old Black Bull, Carthorpe DL8 2LD, Bedale, England; [Key, R. J. D.] Nat England Alverton Court, Northallerton DL6 1AD, England</t>
  </si>
  <si>
    <t>Convey, P (corresponding author), British Antarctic Survey, NERC, High Cross,Madingley Rd, Cambridge CB3 0ET, England.</t>
  </si>
  <si>
    <t>Convey, Peter/AAV-5728-2020</t>
  </si>
  <si>
    <t>Convey, Peter/0000-0001-8497-9903</t>
  </si>
  <si>
    <t>European Commission; Natural Environment Research Council [bas0100025] Funding Source: researchfish; NERC [bas0100025] Funding Source: UKRI</t>
  </si>
  <si>
    <t>European Commission(European Union (EU)European Commission Joint Research Centre); Natural Environment Research Council(UK Research &amp; Innovation (UKRI)Natural Environment Research Council (NERC)); NERC(UK Research &amp; Innovation (UKRI)Natural Environment Research Council (NERC))</t>
  </si>
  <si>
    <t>We thank P Vernon and an anonymous reviewer for constructive and helpful comments PC is a member of the core BAS Polar Science for Planet Earth research programme Survey work in 2008/09 contributing to this publication (RSK &amp; RJDK) was undertaken inn of the South Atlantic Invasive Species Project (SAISP) co ordinated by the Royal Society for the Protection of Birds and BugLife the Invertebrate Consermon Trust and funded by the European Commission through EDF 9 This paper is also an output of the SCAR Evolution and Biodiversity in Antarctica research programme enstalis crocemaculata was identified by F Christian Thompson of the Department of Entomology Smithsonian Institution Washington</t>
  </si>
  <si>
    <t>10.1017/S095410201000057X</t>
  </si>
  <si>
    <t>WOS:000283698200007</t>
  </si>
  <si>
    <t>Rickard, GJ; Roberts, MJ; Williams, MJM; Dunn, A; Smith, MH</t>
  </si>
  <si>
    <t>Rickard, Graham J.; Roberts, Malcolm J.; Williams, Michael J. M.; Dunn, Alistair; Smith, Murray H.</t>
  </si>
  <si>
    <t>Mean circulation and hydrography in the Ross Sea sector, Southern Ocean representation in numerical models</t>
  </si>
  <si>
    <t>Antarctica; coastal currents; gyre transport; modelling; sea ice; validation</t>
  </si>
  <si>
    <t>TRANSPORT; TEMPERATURE; VARIABILITY; WIND</t>
  </si>
  <si>
    <t>Three models were used to look it the Southern Ocean Ross Sea sector circulation rind hydrography Two were climate models of low, (1 degrees) to intermediate resolution (1/3 degrees) and one was in operational high resolution (Ill 0) ocean model Despite model differences (including physics and forme.) mean and monthly variability aspects of off shelf circulation are consistently represented rind could imply bathymetric constraints Western and eastern cyclonic gyral systems separated by shallow bathymetry around 180 E redistributing writer between the wider Southern Ocean and the Ross Sea ire found Some model seasonal gyral transports increases the Antarctic Circumpolar Current transport decreases Model flows at 900 m it the gyral eastern end compara favourably with float data On shelf model depth is averaged west east floss is relatively consistent with tint reconstructed from longline fishing records These flows have components associated with isopyenal gradients in both light and dense waters The climate models reproduce characteristic isopycnal layer inflections (Vs) associated with the observed Antarctic Slope Front and on shelf deep writer formation and these models transport some 4 Sv of this bottom water northwards across the outer 1000 m shelf isobath Over ill flow complexity suggests care is needed to force regional Ross Sea models</t>
  </si>
  <si>
    <t>[Rickard, Graham J.; Williams, Michael J. M.; Dunn, Alistair; Smith, Murray H.] Natl Inst Water &amp; Atmospher Res, Wellington, New Zealand; [Roberts, Malcolm J.] Met Off Hadley Ctr, Exeter EX1 3PB, Devon, England</t>
  </si>
  <si>
    <t>National Institute of Water &amp; Atmospheric Research (NIWA) - New Zealand; Met Office - UK; Hadley Centre</t>
  </si>
  <si>
    <t>Rickard, GJ (corresponding author), Natl Inst Water &amp; Atmospher Res, POB 14 901, Wellington, New Zealand.</t>
  </si>
  <si>
    <t>Williams, Michael/H-9674-2014</t>
  </si>
  <si>
    <t>rickard, graham/0000-0002-0169-4361</t>
  </si>
  <si>
    <t>New zealand Foundation for Research Science and Technology [C01X0505]; Ministry of Fisheries [ANT2006 01]; JAMSTEC; NERC; DECC/Defri [GA01101]; MoD [CBC/213/0417]; NERC [jwcrp01003] Funding Source: UKRI; Natural Environment Research Council [NER/O/S/2002/00975, jwcrp01003] Funding Source: researchfish</t>
  </si>
  <si>
    <t>New zealand Foundation for Research Science and Technology(New Zealand Foundation for Research, Science and Technology); Ministry of Fisheries; JAMSTEC; NERC(UK Research &amp; Innovation (UKRI)Natural Environment Research Council (NERC)); DECC/Defri; MoD; NERC(UK Research &amp; Innovation (UKRI)Natural Environment Research Council (NERC)); Natural Environment Research Council(UK Research &amp; Innovation (UKRI)Natural Environment Research Council (NERC))</t>
  </si>
  <si>
    <t>The authors are very grateful to the referees for greatly cilia-men the breadth and depth of our paper Thanks also to CCAMLR for allowing us to use the longline fishing reports This work was supported by the New zealand Foundation for Research Science and Technology contract C01X0505 (Ross Sea Sustainability) and Ministry of Fisheries Project ANT2006 01 The climate model integrations described in this palm were performed using the Japanese Earth Simulator supercomputer under the support of JAMSTEC The climate model work was performed as pill of the UK Japan Climate Colliboration project supported by the Foreign and Commonwealth Office Global Opportunities Fund and is jointly funded by NERC, and the Joint DECC Defra and MoD Integrated Climate Programme DECC/Defri (GA01101) MoD (CBC/213/0417_Annex C5) The Bluelink ocean model products were provided by the Commonweilth Science and Industrial Research Organisation (CSIRO) Australia Blulink is a collaboration between the Bureau of Meteorology CSIRO rind the Royal Australian Navy</t>
  </si>
  <si>
    <t>10.1017/S0954102010000246</t>
  </si>
  <si>
    <t>WOS:000283698200011</t>
  </si>
  <si>
    <t>Hobbs, WR; Raphael, MN</t>
  </si>
  <si>
    <t>Hobbs, W. R.; Raphael, M. N.</t>
  </si>
  <si>
    <t>The Pacific zonal asymmetry and its influence on Southern Hemisphere sea ice variability</t>
  </si>
  <si>
    <t>Antarctica; ocean atmosphere interaction; polar change; sea ice; zonal waves</t>
  </si>
  <si>
    <t>CIRCULATION; IMPACTS; TRENDS; WAVES</t>
  </si>
  <si>
    <t>At monthly and annual timescales the zonally asymmetric circulation over the Southern Ocean is dominated by two quasi stationary anticyclones 1 western anticyclone approximately located south of New Zealand and an eastern anticyclone located over the Drake Passage region In this research their influence on late 20th century Antarctic sea ice is explored During early winter sea ice in the Weddell Amundsen and Bellingshausen seas is influenced by the location of the east anticyclone During late winter the strength and location of the west anticyclone influences sea ice primarily in the Ross and Amundsen seas The anticyclones have some effect on wind driven sea ice motion but the primary mechanism explaining then link to sea ice appears to be meridional atmospheric thermal advection A western shift in the west anticyclone may be partly responsible for observed increases in ice cover in the Ross Sea over the late 20th century but there is little evidence in existing data to support a link between the east anticyclone and observed sea ice trends</t>
  </si>
  <si>
    <t>[Hobbs, W. R.; Raphael, M. N.] Univ Calif Los Angeles, Dept Geog, Los Angeles, CA 90095 USA</t>
  </si>
  <si>
    <t>University of California System; University of California Los Angeles</t>
  </si>
  <si>
    <t>Hobbs, WR (corresponding author), Univ Calif Los Angeles, Dept Geog, 1255 Bunche Hall, Los Angeles, CA 90095 USA.</t>
  </si>
  <si>
    <t>Hobbs, Will/P-8094-2019</t>
  </si>
  <si>
    <t>Hobbs, Will/0000-0002-2061-0899</t>
  </si>
  <si>
    <t>National Science Foundation [ATM 0327268]; UCLA</t>
  </si>
  <si>
    <t>National Science Foundation(National Science Foundation (NSF)); UCLA(University of California System)</t>
  </si>
  <si>
    <t>This work was funded jointly between the National Science Foundation's grant #ATM 0327268 and the UCLA Chancellor s Dissertation Year Fellowship NCEP/NCAR reanalysis data were provided by the NOAA PSD (http// www cdc noaa gov) ERA 40 reanalysis data were provided by the ECMWF (http //www ecmwf int) and Pathfinder sea ice motion data was provided by NSIDC (htto//nsuic org data/pathfinders/index html) The authors give special thanks to Sharon Stammerjohn for provision of her sea ice duration data and for several helpful discussions The authors also thank the reviewers for their comments which have improved this manuscript</t>
  </si>
  <si>
    <t>10.1017/S0954102010000283</t>
  </si>
  <si>
    <t>WOS:000283698200012</t>
  </si>
  <si>
    <t>Dimitrova, S; Pavlova, K; Lukanov, L; Zagorchev, P</t>
  </si>
  <si>
    <t>Dimitrova, Stela; Pavlova, Kostantsa; Lukanov, Ludmil; Zagorchev, Plamen</t>
  </si>
  <si>
    <t>Synthesis of Coenzyme Q10 and β-carotene by Yeasts Isolated from Antarctic Soil and Lichen in Response to Ultraviolet and Visible Radiations</t>
  </si>
  <si>
    <t>APPLIED BIOCHEMISTRY AND BIOTECHNOLOGY</t>
  </si>
  <si>
    <t>S. salmonicolor AL(1); C. albidus AS(55); C. laurentii AS(56); C. laurentii AS(58); beta-carotene; Coenzyme Q(10); UV; Vis</t>
  </si>
  <si>
    <t>The effect of different doses of visible (Vis), ultraviolet-D (UVA), and mixed light (UVA + Vis) upon coenzyme Q(10) (CoQ(10)) and beta-carotene synthesis and biomass yield by the Sporobolomyces salmonicolor AL(1), Cryptococcus albidus AS(55), Cryptococcus laurentii AS(56), and C. laurentii AS(58) strains isolated from Antarctic samples was investigated. The beta-carotene concentration in the red strain biomass increased by 52% under irradiation with 11 J/cm(2) Vis, and the CoQ(10) concentration rose by 37% in relation to the control quantity obtained through dark cultivation. Under irradiation with 6 J/cm(2) UVA, the S. salmonicolor AL(1) strain synthesized 15% more beta-carotene; C. albidus AS(55), 22%; C. laurentii AS(56), 44%; and C. laurentii AS(58), 35% in relation to the control quantity. Irradiation with a low UVD + Vis dose significantly stimulated beta-carotene biosynthesis by the strains of the Cryptococcus genus (87%, 138%, and 100%), whereas S. salmonicolor AL(1) increased the beta-carotene content to a smaller degree (55%). Higher doses of all three irradiation types inhibited beta-carotene accumulation. Vis suppressed CoQ(10) biosynthesis in the Cryptococcus strains, whereas UVD and UVD + Vis inhibited it in all four strains. The S. salmonicolor AL(1) strain pre-treated with 0.02 J/cm(2) UVA synthesized twice as much CoQ(10) and beta-carotene when cultivated in the presence of Vis light in an 11-J/cm(2) dose.</t>
  </si>
  <si>
    <t>[Dimitrova, Stela; Lukanov, Ludmil] Med Univ, Dept Chem &amp; Biochem, Plovdiv 4002, Bulgaria; [Zagorchev, Plamen] Med Univ, Dept Phys &amp; Biophys, Plovdiv 4002, Bulgaria; [Pavlova, Kostantsa] Bulgarian Acad Sci, Inst Microbiol, Plovdiv 4000, Bulgaria</t>
  </si>
  <si>
    <t>Medical University Plovdiv; Medical University Plovdiv; Bulgarian Academy of Sciences; Medical University Plovdiv</t>
  </si>
  <si>
    <t>Dimitrova, S (corresponding author), Med Univ, Dept Chem &amp; Biochem, V Aprilov Blvd 15A, Plovdiv 4002, Bulgaria.</t>
  </si>
  <si>
    <t>szd@abv.bg</t>
  </si>
  <si>
    <t>Zagorchev, Plamen/0000-0001-9780-0538; Dimitrova, Stela/0000-0001-5831-2574</t>
  </si>
  <si>
    <t>National Fund Scientific Investigation [B-1615]</t>
  </si>
  <si>
    <t>National Fund Scientific Investigation</t>
  </si>
  <si>
    <t>The study was supported by Grant B-1615 from the National Fund Scientific Investigation.</t>
  </si>
  <si>
    <t>0273-2289</t>
  </si>
  <si>
    <t>1559-0291</t>
  </si>
  <si>
    <t>APPL BIOCHEM BIOTECH</t>
  </si>
  <si>
    <t>Appl. Biochem. Biotechnol.</t>
  </si>
  <si>
    <t>10.1007/s12010-009-8845-z</t>
  </si>
  <si>
    <t>Biochemistry &amp; Molecular Biology; Biotechnology &amp; Applied Microbiology</t>
  </si>
  <si>
    <t>602ZU</t>
  </si>
  <si>
    <t>WOS:000278178500016</t>
  </si>
  <si>
    <t>Burton, MG</t>
  </si>
  <si>
    <t>Burton, Michael G.</t>
  </si>
  <si>
    <t>Astronomy in Antarctica</t>
  </si>
  <si>
    <t>ASTRONOMY AND ASTROPHYSICS REVIEW</t>
  </si>
  <si>
    <t>Methods: observational; Telescopes; Site testing; Atmospheric effects; Astroparticle physics; Cosmic background radiation</t>
  </si>
  <si>
    <t>OPTICAL TURBULENCE SIMULATIONS; SMALL-SCALE ANISOTROPY; MASSIVE STAR-FORMATION; FULL-DISK OBSERVATIONS; 2-M CLASS TELESCOPE; C-I EMISSION; DOME-C; SOUTH-POLE; SKY BRIGHTNESS; PHOTODISSOCIATION REGIONS</t>
  </si>
  <si>
    <t>Antarctica provides a unique environment for astronomers to practice their trade. The cold, dry and stable air found above the high Antarctic plateau, as well as the pure ice below, offers new opportunities for the conduct of observational astronomy across both the photon and the particle spectrum. The summits of the Antarctic plateau provide the best seeing conditions, the darkest skies and the most transparent atmosphere of any earth-based observing site. Astronomical activities are now underway at four plateau sites: the Amundsen-Scott South Pole Station, Concordia Station at Dome C, Kunlun Station at Dome A and Fuji Station at Dome F, in addition to long duration ballooning from the coastal station of McMurdo, at stations run by the USA, France/Italy, China, Japan and the USA, respectively. The astronomy conducted from Antarctica includes optical, infrared, terahertz and sub-millimetre astronomy, measurements of cosmic microwave background anisotropies, solar astronomy, as well as high energy astrophysics involving the measurement of cosmic rays, gamma rays and neutrinos. Antarctica is also the richest source of meteorites on our planet. An extensive range of site testing measurements have been made over the high plateau sites. In this article, we summarise the facets of Antarctica that are driving developments in astronomy there, and review the results of the site testing experiments undertaken to quantify those characteristics of the Antarctic plateau relevant for astronomical observation. We also outline the historical development of the astronomy on the continent, and then review the principal scientific results to have emerged over the past three decades of activity in the discipline. These range from determination of the dominant frequencies of the 5 min solar oscillation in 1979 to the highest angular scale measurements yet made of the power spectrum of the CMBR anisotropies in 2010. They span through infrared views of the galactic ecology in star formation complexes in 1999, the first clear demonstration that the Universe was flat in 2000, the first detection of polarization in the CMBR in 2002, the mapping of the warm molecular gas across the similar to 300 pc extent of the Central Molecular Zone of our Galaxy in 2003, the measurement of cosmic neutrinos in 2005, and imaging of the thermal Sunyaev Zel'dovich effect in galaxy clusters in 2008. This review also discusses how science is conducted in Antarctica, and in particular the difficulties, as well as the advantages, faced by astronomers seeking to bring their experiments there. It also reviews some of the political issues that will be encountered, both at national and international level. Finally, the review discusses where Antarctic astronomy may be heading in the coming decade, in particular plans for infrared and terahertz astronomy, including the new facilities being considered for these wavebands at the high plateau stations.</t>
  </si>
  <si>
    <t>Univ New S Wales, Sch Phys, Sydney, NSW 2052, Australia</t>
  </si>
  <si>
    <t>University of New South Wales Sydney</t>
  </si>
  <si>
    <t>Burton, MG (corresponding author), Univ New S Wales, Sch Phys, Sydney, NSW 2052, Australia.</t>
  </si>
  <si>
    <t>m.burton@unsw.edu.au</t>
  </si>
  <si>
    <t>Burton, Michael/0000-0001-7289-1998</t>
  </si>
  <si>
    <t>0935-4956</t>
  </si>
  <si>
    <t>1432-0754</t>
  </si>
  <si>
    <t>ASTRON ASTROPHYS REV</t>
  </si>
  <si>
    <t>Astron. Astrophys. Rev.</t>
  </si>
  <si>
    <t>10.1007/s00159-010-0032-2</t>
  </si>
  <si>
    <t>662PO</t>
  </si>
  <si>
    <t>WOS:000282824000001</t>
  </si>
  <si>
    <t>Pezza, AB; Simmonds, I; Coelho, CAS</t>
  </si>
  <si>
    <t>Pezza, Alexandre Bernardes; Simmonds, Ian; Coelho, Caio A. S.</t>
  </si>
  <si>
    <t>The unusual Buenos Aires snowfall of July 2007</t>
  </si>
  <si>
    <t>ATMOSPHERIC SCIENCE LETTERS</t>
  </si>
  <si>
    <t>cold surges; anticyclones; automatic tracking schemes; Buenos Aires snowfall</t>
  </si>
  <si>
    <t>SOUTH-AMERICA; INCURSIONS</t>
  </si>
  <si>
    <t>Buenos Aires lies near the east coast of South America at about 34 degrees S where snow is extremely rare. The only events measured in the city had occurred before 1930. The high latitude causes of the widespread snowstorm of 9th July 2007 are discussed, making it an extraordinary case in light of the historical record. Here, we show that this event can be linked to unprecedented seasonal circulation anomalies in the sub-Antarctic, featuring a dipole around the Antarctic Peninsula that drives the cold advection toward mid-latitudes. Our index suggests that conditions have become more favorable for cold surges over mid-latitudes with a repetition of widespread snow over mid-latitudes in 2009. Copyright (C) 2010 Royal Meteorological Society</t>
  </si>
  <si>
    <t>[Pezza, Alexandre Bernardes; Simmonds, Ian] Univ Melbourne, Sch Earth Sci, Melbourne, Vic 3010, Australia; [Coelho, Caio A. S.] Inst Nacl Pesquisas Espaciais, Ctr Previsao Tempo &amp; Estudos Climaticos, Cachoeira Paulista, Brazil</t>
  </si>
  <si>
    <t>University of Melbourne; Melbourne Bioinformatics; Instituto Nacional de Pesquisas Espaciais (INPE)</t>
  </si>
  <si>
    <t>Pezza, AB (corresponding author), Univ Melbourne, Sch Earth Sci, Melbourne, Vic 3010, Australia.</t>
  </si>
  <si>
    <t>apezza@unimelb.edu.au</t>
  </si>
  <si>
    <t>Coelho, Caio AS/G-4275-2012</t>
  </si>
  <si>
    <t>Simmonds, Ian/0000-0002-4479-3255</t>
  </si>
  <si>
    <t>Australian Research Council; Australian Antarctic Science Advisory Committee; Fundacao de Amparo a Pesquisa do Estado de Sao Paulo (FAPESP) [2005/05210-7, 2006/02497-6]</t>
  </si>
  <si>
    <t>Australian Research Council(Australian Research Council); Australian Antarctic Science Advisory Committee; Fundacao de Amparo a Pesquisa do Estado de Sao Paulo (FAPESP)(Fundacao de Amparo a Pesquisa do Estado de Sao Paulo (FAPESP))</t>
  </si>
  <si>
    <t>ABP and IS would like to thank the Australian Research Council and the Australian Antarctic Science Advisory Committee for funding parts of this work. CASC was supported by Fundacao de Amparo a Pesquisa do Estado de Sao Paulo (FAPESP), Processes 2005/05210-7 and 2006/02497-6. ABP would also like to thank K. Keay for the help with the automatic tracking scheme used in this work, and to M. Seluchi, G. Escobar and J. Marengo (CPTEC/INPE) for discussions during an early phase of this manuscript. We also thank an anonymous reviewer and Dr Brant Liebmann for very positive discussions and suggestions.</t>
  </si>
  <si>
    <t>1530-261X</t>
  </si>
  <si>
    <t>ATMOS SCI LETT</t>
  </si>
  <si>
    <t>Atmos. Sci. Lett.</t>
  </si>
  <si>
    <t>OCT-DEC</t>
  </si>
  <si>
    <t>10.1002/asl.283</t>
  </si>
  <si>
    <t>Geochemistry &amp; Geophysics; Meteorology &amp; Atmospheric Sciences</t>
  </si>
  <si>
    <t>691FM</t>
  </si>
  <si>
    <t>WOS:000285065700002</t>
  </si>
  <si>
    <t>Yamamoto, T; Takahashi, A; Katsumata, N; Sato, K; Trathan, PN</t>
  </si>
  <si>
    <t>Yamamoto, Takashi; Takahashi, Akinori; Katsumata, Nobuhiro; Sato, Katsufumi; Trathan, Philip N.</t>
  </si>
  <si>
    <t>AT-SEA DISTRIBUTION AND BEHAVIOR OF STREAKED SHEARWATERS (CALONECTRIS LEUCOMELAS) DURING THE NONBREEDING PERIOD</t>
  </si>
  <si>
    <t>AUK</t>
  </si>
  <si>
    <t>activity; Calonectris leucomelas; migrate; seabird; Streaked Shearwater; subsurface predators; tropical; winter</t>
  </si>
  <si>
    <t>PELAGIC SEABIRD; SURFACE TEMPERATURE; FEEDING ECOLOGY; PACIFIC-OCEAN; NORTH PACIFIC; TOP PREDATOR; MIGRATION; GEOLOCATION; TRACKING; HABITAT</t>
  </si>
  <si>
    <t>Streaked Shearwaters (Calonectris leucomelas) breed in temperate regions of East and Southeast Asia and have been thought to migrate to tropical regions near the Equator after breeding. We documented the migratory and foraging behavior of this species using global location sensors (GLS). The GLS loggers were attached to 48 breeding birds in 2006 and were subsequently recovered from 38 birds in the following year. The Streaked Shearwaters migrated from the seas around Japan to three wintering areas in the tropics, the seas off northern New Guinea, the Arafura Sea, and the South China Sea (4,000, 5,400, and 3,500 km from the breeding colony, respectively). Most Streaked Shearwaters wintered off northern New Guinea, an area of low primary productivity but high Skipjack Tuna (Katsuwonus pelamis) abundance. Streaked Shearwaters flew for longer periods and landed on the water more frequently around dawn and dusk during the wintering period. This pattern of activity is similar to that of subsurface predators such as tuna, and to that of tropical seabirds that are known to feed with subsurface predators. We suggest that Streaked Shearwaters probably forage in association with subsurface predators in the tropical oceans during the wintering period. Foraging in association with subsurface predators and morphological adaptations for gliding may allow Streaked Shearwaters to forage efficiently in both temperate and tropical environments. Received 9 February 2010, accepted 3 July 2010.</t>
  </si>
  <si>
    <t>[Yamamoto, Takashi; Takahashi, Akinori] Grad Univ Adv Studies, Dept Polar Sci, Tokyo 1908518, Japan; [Takahashi, Akinori] Natl Inst Polar Res, Tokyo 1908518, Japan; [Katsumata, Nobuhiro; Sato, Katsufumi] Univ Tokyo, Ocean Res Inst, Int Coastal Res Ctr, Otsuchi, Iwate 0281102, Japan; [Trathan, Philip N.] British Antarctic Survey, Nat Environm Res Council, Cambridge CB3 0ET, England</t>
  </si>
  <si>
    <t>Graduate University for Advanced Studies - Japan; Research Organization of Information &amp; Systems (ROIS); National Institute of Polar Research (NIPR) - Japan; University of Tokyo; UK Research &amp; Innovation (UKRI); Natural Environment Research Council (NERC); NERC British Antarctic Survey</t>
  </si>
  <si>
    <t>Yamamoto, T (corresponding author), Grad Univ Adv Studies, Dept Polar Sci, 10-3 Midoricho, Tokyo 1908518, Japan.</t>
  </si>
  <si>
    <t>taka.y@nipr.ac.jp</t>
  </si>
  <si>
    <t>Japan Society for the Promotion of Science [19651100, 19255001]; NERC [bas0100025] Funding Source: UKRI; Natural Environment Research Council [bas0100025] Funding Source: researchfish; Grants-in-Aid for Scientific Research [19255001, 19651100, 20241001] Funding Source: KAKEN</t>
  </si>
  <si>
    <t>Japan Society for the Promotion of Science(Ministry of Education, Culture, Sports, Science and Technology, Japan (MEXT)Japan Society for the Promotion of Science);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</si>
  <si>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are very grateful to N. Miura for providing transport to the study site and to the staff at the International Coastal Research Center, Ocean Research Institute, University of Tokyo, for their kind support in the field. We also thank K. Yoda, Y. Mori, D. Ochi, K. Matsumoto, N. Oka, and N. Kokubun for their insights; S. Watanabe, K. Watanabe, and Y. Hirose for their assistance in the field; and V. Afanasyev and J. Fox for developing the data-logging devices. Two anonymous reviewers and J. Piatt provided valuable comments on the manuscript. This work was supported by Japan Society for the Promotion of Science research grants (19651100 to A.T. and 19255001 to K.S.). All animal experiments were approved by the Animal Experimental Committee of the University of Tokyo and conducted in accordance with the Guidelines for the Care of Experimental Animals. This work was conducted with permits from the Ministry of the Environment and the Agency for Cultural Affairs. The Ocean Color Web is at oceancolor.gsfc.nasa.gov/. For ETOPO2 grids from the National Geophysical Data Center, see www.ngdc.noaa.gov/mgg/gdas/gd_designagrid.html.</t>
  </si>
  <si>
    <t>0004-8038</t>
  </si>
  <si>
    <t>1938-4254</t>
  </si>
  <si>
    <t>10.1525/auk.2010.10029</t>
  </si>
  <si>
    <t>679XZ</t>
  </si>
  <si>
    <t>WOS:000284195400015</t>
  </si>
  <si>
    <t>Laparie, M; Lebouvier, M; Lalouette, L; Renault, D</t>
  </si>
  <si>
    <t>Laparie, M.; Lebouvier, M.; Lalouette, L.; Renault, D.</t>
  </si>
  <si>
    <t>Variation of morphometric traits in populations of an invasive carabid predator (Merizodus soledadinus) within a sub-Antarctic island</t>
  </si>
  <si>
    <t>BIOLOGICAL INVASIONS</t>
  </si>
  <si>
    <t>Trophic resources; Phenotypic plasticity; Morphometrics; Body size; Biological invasion; Insect; Predator; Gender; Sub-Antarctic islands</t>
  </si>
  <si>
    <t>SEXUAL SIZE DIMORPHISM; LIFE-HISTORY TRAITS; MELANOPLUS-FEMURRUBRUM ORTHOPTERA; GROUND BEETLES COLEOPTERA; BODY-SIZE; PHENOTYPIC PLASTICITY; LATITUDINAL CLINES; STRESS RESISTANCE; FOOD LIMITATION; REPRODUCTION</t>
  </si>
  <si>
    <t>Invasive predators may change their own trophic conditions by progressively displacing or reducing diversity and abundance of native prey. As food quality and quantity are two main factors determining adult body size in arthropods, alteration of the available resources may thus affect predators' morphology. The flightless carabid beetle Merizodus soledadinus was accidentally introduced to Iles Kerguelen in a single site in 1913. Its successful spreading process has been monitored over the long term, providing an exceptional research opportunity with multiple snapshots of similar colonized sites mostly differing by the residence time of M. soledadinus. To test if M. soledadinus' morphology is correlated with its residence time in each habitat, we measured nine morphometric traits in five populations. We detected significant morphological differences: individuals from the first colonized site were the smallest, whereas individuals from the most recently colonized site were the largest. Our study also highlighted among-site variation in sexual dimorphism of the last abdominal sternite: its length differed between sites for females, but not for males. We discuss this diminution of M. soledadinus' size in the light of both a priori (development under diet restriction, survival) and a posteriori (intrapopulation competition, cannibalism) effects on growth and development.</t>
  </si>
  <si>
    <t>[Laparie, M.; Lebouvier, M.; Renault, D.] Univ Rennes 1, Stn Biol Paimpont, CNRS, UMR Ecobio 6553, F-35380 Paimpont, France; [Lalouette, L.; Renault, D.] Univ Rennes 1, CNRS, UMR Ecobio 35380, F-35042 Rennes, France</t>
  </si>
  <si>
    <t>Centre National de la Recherche Scientifique (CNRS); Universite de Rennes; Universite de Rennes; Centre National de la Recherche Scientifique (CNRS)</t>
  </si>
  <si>
    <t>Laparie, M (corresponding author), Univ Rennes 1, Stn Biol Paimpont, CNRS, UMR Ecobio 6553, F-35380 Paimpont, France.</t>
  </si>
  <si>
    <t>mathieu.laparie@univ-rennes1.fr</t>
  </si>
  <si>
    <t>RENAULT, David/0000-0003-3644-1759</t>
  </si>
  <si>
    <t>Institut Polaire Francais (IPEV) [136]; CNRS (Zone-Atelier de Recherches sur l'Environnement Antarctique et Subantarctique); Agence Nationale de la Recherche</t>
  </si>
  <si>
    <t>Institut Polaire Francais (IPEV); CNRS (Zone-Atelier de Recherches sur l'Environnement Antarctique et Subantarctique)(Centre National de la Recherche Scientifique (CNRS)); Agence Nationale de la Recherche(Agence Nationale de la Recherche (ANR))</t>
  </si>
  <si>
    <t>This research was supported by the Institut Polaire Francais (IPEV, programme 136), the CNRS (Zone-Atelier de Recherches sur l'Environnement Antarctique et Subantarctique), and the Agence Nationale de la Recherche (programme EVINCE 2007, Vulnerability of native communities to invasive insects and climate change in sub-Antarctic Islands). This research is linked to the SCAR Evolution and Biodiversity in the Antarctic research programme. We are grateful to Y. Frenot, P. Vernon and two anonymous referees for helpful comments and improvement of earlier versions of the manuscript.</t>
  </si>
  <si>
    <t>1387-3547</t>
  </si>
  <si>
    <t>1573-1464</t>
  </si>
  <si>
    <t>BIOL INVASIONS</t>
  </si>
  <si>
    <t>Biol. Invasions</t>
  </si>
  <si>
    <t>10.1007/s10530-010-9739-2</t>
  </si>
  <si>
    <t>652CA</t>
  </si>
  <si>
    <t>WOS:000281977200004</t>
  </si>
  <si>
    <t>Collins, T; Matzapetakis, M; Santos, H</t>
  </si>
  <si>
    <t>Collins, Tony; Matzapetakis, Manolis; Santos, Helena</t>
  </si>
  <si>
    <t>Backbone and side chain 1H, 15N and 13C assignments for a thiol-disulphide oxidoreductase from the Antarctic bacterium Pseudoalteromonas haloplanktis TAC125</t>
  </si>
  <si>
    <t>BIOMOLECULAR NMR ASSIGNMENTS</t>
  </si>
  <si>
    <t>Cold-adapted enzymes; DsbA; Reduced oxidoreductase; Pseudoalteromonas haloplanktis TAC125</t>
  </si>
  <si>
    <t>FLEXIBILITY; DSBA; ENZYMES; COLD; NMR</t>
  </si>
  <si>
    <t>Enzymes produced by psychrophilic organisms have successfully overcome the low temperature challenge and evolved to maintain high catalytic rates in their permanently cold environments. As an initial step in our attempt to elucidate the cold-adaptation strategies used by these enzymes we report here the H-1, N-15 and C-13 assignments for the reduced form of a thiol-disulphide oxidoreductase from the Antarctic bacterium Pseudoalteromonas haloplanktis TAC125.</t>
  </si>
  <si>
    <t>[Collins, Tony; Matzapetakis, Manolis; Santos, Helena] Univ Nova Lisboa, Inst Tecnol Quim &amp; Biol, P-2780156 Oeiras, Portugal</t>
  </si>
  <si>
    <t>Universidade Nova de Lisboa</t>
  </si>
  <si>
    <t>Matzapetakis, M (corresponding author), Univ Nova Lisboa, Inst Tecnol Quim &amp; Biol, Rua Quinta Grande 6,Apartado 127, P-2780156 Oeiras, Portugal.</t>
  </si>
  <si>
    <t>matzman@itqb.unl.pt</t>
  </si>
  <si>
    <t>Matzapetakis, Manolis/AAH-2609-2019; Santos, Helena/B-9141-2011; Collins, Tony/A-3484-2012</t>
  </si>
  <si>
    <t>Matzapetakis, Manolis/0000-0001-9730-0621; Santos, Helena/0000-0002-8050-9485; Collins, Tony/0000-0002-4167-973X</t>
  </si>
  <si>
    <t>Programa Operacional Ciencia e Inovacao (POCTI); Fundacao para a Ciencia e a Tecnologia (FCT); FCT; FEDER [POCI/BIA-PRO/57263/2004, PTDC/BIO/70806/2006]; EMBO; Fundacao para a Ciencia e Tecnologia; Fundação para a Ciência e a Tecnologia [PD/BD/138116/2018, POCI/BIA-PRO/57263/2004, PTDC/BIO/70806/2006] Funding Source: FCT</t>
  </si>
  <si>
    <t>Programa Operacional Ciencia e Inovacao (POCTI); Fundacao para a Ciencia e a Tecnologia (FCT)(Fundacao para a Ciencia e a Tecnologia (FCT)); FCT(Fundacao para a Ciencia e a Tecnologia (FCT)); FEDER(European Union (EU)Spanish Government); EMBO(European Molecular Biology Organization (EMBO)); Fundacao para a Ciencia e Tecnologia(Fundacao para a Ciencia e a Tecnologia (FCT)); Fundação para a Ciência e a Tecnologia(Fundacao para a Ciencia e a Tecnologia (FCT))</t>
  </si>
  <si>
    <t>The NMR spectrometers are part of The National NMR Network (REDE/1517/RMN/2005), supported by Programa Operacional Ciencia e Inovacao (POCTI) 2010'' and Fundacao para a Ciencia e a Tecnologia (FCT). This work was funded by FCT, POCTI and FEDER; Projects POCI/BIA-PRO/57263/2004 and PTDC/BIO/70806/2006. TC is holder of a long term EMBO fellowship. MM is thankful to the Fundacao para a Ciencia e Tecnologia for its support through Programa Ciencia 2007.</t>
  </si>
  <si>
    <t>1874-2718</t>
  </si>
  <si>
    <t>BIOMOL NMR ASSIGN</t>
  </si>
  <si>
    <t>Biomol. NMR Assign.</t>
  </si>
  <si>
    <t>10.1007/s12104-010-9230-0</t>
  </si>
  <si>
    <t>Biophysics; Spectroscopy</t>
  </si>
  <si>
    <t>656GT</t>
  </si>
  <si>
    <t>WOS:000282317100008</t>
  </si>
  <si>
    <t>Tundisi, JG; Matsumura-Tundisi, T; Pereira, KC; Luzia, AP; Passerini, MD; Chiba, WAC; Morais, MA; Sebastien, NY</t>
  </si>
  <si>
    <t>Tundisi, J. G.; Matsumura-Tundisi, T.; Pereira, K. C.; Luzia, A. P.; Passerini, M. D.; Chiba, W. A. C.; Morais, M. A.; Sebastien, N. Y.</t>
  </si>
  <si>
    <t>Cold fronts and reservoir limnology: an integrated approach towards the ecological dynamics of freshwater ecosystems</t>
  </si>
  <si>
    <t>BRAZILIAN JOURNAL OF BIOLOGY</t>
  </si>
  <si>
    <t>cold fronts; ecological dynamics; reservoirs stability turbulence; cyanobacteria blooms water quality</t>
  </si>
  <si>
    <t>In this paper the authors discuss the effects of cold fronts on the dynamics of freshwater ecosystems of southeast South America Cold fronts originating from the Antarctic show a monthly frequency that promotes turbulence and vertical mixing in reservoirs with a consequence to homogenize nutrient distribution, dissolved oxygen and temperature Weak thermoclines and the athelomixis process immediately before during and after the passage of cold fronts interfere with phytoplankton succession in reservoirs Cyanobacteria blooms in eutrophic reservoirs are frequently connected with periods of stratification and stability of the water column Cold fronts in the Amazon and Pantanal lakes may produce fish killings during the process of friagem associated mixing events Further studies will try to implement a model to predict the impact of cold fronts and prepare management procedures in order to cope with cyanobacteria blooms during warm and stable water column periods Changes in water quality of reservoirs are expected during circulation periods caused by cold fronts</t>
  </si>
  <si>
    <t>[Tundisi, J. G.; Matsumura-Tundisi, T.; Pereira, K. C.; Luzia, A. P.; Passerini, M. D.; Chiba, W. A. C.; Morais, M. A.] IIE, Ctr 750, BR-13560660 Sao Carlos, SP, Brazil; [Sebastien, N. Y.] Univ Estadual Oeste Parana UNIOESTE, Ctr Ciencias Exatas &amp; Tecnol, BR-85903000 Toledo, PR, Brazil</t>
  </si>
  <si>
    <t>Universidade Estadual do Oeste do Parana</t>
  </si>
  <si>
    <t>Tundisi, JG (corresponding author), IIE, Ctr 750, Rua Bento Carlos, BR-13560660 Sao Carlos, SP, Brazil.</t>
  </si>
  <si>
    <t>Chiba, Wagner/K-2912-2014; Passerini, Mariana/J-6205-2015</t>
  </si>
  <si>
    <t>Chiba, Wagner/0000-0002-6349-8999;</t>
  </si>
  <si>
    <t>FAPESP; CNPQ; FINEP; Secretaria do Verde e Meio Ambtente Prefeitura Municipal de S Paulo [056/SVMA/2008]; DERSA (Government of S Paulo State); Biota FAPESP</t>
  </si>
  <si>
    <t>FAPESP(Fundacao de Amparo a Pesquisa do Estado de Sao Paulo (FAPESP)); CNPQ(Conselho Nacional de Desenvolvimento Cientifico e Tecnologico (CNPQ)); FINEP(Financiadora de Inovacao e Pesquisa (Finep)); Secretaria do Verde e Meio Ambtente Prefeitura Municipal de S Paulo; DERSA (Government of S Paulo State); Biota FAPESP(Fundacao de Amparo a Pesquisa do Estado de Sao Paulo (FAPESP))</t>
  </si>
  <si>
    <t>The authors thank FAPESP CNPQ FINEP for many years of support for their reservoir ecosystem work The author thank the Secretaria do Verde e Meio Ambtente Prefeitura Municipal de S Paulo Process number 056/SVMA/2008 for the support to their work in the guarapiranga/Billing reservoirs Also the support of DERSA (Government of S Paulo State) is gratefully acknowledged Biota FAPESP supported field work</t>
  </si>
  <si>
    <t>INT INST ECOLOGY</t>
  </si>
  <si>
    <t>SAO CARLOS</t>
  </si>
  <si>
    <t>RUA BENTO CARLOS, 750 - CENTRO, SAO CARLOS, SP 00000, BRAZIL</t>
  </si>
  <si>
    <t>1519-6984</t>
  </si>
  <si>
    <t>BRAZ J BIOL</t>
  </si>
  <si>
    <t>Braz. J. Biol.</t>
  </si>
  <si>
    <t>S</t>
  </si>
  <si>
    <t>10.1590/S1519-69842010000400012</t>
  </si>
  <si>
    <t>686ZE</t>
  </si>
  <si>
    <t>Green Published, Green Submitted, gold</t>
  </si>
  <si>
    <t>WOS:000284740200013</t>
  </si>
  <si>
    <t>Crelier, AM; Dadon, JR; Isbert-Perlender, HG; Nahabedian, DE; Daponte, MC</t>
  </si>
  <si>
    <t>Maria Crelier, Alina; Roberto Dadon, Jose; Isbert-Perlender, Hernan G.; Eduardo Nahabedian, Daniel; Cristina Daponte, Maria</t>
  </si>
  <si>
    <t>DISTRIBUTION PATTERNS OF CHAETOGNATA, POLYCHAETA, PTEROPODA AND SALPIDAE OFF SOUTH GEORGIA AND SOUTH ORKNEY ISLANDS</t>
  </si>
  <si>
    <t>BRAZILIAN JOURNAL OF OCEANOGRAPHY</t>
  </si>
  <si>
    <t>Mesozooplankton distribution; Chaetognaths; Polychaetes; Pteropods; Salps; Southern Ocean; Weddell-Scotia Confluence</t>
  </si>
  <si>
    <t>ANTARCTIC CIRCUMPOLAR CURRENT; MESOZOOPLANKTON COMMUNITY STRUCTURE; CURRENT FRONT; NORTH; OCEAN; VARIABILITY</t>
  </si>
  <si>
    <t>The distribution pattern, frequency and density (ind./1000 m) of different mesozooplankton species from the South Georgia Islands, South Orkney Islands and the Weddell-Scotia Confluence were analyzed using data obtained in 1994. The maximum densities of the species found were: Eukrohnia hamata (5330), Sagitta gazellae (1052), Clione limacina antarctica (450), Spongiobranchaea australis (375), Clio sulcata (100), Limacina helicina (4076 x 10(3)), Limacina retroversa (71 x 10(4)), Pelagobia longicirrata (29170), Rhynchonereella bongraini (117), Tomopteris carpenterii (26), Tomopteris planktonis (498), Tomopteris septentrionales (498) and Salpa thompsoni (189). Species density and frequency decreased from South Georgia to the South Orkney Islands, recording intermediate values at the Weddell-Scotia Confluence. Species density in the South Orkney area seemed to be limited by variations in temperature and salinity. The southern area around South Georgia showed the highest density of species, probably due to the influence of the Southern Front of the Antarctic Circumpolar Current. The presence of species characteristic of sub-Antarctic waters such as L. retroversa in the Confluence area could be related to the southward movements of eddies that originate in the Polar Front.</t>
  </si>
  <si>
    <t>[Maria Crelier, Alina; Eduardo Nahabedian, Daniel; Cristina Daponte, Maria] Univ Buenos Aires, Fac Ciencias Exactas &amp; Nat, Dept Biodiversidad &amp; Biol Expt, Buenos Aires, DF, Argentina; [Roberto Dadon, Jose] Univ Buenos Aires, Fac Ciencias Exactas &amp; Nat, Dept Ecol Genet &amp; Evoluc, Buenos Aires, DF, Argentina; [Isbert-Perlender, Hernan G.] Serv Naval Invest &amp; Desarrollo SENID Armada Argen, Buenos Aires, DF, Argentina</t>
  </si>
  <si>
    <t>University of Buenos Aires; University of Buenos Aires</t>
  </si>
  <si>
    <t>Daponte, MC (corresponding author), Univ Buenos Aires, Fac Ciencias Exactas &amp; Nat, Dept Biodiversidad &amp; Biol Expt, Pabellon 2,Ciudad Univ,EHA1428, Buenos Aires, DF, Argentina.</t>
  </si>
  <si>
    <t>daponte@bg.fcen.uba.ar</t>
  </si>
  <si>
    <t>Universidad de Buenos Aires [UBACYT X074]</t>
  </si>
  <si>
    <t>Universidad de Buenos Aires(University of Buenos Aires)</t>
  </si>
  <si>
    <t>We would like to thank the Instituto Antartico Argentino (IAA) and Dr. Enrique Marschoff for providing the samples. We are also grateful for the important suggestions made by the two anonymous referees. This study was funded by the project - UBACYT X074 (Universidad de Buenos Aires).</t>
  </si>
  <si>
    <t>INST OCEANOGRAFICO, UNIV SAO PAULO</t>
  </si>
  <si>
    <t>SAO PAULO</t>
  </si>
  <si>
    <t>PRACA DO OCEANOGRAFICO, 191, CIDADE UNIVERSITARIA, SAO PAULO, SP 00000, BRAZIL</t>
  </si>
  <si>
    <t>1679-8759</t>
  </si>
  <si>
    <t>1982-436X</t>
  </si>
  <si>
    <t>BRAZ J OCEANOGR</t>
  </si>
  <si>
    <t>Braz. J. Oceanogr.</t>
  </si>
  <si>
    <t>10.1590/S1679-87592010000400004</t>
  </si>
  <si>
    <t>718QP</t>
  </si>
  <si>
    <t>Green Submitted, Green Published, gold</t>
  </si>
  <si>
    <t>WOS:000287141100004</t>
  </si>
  <si>
    <t>Bouvet, M; Ramoino, F</t>
  </si>
  <si>
    <t>Bouvet, Marc; Ramoino, Fabrizio</t>
  </si>
  <si>
    <t>Radiometric intercomparison of AATSR, MERIS, and Aqua MODIS over Dome Concordia (Antarctica)</t>
  </si>
  <si>
    <t>CANADIAN JOURNAL OF REMOTE SENSING</t>
  </si>
  <si>
    <t>IN-FLIGHT CALIBRATION; REFLECTANCE; IRRADIANCE; SENSORS</t>
  </si>
  <si>
    <t>The Advanced Along-Track Scanning Radiometer (AATSR), Aqua Moderate Resolution Imaging Spectroradiometer (A-MODIS), and Medium Resolution Imaging Spectrometer (MERIS) level 1 data are compared at top-of-atmosphere level for nearly simultaneous observations carried out under nearly identical geometries. Comparisons are carried out over Dome Concordia, on the Antarctic Plateau. When comparing the radiometry of these sensors over this site, we estimate the systematic uncertainty of this methodology to be less than 3% and the random uncertainty to be about 2%. This methodology indicates that MERIS and A-MODIS bands at about 560 and 860 nm are in radiometric agreement within the systematic uncertainty of the methodology. AATSR seems to be in line with the two previous sensors at 560 and 670 nm, but differences of 4% are measured at 860 nm.</t>
  </si>
  <si>
    <t>[Bouvet, Marc; Ramoino, Fabrizio] European Space Agcy, European Space Res &amp; Technol Ctr ESA ESTEC, NL-2200 AG Noordwijk, Netherlands</t>
  </si>
  <si>
    <t>European Space Agency</t>
  </si>
  <si>
    <t>Bouvet, M (corresponding author), European Space Agcy, European Space Res &amp; Technol Ctr ESA ESTEC, Keplerlaan 1,PB 299, NL-2200 AG Noordwijk, Netherlands.</t>
  </si>
  <si>
    <t>marc.bouvet@esa.int</t>
  </si>
  <si>
    <t>0703-8992</t>
  </si>
  <si>
    <t>1712-7971</t>
  </si>
  <si>
    <t>CAN J REMOTE SENS</t>
  </si>
  <si>
    <t>Can. J. Remote Sens.</t>
  </si>
  <si>
    <t>10.5589/m10-081</t>
  </si>
  <si>
    <t>Remote Sensing</t>
  </si>
  <si>
    <t>V23QE</t>
  </si>
  <si>
    <t>WOS:000208356500004</t>
  </si>
  <si>
    <t>Cao, CY; Uprety, S; Xiong, J; Wu, AS; Jing, P; Smith, D; Chander, G; Fox, N; Ungar, S</t>
  </si>
  <si>
    <t>Cao, Changyong; Uprety, Sirish; Xiong, Jack; Wu, Aisheng; Jing, Ping; Smith, David; Chander, Gyanesh; Fox, Nigel; Ungar, Stephen</t>
  </si>
  <si>
    <t>Establishing the Antarctic Dome C community reference standard site towards consistent measurements from Earth observation satellites</t>
  </si>
  <si>
    <t>BIDIRECTIONAL REFLECTANCE; CALIBRATION; AVHRR; GREENLAND; TARGET</t>
  </si>
  <si>
    <t>Establishing satellite measurement consistency by using common desert sites has become increasingly more important not only for climate change detection but also for quantitative retrievals of geophysical variables in satellite applications. Using the Antarctic Dome C site (75 degrees 06'S, 123 degrees 21'E, elevation 3.2 km) for satellite radiometric calibration and validation (Cal/Val) is of great interest owing to its unique location and characteristics. The site surface is covered with uniformly distributed permanent snow, and the atmospheric effect is small and relatively constant. In this study, the long-term stability and spectral characteristics of this site are evaluated using well-calibrated satellite instruments such as the Moderate Resolution Imaging Spectroradiometer (MODIS) and Sea-viewing Wide Field-of-view Sensor (SeaWiFS). Preliminary results show that despite a few limitations, the site in general is stable in the long term, the bidirectional reflectance distribution function (BRDF) model works well, and the site is most suitable for the Cal/Val of reflective solar bands in the 0.4-1.0 mu m range. It was found that for the past decade, the reflectivity change of the site is within 1.35% at 0.64 mu m, and interannual variability is within 2%. The site is able to resolve calibration biases between instruments at a level of similar to 1%. The usefulness of the site is demonstrated by comparing observations from seven satellite instruments involving four space agencies, including OrbView-2-SeaWiFS, Terra-Aqua MODIS, Earth Observing 1 (EO-1) - Hyperion, Meteorological Operational satellite programme (MetOp) - Advanced Very High Resolution Radiometer (AVHRR), Envisat Medium Resolution Imaging Spectrometer (MERIS) - dvanced Along-Track Scanning Radiometer (AATSR), and Landsat 7 Enhanced Thematic Mapper Plus (ETM+). Dome C is a promising candidate site for climate quality calibration of satellite radiometers towards more consistent satellite measurements, as part of the framework for climate change detection and data quality assurance for the Global Earth Observation System of Systems (GEOSS).</t>
  </si>
  <si>
    <t>[Cao, Changyong] NOAA, Ctr Satellite Applicat &amp; Res STAR, NESDIS, Camp Springs, MD 20746 USA; [Uprety, Sirish] Perot Syst Govt Serv Inc PSGS, Fairfax, VA 22031 USA; [Xiong, Jack; Ungar, Stephen] NASA, Goddard Space Flight Ctr, Greenbelt, MD 21771 USA; [Wu, Aisheng] Sigma Space Corp, Lanham, MD USA; [Jing, Ping] IM Syst Grp Inc IMSG, Rockville, MD 20852 USA; [Smith, David] Rutherford Appleton Lab, Sci &amp; Technol Facil Council, Didcot OX11 0QX, Oxon, England; [Chander, Gyanesh] US Geol Survey, SGT Inc, Earth Resources Observat &amp; Sci EROS Ctr, Sioux Falls, SD 57198 USA; [Fox, Nigel] Natl Phys Lab, Teddington TW11 0LW, Middx, England</t>
  </si>
  <si>
    <t>National Oceanic Atmospheric Admin (NOAA) - USA; National Aeronautics &amp; Space Administration (NASA); NASA Goddard Space Flight Center; I.M. Systems Group, Inc.; UK Research &amp; Innovation (UKRI); Science &amp; Technology Facilities Council (STFC); STFC Rutherford Appleton Laboratory; United States Department of the Interior; United States Geological Survey; Stinger Ghaffarian Technologies, Inc. (SGT); National Physical Laboratory - UK</t>
  </si>
  <si>
    <t>Cao, CY (corresponding author), NOAA, Ctr Satellite Applicat &amp; Res STAR, NESDIS, Camp Springs, MD 20746 USA.</t>
  </si>
  <si>
    <t>changyong.cao@noaa.gov</t>
  </si>
  <si>
    <t>Cao, Changyong/AAP-7605-2021; Fox, Nigel/ACL-1124-2022</t>
  </si>
  <si>
    <t>Cao, Changyong/0000-0003-3572-6525; Jing, Ping/0000-0001-9579-1877</t>
  </si>
  <si>
    <t>CEOS-WGCV Dome C project; NOAA NESDIS Center for Satellite Applications and Research; NPOESS Preparatory Project (NPP) Integrated Program Office (IPO)</t>
  </si>
  <si>
    <t>CEOS-WGCV Dome C project; NOAA NESDIS Center for Satellite Applications and Research(National Oceanic Atmospheric Admin (NOAA) - USA); NPOESS Preparatory Project (NPP) Integrated Program Office (IPO)</t>
  </si>
  <si>
    <t>This study is part of the CEOS-WGCV Dome C project during 2008-2009 in support of the CEOS Strategic Implementation Team (SIT) actions and the World Meteorological Organization - Global Space-based Inter-Calibration System (WMO-GSICS). The study was partially funded by the NOAA NESDIS Center for Satellite Applications and Research, the NPOESS Preparatory Project (NPP) Integrated Program Office (IPO) - Joint Polar Satellite System (JPSS) Cal/Val program, and the respective space agencies involved. The authors would like to thank Istvan Laszlo, Pubu Ciren, and Lawrence Flynn for fruitful discussions on the atmospheric effects at Dome C. We thank Pascal Lecomte, Philippe Goryl, and Marie-Claire Greening of ESA; Bruce Guenther, Heather Kilcoyne, and Ray Godin of the IPO; Greg Stenssas of USGS; Patrice Henry of CNES; Steve Mackin of DMC International Imaging (DMCII); Stephen Hudson of the University of Washington; Petya Campbell and Lawrence Ong of GSFC; and all participating CEOS-WGCV members for their facilitation and contributions to this study. We also thank Fangfang Yu, Frank Padula, Xiangqian Wu, and Bob Iacovazzi, and the anonymous reviewers for reviewing the manuscript and providing valuable comments and suggestions. The manuscript contents are solely the opinions of the authors and do not constitute a statement of policy, decision, or position on behalf of NOAA or the US government.</t>
  </si>
  <si>
    <t>10.5589/m10-075</t>
  </si>
  <si>
    <t>WOS:000208356500007</t>
  </si>
  <si>
    <t>Le Quéré, C</t>
  </si>
  <si>
    <t>Le Quere, Corinne</t>
  </si>
  <si>
    <t>Filling the gap in scientific institutions to support global carbon management</t>
  </si>
  <si>
    <t>CARBON MANAGEMENT</t>
  </si>
  <si>
    <t>[Le Quere, Corinne] Univ E Anglia, Sch Environm Sci, Norwich NR4 7TJ, Norfolk, England; [Le Quere, Corinne] British Antarctic Survey, Cambridge CB3 0ET, England</t>
  </si>
  <si>
    <t>Le Quéré, Corinne/C-2631-2017</t>
  </si>
  <si>
    <t>Le Quéré, Corinne/0000-0003-2319-0452</t>
  </si>
  <si>
    <t>FUTURE SCI LTD</t>
  </si>
  <si>
    <t>UNITED HOUSE, 2 ALBERT PL, LONDON, N3 1QB, ENGLAND</t>
  </si>
  <si>
    <t>1758-3004</t>
  </si>
  <si>
    <t>CARBON MANAG</t>
  </si>
  <si>
    <t>Carbon Manag.</t>
  </si>
  <si>
    <t>10.4155/CMT.10.10</t>
  </si>
  <si>
    <t>Environmental Sciences; Environmental Studies</t>
  </si>
  <si>
    <t>Science Citation Index Expanded (SCI-EXPANDED); Social Science Citation Index (SSCI)</t>
  </si>
  <si>
    <t>Environmental Sciences &amp; Ecology</t>
  </si>
  <si>
    <t>V27ZB</t>
  </si>
  <si>
    <t>WOS:000208650000002</t>
  </si>
  <si>
    <t>Li, WB; Wang, RJ; Xiang, F; Ding, XH; Zhao, MX</t>
  </si>
  <si>
    <t>Li WenBao; Wang RuJian; Xiang Fei; Ding XiaoHui; Zhao MeiXun</t>
  </si>
  <si>
    <t>Sea surface temperature and subtropical front movement in the South Tasman Sea during the last 800 ka</t>
  </si>
  <si>
    <t>sea surface temperature; subtropical front; westerlies; SO ventilation; atmospheric CO2; 800 ka; southern Tasman Sea</t>
  </si>
  <si>
    <t>ATMOSPHERIC CO2; OCEAN; ICE; RECORD; SCALE; CLIMATE; CYCLES; RISE</t>
  </si>
  <si>
    <t>Hemisphere mid-latitude westerlies contribute to the ventilation of the deep Southern Ocean (SO), and drive changes in atmospheric carbon dioxide (CO2) and the global climate. As the westerlies control directly oceanic fronts, the movement of the subtropical front (STF) reflects the westerlies migration. Thus it is important to understand the relationships between STF movement and the weaterlies, ventilation of the deep SO, ice volume and atmospheric CO2. To this end, we use two new high-resolution records from early Marine Isotope Stage (MIS) 20 (similar to 800 ka) of sea surface temperature (SST) based on U (37) (k') paleo-thermometer and benthic oxygen isotope (delta O-18(B)) at Ocean Drilling Program (ODP) Site 1170B in the southern Tasman Sea (STS), to construct linkages between the marine records and atmospheric proxies from Antarctic ice-cores. During the last 800 ka, the average SST (10.2A degrees C) at Site 1170B is 1.8A degrees C lower than today (annual average 12A degrees C). The highest average SST of 11.6A degrees C occurred during MIS 1, and the lowest average SST of 7.8A degrees C occurred during MIS 2. The warmest and coldest records of 14.7A degrees C and 6.2A degrees C occurred in the MIS 5 and MIS 2, respectively. In the glacial-interglacial cycles of the last 800 ka, variability of reconstructed SST shows that the STF moved northward or southward more than 3A degrees of latitude compared with its present location. In the warmest stage MIS 5, the STF shifted to its southernmost location of similar to 49A degrees S. In contrast, in the coldest stage MIS 2, the STF moved to its northernmost location of similar to 43A degrees S. In response to orbital cycles, the westerlies movement led ice volume and atmospheric CO2 changes, but it was in phase with change in Antarctic atmospheric temperature. Ice volume only preceded atmospheric CO2 only a little at the 23-ka precession band, lagged the atmospheric CO2 at the 100-ka eccentricity band, and was in phase with atmospheric CO2 at the 40-ka obliquity band.</t>
  </si>
  <si>
    <t>[Li WenBao; Wang RuJian; Xiang Fei; Ding XiaoHui] Tongji Univ, State Key Lab Marine Geol, Shanghai 200092, Peoples R China; [Zhao MeiXun] Ocean Univ China, Inst Marine Organ Geochem, Qingdao 266100, Peoples R China</t>
  </si>
  <si>
    <t>Tongji University; Ocean University of China</t>
  </si>
  <si>
    <t>Li, WB (corresponding author), Tongji Univ, State Key Lab Marine Geol, Shanghai 200092, Peoples R China.</t>
  </si>
  <si>
    <t>tianshiTD@126.com; rjwang@mail.tongji.edu.cn</t>
  </si>
  <si>
    <t>National Natural Science Foundation of China [40321603, 40676030]; National Basic Research Program of China [2007CB815903]; Chinese IPY Program</t>
  </si>
  <si>
    <t>National Natural Science Foundation of China(National Natural Science Foundation of China (NSFC)); National Basic Research Program of China(National Basic Research Program of China); Chinese IPY Program</t>
  </si>
  <si>
    <t>We thank two anonymous reviews and the editor, whose comments and suggestions improved this paper. Thanks also to the Kochi Core Center (Japan) for providing the samples for this study. This work was supported by the National Natural Science Foundation of China (40321603 and 40676030), the National Basic Research Program of China (2007CB815903) and the Chinese IPY Program (2007-2009).</t>
  </si>
  <si>
    <t>10.1007/s11434-010-4074-7</t>
  </si>
  <si>
    <t>669OR</t>
  </si>
  <si>
    <t>WOS:000283360600017</t>
  </si>
  <si>
    <t>Hattermann, T; Levermann, A</t>
  </si>
  <si>
    <t>Hattermann, Tore; Levermann, Anders</t>
  </si>
  <si>
    <t>Response of Southern Ocean circulation to global warming may enhance basal ice shelf melting around Antarctica</t>
  </si>
  <si>
    <t>OVERTURNING CIRCULATION; INTERMEDIATE COMPLEXITY; SYSTEM MODEL; CLIMATE; SENSITIVITY; THERMOHALINE; PERFORMANCE; TRANSPORT; EDDIES; SHEET</t>
  </si>
  <si>
    <t>We investigate the large-scale oceanic features determining the future ice shelf-ocean interaction by analyzing global warming experiments in a coarse resolution climate model with a comprehensive ocean component. Heat and freshwater fluxes from basal ice shelf melting (ISM) are parameterized following Beckmann and Goosse [Ocean Model 5(2):157-170, 2003]. Melting sensitivities to the oceanic temperature outside of the ice shelf cavities are varied from linear to quadratic (Holland et al. in J Clim 21, 2008). In 1% per year CO2-increase experiments the total freshwater flux from ISM triples to 0.09 Sv in the linear case and more than quadruples to 0.15 Sv in the quadratic case after 140 years at which 4 x 280 ppm = 1,120 ppm was reached. Due to the long response time of subsurface temperature anomalies, ISM thereafter increases drastically, if CO2 concentrations are kept constant at 1,120 ppm. Varying strength of the Antarctic circumpolar current (ACC) is crucial for ISM increase, because southward advection of heat dominates the warming along the Antarctic coast. On centennial timescales the ACC accelerates due to deep ocean warming north of the current, caused by mixing of heat along isopycnals in the Southern Ocean (SO) outcropping regions. In contrast to previous studies we find an initial weakening of the ACC during the first 150 years of warming. This purely baroclinic effect is due to a freshening in the SO which is consistent with present observations. Comparison with simulations with diagnosed ISM but without its influence on the ocean circulation reveal a number of ISM-related feedbacks, of which a negative ISM-feedback, due to the ISM-related local oceanic cooling, is the dominant one.</t>
  </si>
  <si>
    <t>[Hattermann, Tore; Levermann, Anders] Univ Potsdam, Potsdam Inst Climate Impact Res, D-14473 Potsdam, Germany</t>
  </si>
  <si>
    <t>Potsdam Institut fur Klimafolgenforschung; University of Potsdam</t>
  </si>
  <si>
    <t>Hattermann, T (corresponding author), Univ Potsdam, Potsdam Inst Climate Impact Res, Telegrafenberg A62, D-14473 Potsdam, Germany.</t>
  </si>
  <si>
    <t>tore.hattermann@pik-potsdam.de</t>
  </si>
  <si>
    <t>Levermann, Anders/G-4666-2011</t>
  </si>
  <si>
    <t>Levermann, Anders/0000-0003-4432-4704; Hattermann, Tore/0000-0002-5538-2267</t>
  </si>
  <si>
    <t>10.1007/s00382-009-0643-3</t>
  </si>
  <si>
    <t>654ZR</t>
  </si>
  <si>
    <t>WOS:000282210800002</t>
  </si>
  <si>
    <t>Golledge, N; Hubbard, A; Bradwell, T</t>
  </si>
  <si>
    <t>Golledge, Nicholas; Hubbard, Alun; Bradwell, Tom</t>
  </si>
  <si>
    <t>Influence of seasonality on glacier mass balance, and implications for palaeoclimate reconstructions</t>
  </si>
  <si>
    <t>Seasonality; Mass balance; Glaciers; Palaeoclimate; Younger Dryas</t>
  </si>
  <si>
    <t>EQUILIBRIUM-LINE ALTITUDE; LOCH-LOMOND READVANCE; NORTH-WEST SCOTLAND; DRYAS COLD PERIOD; DEGREE-DAY MODEL; YOUNGER-DRYAS; PRECIPITATION SEASONALITY; SURFACE-TEMPERATURE; CIRCULATION CHANGES; OCEAN CIRCULATION</t>
  </si>
  <si>
    <t>Climates inferred from former glacier geometries in some areas exhibit discrepancies with regional palaeoclimates predicted by General Circulation Models (GCMs) and modelling of palaeoecological data, possibly as a consequence of their differing treatments of climatic seasonality. Since glacier-based climate reconstructions potentially offer an important tool in the calibration of GCMs, which themselves need validation if used to predict future climate scenarios, we attempt to resolve mismatches between these techniques by (1) investigating the influence of seasonality on glacier mass balance, and (2) refining the methodology used for the derivation of glacier-based palaeoclimates. Focussing on the Younger Dryas stadial glaciation of Scotland, northeast Atlantic, we show that sea-ice amplified seasonality led to a significantly drier climate than has been suggested by glacier-based interpretations. This was characterised by a relatively short ablation season and the survival of a more substantial winter snowpack. We suggest that if palaeoglaciological studies were to account for changes in seasonal temperature and precipitation variability, their results would agree more closely with the cold, arid, northeast Atlantic palaeoenvironment predicted by atmospheric modelling and northwest European pollen studies, and would therefore provide more accurate constraints for GCM calibration.</t>
  </si>
  <si>
    <t>[Golledge, Nicholas] Victoria Univ Wellington, Antarctic Res Ctr, Wellington, New Zealand; [Hubbard, Alun] Univ Wales, Inst Geog &amp; Earth Sci, Aberystwyth, Dyfed, Wales; [Bradwell, Tom] British Geol Survey, Edinburgh, Midlothian, Scotland</t>
  </si>
  <si>
    <t>Victoria University Wellington; Aberystwyth University; UK Research &amp; Innovation (UKRI); Natural Environment Research Council (NERC); NERC British Geological Survey</t>
  </si>
  <si>
    <t>Golledge, N (corresponding author), Victoria Univ Wellington, Antarctic Res Ctr, Wellington, New Zealand.</t>
  </si>
  <si>
    <t>nick.golledge@vuw.ac.nz</t>
  </si>
  <si>
    <t>Hubbard, Alun/R-5085-2017</t>
  </si>
  <si>
    <t>Hubbard, Alun/0000-0002-0503-3915; Bradwell, Tom/0000-0003-0947-3309; Golledge, Nicholas/0000-0001-7676-8970</t>
  </si>
  <si>
    <t>Natural Environment Research Council [bgs05001] Funding Source: researchfish; NERC [bgs05001] Funding Source: UKRI</t>
  </si>
  <si>
    <t>Natural Environment Research Council(UK Research &amp; Innovation (UKRI)Natural Environment Research Council (NERC)); NERC(UK Research &amp; Innovation (UKRI)Natural Environment Research Council (NERC))</t>
  </si>
  <si>
    <t>10.1007/s00382-009-0616-6</t>
  </si>
  <si>
    <t>WOS:000282210800003</t>
  </si>
  <si>
    <t>Hobbs, William R.; Raphael, Marilyn N.</t>
  </si>
  <si>
    <t>Characterizing the zonally asymmetric component of the SH circulation</t>
  </si>
  <si>
    <t>Climate variability; Southern Hemisphere; Zonal waves; Pacific-South American Mode; Southern Annular Mode</t>
  </si>
  <si>
    <t>SOUTHERN-HEMISPHERE CIRCULATION; ANNULAR MODE; ANTARCTIC PENINSULA; SURFACE-TEMPERATURE; REANALYSIS; WAVES; VARIABILITY; OSCILLATION; ANOMALIES; TRENDS</t>
  </si>
  <si>
    <t>Much research concerning the Southern Hemisphere (SH) zonally asymmetric circulation has focused on the Pacific-South American mode (PSA) or the major zonal waves. However, these large-scale decompositions may mask important local variability. In this paper the month-to-month variability explained by the zonal waves 1 and 3 is examined, and an alternative representation of the SH circulation is presented based on two quasi-stationary anticyclones in the sub-Antarctic western hemisphere. These anticyclones are related to the zonal waves, but features of their variability are masked by the zonal wave decomposition; in particular, the anticyclones' strengths are not positively covariant. They are also compared with the leading Principal Components of the SH atmosphere. We show that they capture variance independent of the Southern Annular Mode. Additionally, they explain a generally greater fraction of the variability than the PSA, and in a manner that also includes information regarding spatial variability. These results have implications for analysis of the atmospheric-forcing of western Antarctic climate.</t>
  </si>
  <si>
    <t>[Hobbs, William R.; Raphael, Marilyn N.] Univ Calif Los Angeles, Dept Geog, Los Angeles, CA 90095 USA</t>
  </si>
  <si>
    <t>whobbs@ucla.edu</t>
  </si>
  <si>
    <t>NSF [0327268]; Directorate For Geosciences; Div Atmospheric &amp; Geospace Sciences [0327268] Funding Source: National Science Foundation</t>
  </si>
  <si>
    <t>NSF(National Science Foundation (NSF)); Directorate For Geosciences; Div Atmospheric &amp; Geospace Sciences(National Science Foundation (NSF)NSF - Directorate for Geosciences (GEO))</t>
  </si>
  <si>
    <t>This work has been funded by the NSF grant 0327268. NCEP/NCAR Reanalysis data was provided by the NOAA PSD (http://www.cdc.noaa.gov), and ERA40 reanalysis data was provided by the ECMWF (http://www.ecmwf.int). Data analysis was performed using the NCAR Command Language (NCL). Much of this work was undertaken whilst the authors were visiting the National Center for Atmospheric Research.</t>
  </si>
  <si>
    <t>10.1007/s00382-009-0663-z</t>
  </si>
  <si>
    <t>Green Submitted, Green Accepted, hybrid</t>
  </si>
  <si>
    <t>WOS:000282210800009</t>
  </si>
  <si>
    <t>Green, D; Alexander, L; Mclnnes, K; Church, J; Nicholls, N; White, N</t>
  </si>
  <si>
    <t>Green, Donna; Alexander, Lisa; Mclnnes, Kathy; Church, John; Nicholls, Neville; White, Neil</t>
  </si>
  <si>
    <t>An assessment of climate change impacts and adaptation for the Torres Strait Islands, Australia</t>
  </si>
  <si>
    <t>CLIMATIC CHANGE</t>
  </si>
  <si>
    <t>GREAT-BARRIER-REEF; TROPICAL CYCLONES; RAINFALL INDEXES; TRENDS; EXTREME; TEMPERATURE; CURRENTS; INTENSITY; FREQUENCY; PROGRESS</t>
  </si>
  <si>
    <t>Adaptive practices are taking place in a range of sectors and regions in Australia in response to existing climate impacts, and in anticipation of future unavoidable impacts. For a rich economy such as Australia's, the majority of human systems have considerable adaptive capacity. However, the impacts on human systems at the intra-nation level are not homogenous due to their differing levels of exposure, sensitivity and capacity to adapt to climate change. Despite past resilience to changing climates, many Indigenous communities located in remote areas are currently identified as highly vulnerable to climate impacts due to their high level of exposure and sensitivity, but low capacity to adapt. In particular, communities located on low-lying islands have particular vulnerability to sea level rise and increasingly intense storm surges caused by more extreme weather. Several Torres Strait Island community leaders have been increasingly concerned about these issues, and the ongoing risks to these communities' health and well-being posed by direct and indirect climate impacts. A government agency is beginning to develop short-term and long-term adaptation plans for the region. This work, however, is being developed without adequate scientific assessment of likely 'climate changed futures.' This is because the role that anthropogenic climate change has played, or will play, on extreme weather events for this region is not currently clear. This paper draws together regional climate data to enable a more accurate assessment of the islands' exposure to climate impacts. Understanding the level of exposure and uncertainty around specific impacts is vital to gauge the nature of these islands' vulnerability, in so doing, to inform decisions about how best to develop anticipatory adaptation strategies over various time horizons, and to address islanders' concerns about the likely resilience and viability of their communities in the longer term.</t>
  </si>
  <si>
    <t>[Green, Donna] Univ New S Wales, Change Res Ctr, Sydney, NSW 2052, Australia; [Alexander, Lisa; Nicholls, Neville] Monash Univ, Sch Geog &amp; Environm Sci, Clayton, Vic, Australia; [Mclnnes, Kathy; Church, John; Nicholls, Neville] Antarctic Climate &amp; Ecosyst Cooperat Res Ctr, Hobart, Tas, Australia</t>
  </si>
  <si>
    <t>University of New South Wales Sydney; Monash University; Antarctic Climate &amp; Ecosystems Cooperative Research Centre (ACE CRC)</t>
  </si>
  <si>
    <t>Green, D (corresponding author), Univ New S Wales, Change Res Ctr, Sydney, NSW 2052, Australia.</t>
  </si>
  <si>
    <t>donna.green@unsw.edu.au</t>
  </si>
  <si>
    <t>White, Neil/B-2077-2013; Nicholls, Neville/A-1240-2008; Church, John A/A-1541-2012; McInnes, Kathleen/A-7787-2012; Alexander, Lisa/A-8477-2011</t>
  </si>
  <si>
    <t>Church, John A/0000-0002-7037-8194; McInnes, Kathleen/0000-0002-1810-7215; green, donna/0000-0003-4521-8735; Nicholls, Neville/0000-0002-1298-4356; Alexander, Lisa/0000-0002-5635-2457</t>
  </si>
  <si>
    <t>Australian Government's Marine and Tropical Sciences Research Facility; Australian Government's Cooperative Research Centres through Antarctic Climate and Ecosystems Cooperative Research Centre; Australian Climate Change Science Program; Australian Research Council [DP0877417]</t>
  </si>
  <si>
    <t>Australian Government's Marine and Tropical Sciences Research Facility(Australian Government); Australian Government's Cooperative Research Centres through Antarctic Climate and Ecosystems Cooperative Research Centre(Australian GovernmentDepartment of Industry, Innovation and ScienceCooperative Research Centres (CRC) Programme); Australian Climate Change Science Program; Australian Research Council(Australian Research Council)</t>
  </si>
  <si>
    <t>The authors would also like to thank David Hanslow, Ian Macadam, Kevin Parnell, Benjamin Preston, Sam Reuben, Peter Todd and Penny Whetton for valuable comments. They would also like to thank the many conversations with Councilors, Island Managers and Traditional Owners of the Islands discussed above. This research was conducted with the support of funding from the Australian Government's Marine and Tropical Sciences Research Facility (DG &amp; LA).; This paper is a contribution to the CSIRO Climate Change Research Program and Wealth from Oceans Flagship and was supported by the Australian Government's Cooperative Research Centres Programme through the Antarctic Climate and Ecosystems Cooperative Research Centre. KLM, JAC and NJW were partly funded by the Australian Climate Change Science Program. NN was funded by an Australian Research Council Professorial Fellowship through the project DP0877417.</t>
  </si>
  <si>
    <t>0165-0009</t>
  </si>
  <si>
    <t>1573-1480</t>
  </si>
  <si>
    <t>Clim. Change</t>
  </si>
  <si>
    <t>10.1007/s10584-009-9756-2</t>
  </si>
  <si>
    <t>653WU</t>
  </si>
  <si>
    <t>WOS:000282129400003</t>
  </si>
  <si>
    <t>Fujisawa, A; Dunlap, WC; Yamamoto, Y</t>
  </si>
  <si>
    <t>Fujisawa, Akio; Dunlap, Walter C.; Yamamoto, Yorihiro</t>
  </si>
  <si>
    <t>Vitamin E protection in the biochemical adaptation of marine organisms to cold-water environments</t>
  </si>
  <si>
    <t>COMPARATIVE BIOCHEMISTRY AND PHYSIOLOGY B-BIOCHEMISTRY &amp; MOLECULAR BIOLOGY</t>
  </si>
  <si>
    <t>Vitamin E; Biochemical adaptation; Cold-water adaptation; Antarctic fish; Diffusion-limited reactions; Marine-derived tocopherol</t>
  </si>
  <si>
    <t>ANTIOXIDANT DEFENSE SYSTEMS; SCALLOP ADAMUSSIUM-COLBECKI; ALPHA-TOCOMONOENOL; LIPID-PEROXIDATION; HOMEOVISCOUS ADAPTATION; BIOLOGICAL MOLECULES; OXIDATIVE STRESS; AMINO-ACIDS; FATTY-ACID; FISH</t>
  </si>
  <si>
    <t>Vitamin E is one of the most important lipid-soluble antioxidants to occur in plants and animals for cellular protection against lipid peroxidation. An essential adaptation to low temperature is the elaboration of high levels of unsaturated fatty acids in the composition of cellular membranes, which is necessary to maintain functional membrane fluidity. Increasing the content of lipid unsaturation, however, occurs at the expense of enhancing the vulnerability of cellular membranes to oxidative damage. First isolated from salmon eggs, cold-water marine organisms were found to produce, or acquire, a specific vitamin E homologue, named marine-derived tocopherol (MDT), having an unusual methylene unsaturation at its isoprenoid-chain terminus. In this overview we compare the antioxidant composition of tropical, temperate and polar fishes, present provisional evidence that MDT is produced at the primary food chain, and provide empirical confirmation that the enhanced reactivity of MDT at low temperature is attributed to its greater rate of diffusion in viscous lipids at low temperatures. This claim of biochemical adaptation is supported by a unique model of diffusion-limited reactivity that mimics changes in the ratio of the MDT/alpha-tocopherol rate constants at diminishing levels of radical flux in viscous media at low temperature. We offer in conclusion future outlooks to research on antioxidant protection in cold-water ectotherms. (C) 2010 Elsevier Inc. All rights reserved.</t>
  </si>
  <si>
    <t>[Fujisawa, Akio; Yamamoto, Yorihiro] Tokyo Univ Technol, Sch Biosci &amp; Biotechnol, Tokyo 1920982, Japan; [Dunlap, Walter C.] Australian Inst Marine Sci, Ctr Marine Microbiol &amp; Genet, Townsville, Qld 4810, Australia</t>
  </si>
  <si>
    <t>Tokyo University of Technology; Australian Institute of Marine Science</t>
  </si>
  <si>
    <t>Yamamoto, Y (corresponding author), Tokyo Univ Technol, Sch Biosci &amp; Biotechnol, 1404-1 Katakura, Tokyo 1920982, Japan.</t>
  </si>
  <si>
    <t>Junkan@bs.teu.ac.jp</t>
  </si>
  <si>
    <t>Ministry of Education, Science and Culture; Ministry of Health and Welfare of Japan; Australian Institute of Marine Science</t>
  </si>
  <si>
    <t>Ministry of Education, Science and Culture(Ministry of Education, Culture, Sports, Science and Technology, Japan (MEXT)); Ministry of Health and Welfare of Japan(Ministry of Health, Labour and Welfare, Japan); Australian Institute of Marine Science</t>
  </si>
  <si>
    <t>This work was supported by Grants-in-Aid for Scientific Research from the Ministry of Education, Science and Culture, and Ministry of Health and Welfare of Japan and the Australian Institute of Marine Science. We thank Professor Bruce Sidell of the University of Maine for his contribution to our Antarctic MDT research and for providing valuable comment in the preparation of this review.</t>
  </si>
  <si>
    <t>1096-4959</t>
  </si>
  <si>
    <t>1879-1107</t>
  </si>
  <si>
    <t>COMP BIOCHEM PHYS B</t>
  </si>
  <si>
    <t>Comp. Biochem. Physiol. B-Biochem. Mol. Biol.</t>
  </si>
  <si>
    <t>10.1016/j.cbpb.2010.04.011</t>
  </si>
  <si>
    <t>Biochemistry &amp; Molecular Biology; Zoology</t>
  </si>
  <si>
    <t>642CM</t>
  </si>
  <si>
    <t>WOS:000281180900001</t>
  </si>
  <si>
    <t>Deagle, BE; Chiaradia, A; McInnes, J; Jarman, SN</t>
  </si>
  <si>
    <t>Deagle, Bruce E.; Chiaradia, Andre; McInnes, Julie; Jarman, Simon N.</t>
  </si>
  <si>
    <t>Pyrosequencing faecal DNA to determine diet of little penguins: is what goes in what comes out?</t>
  </si>
  <si>
    <t>CONSERVATION GENETICS</t>
  </si>
  <si>
    <t>Eudyptula minor; DNA barcoding; Seabird diet; GS-FLX; 454 Sequencing; Non-invasive</t>
  </si>
  <si>
    <t>EUDYPTULA-MINOR; MOLECULAR ANALYSIS; STABLE-ISOTOPE; PREY DNA; FECES; SEABIRDS; ECOLOGY; SCATS; KRILL; FOOD</t>
  </si>
  <si>
    <t>DNA barcoding of faeces or stomach contents is an emerging approach for dietary analysis. We pyrosequenced mtDNA 16S markers amplified from faeces of captive little penguins (Eudyptula minor) to examine if recovered sequences reflect the proportions of species consumed. We also analysed wild little penguin faeces collected from 100 nests in southeast Australia. In the captive study, pilchards were the primary fish fed to the penguins and DNA sequences from pilchard were the most common sequences recovered. Sequences of three other fish fed in constant mass proportions (45:35:20) were all detected, but proportions of sequences (60:6:34) were considerably different than mass proportions in the diet. Correction factors based on relative mtDNA density in the fish did not improve diet estimates. Consistency between replicate samples suggests that the observed bias resulted from differences in prey digestibility. Detection of DNA from fish consumed before the penguins were brought into captivity indicates that a DNA signal in faeces can persist for at least 4 days after ingestion. In the wild-collected faeces, 24 distinct fish and 1 squid were identified; anchovy, barracouta and pilchard accounted for over 80% of these sequences. Our results highlight that DNA sequences recovered in dietary barcoding studies can provide semi-quantitative information on diet composition, but these data should be given wide confidence intervals.</t>
  </si>
  <si>
    <t>[Deagle, Bruce E.] Univ Victoria, Dept Biol, Victoria, BC V8W 3N5, Canada; [Chiaradia, Andre; McInnes, Julie] Phillip Isl Nat Pk, Res Dept, Cowes, Vic 3922, Australia; [Jarman, Simon N.] Australian Marine Mammal Ctr, Australian Antarctic Div, Kingston, Tas, Australia</t>
  </si>
  <si>
    <t>University of Victoria; Australian Antarctic Division</t>
  </si>
  <si>
    <t>Deagle, BE (corresponding author), Univ Victoria, Dept Biol, POB 302, Victoria, BC V8W 3N5, Canada.</t>
  </si>
  <si>
    <t>bdeagle@uvic.ca</t>
  </si>
  <si>
    <t>McInnes, Julie C/C-2865-2014; Deagle, Bruce E/A-9854-2008; Chiaradia, Andre/AAG-4928-2022; Chiaradia, Andre/AFK-6634-2022; Deagle, Bruce E/R-2999-2019; Jarman, Simon/H-9265-2016</t>
  </si>
  <si>
    <t>Chiaradia, Andre/0000-0002-6178-4211; Chiaradia, Andre/0000-0002-6178-4211; Deagle, Bruce E/0000-0001-7651-3687; McInnes, Julie/0000-0001-8902-5199; Jarman, Simon/0000-0002-0792-9686</t>
  </si>
  <si>
    <t>Phillip Island Nature Park; Australian Antarctic Division; NSERC</t>
  </si>
  <si>
    <t>Phillip Island Nature Park; Australian Antarctic Division; NSERC(Natural Sciences and Engineering Research Council of Canada (NSERC))</t>
  </si>
  <si>
    <t>We thank M. Healy and T. Murray for help keeping the temporarily captive penguins happy, and L. Renwick, E. Alamo and P. Wasiak for collecting samples in the field. We are grateful for funding from Phillip Island Nature Park and support from the Australian Antarctic Division. BED was supported by an NSERC Postdoctoral Fellowship during the later stages of this study. The project was approved by the Phillip Island Nature Park Animal Experimentation Ethics Committee and by the Department of Sustainability and Environment of Victoria, Australia.</t>
  </si>
  <si>
    <t>1566-0621</t>
  </si>
  <si>
    <t>1572-9737</t>
  </si>
  <si>
    <t>CONSERV GENET</t>
  </si>
  <si>
    <t>Conserv. Genet.</t>
  </si>
  <si>
    <t>10.1007/s10592-010-0096-6</t>
  </si>
  <si>
    <t>Biodiversity Conservation; Genetics &amp; Heredity</t>
  </si>
  <si>
    <t>Biodiversity &amp; Conservation; Genetics &amp; Heredity</t>
  </si>
  <si>
    <t>651EG</t>
  </si>
  <si>
    <t>WOS:000281907000036</t>
  </si>
  <si>
    <t>Raupach, MR; Canadell, JG</t>
  </si>
  <si>
    <t>Raupach, Michael R.; Canadell, Josep G.</t>
  </si>
  <si>
    <t>Carbon and the Anthropocene</t>
  </si>
  <si>
    <t>CURRENT OPINION IN ENVIRONMENTAL SUSTAINABILITY</t>
  </si>
  <si>
    <t>ATMOSPHERIC CO2 GROWTH; CLIMATE-CHANGE; ANTARCTIC ICE; DIOXIDE; CYCLE; SENSITIVITY; EMISSIONS; FEEDBACK</t>
  </si>
  <si>
    <t>Life on earth has created vast stores of detrital carbon the remnants of carbon-based organisms after they have died. These carbon stores range from dead leaves and wood to the fossil carbon in coal, oil and gas. They contain large amounts of usable chemical energy. When the ancestors of modem humans learned to access this energy by mastering fire, they discovered a 'new trick' which led to massive evolutionary advantages for the human species. In the technological explosion of the last two centuries, industrial-scale use of energy flows from fossil carbon has not only transformed human societies and ecosystems, but also caused exponentially increasing accumulation of the released carbon in atmospheric, land and ocean carbon reservoirs. These changes have altered the carbon cycle and other cycles of matter and energy in the earth system, leading to the term 'Anthropocene' for the current epoch. In this epoch humankind is encountering finite-planet vulnerabilities for the first time, as a consequence of the dominance of its home planet bequeathed by the use of energy flows from detrital carbon. Signs of these vulnerabilities can be seen in the contemporary carbon cycle and emerging carbon-climate feedbacks. Interactions between humans, climate, the carbon cycle and other natural cycles are certain to become more profound over the next century and beyond.</t>
  </si>
  <si>
    <t>[Raupach, Michael R.; Canadell, Josep G.] CSIRO, Global Carbon Project, Ctr Atmospher Weather &amp; Climate Res, Canberra, ACT, Australia</t>
  </si>
  <si>
    <t>Commonwealth Scientific &amp; Industrial Research Organisation (CSIRO)</t>
  </si>
  <si>
    <t>Raupach, MR (corresponding author), CSIRO, Global Carbon Project, Ctr Atmospher Weather &amp; Climate Res, Canberra, ACT, Australia.</t>
  </si>
  <si>
    <t>Michael.Raupach@csiro.au</t>
  </si>
  <si>
    <t>Canadell, Pep/E-9419-2010</t>
  </si>
  <si>
    <t>Canadell, Pep/0000-0002-8788-3218</t>
  </si>
  <si>
    <t>Department of Climate Change, Australian Government</t>
  </si>
  <si>
    <t>This paper is a contribution to the Global Carbon Project. We acknowledge with appreciation the support of the Department of Climate Change, Australian Government, which has supported the office of the Global Carbon Project in Canberra.</t>
  </si>
  <si>
    <t>1877-3435</t>
  </si>
  <si>
    <t>1877-3443</t>
  </si>
  <si>
    <t>CURR OPIN ENV SUST</t>
  </si>
  <si>
    <t>Curr. Opin. Environ. Sustain.</t>
  </si>
  <si>
    <t>10.1016/j.cosust.2010.04.003</t>
  </si>
  <si>
    <t>Green &amp; Sustainable Science &amp; Technology; Environmental Sciences</t>
  </si>
  <si>
    <t>Science &amp; Technology - Other Topics; Environmental Sciences &amp; Ecology</t>
  </si>
  <si>
    <t>675DE</t>
  </si>
  <si>
    <t>WOS:000283805300002</t>
  </si>
  <si>
    <t>Trends in the land and ocean carbon uptake</t>
  </si>
  <si>
    <t>ATMOSPHERIC CO2 GROWTH; INTERANNUAL VARIABILITY; CYCLE; EMISSIONS; SINKS</t>
  </si>
  <si>
    <t>Only about 45% of the total CO2 emitted from fossil fuel burning and land use change stayed in the atmosphere on average during the past few decades. The remaining CO2 was taken up by the carbon reservoirs (the 'CO2 sinks') in the ocean and on land. The sinks are sensitive to climate and elevated CO2 levels. Their efficiency in removing CO2 emissions from the atmosphere is expected to decrease in the future under increasing atmospheric CO2 because of their response to elevated CO2 levels, warming and other climate changes. Recent evidence from observations and models suggests that the efficiency of the sinks could have already decreased in the past few decades, but the uncertainties are very large. There is an urgent need for reducing these uncertainties by better monitoring the CO2 emissions and sinks, and by improving our understanding of the sinks dynamics.</t>
  </si>
  <si>
    <t>C.Lequere@uea.ac.uk</t>
  </si>
  <si>
    <t>Natural Environment Research Council [bas010013] Funding Source: researchfish; NERC [bas010013] Funding Source: UKRI</t>
  </si>
  <si>
    <t>10.1016/j.cosust.2010.06.003</t>
  </si>
  <si>
    <t>WOS:000283805300003</t>
  </si>
  <si>
    <t>Le Quéré, C; Canadell, JG; Ciais, P; Dhakal, S; Patwardhan, A; Raupach, MR; Young, OR</t>
  </si>
  <si>
    <t>Le Quere, Corinne; Canadell, Josep G.; Ciais, Philippe; Dhakal, Shobhakar; Patwardhan, Anand; Raupach, Michael R.; Young, Oran R.</t>
  </si>
  <si>
    <t>An International Carbon Office to assist policy-based science</t>
  </si>
  <si>
    <t>The international political commitment to limit global warming to 2 degrees C urgently requires the stabilisation of radiative forcing from carbon dioxide (CO2) and other greenhouse gases (GHG) in the atmosphere. This can be achieved only with information on the full balance of GHG, including both the natural and the anthropogenic emissions and sinks. The public's support of political efforts to limit global warming hinges on robust and transparent information from the scientific community. Here we argue that the existing institutions that support the science of climate change are not adequate to support the policy needs, particularly for the monitoring and assessment of the earth's biogeochemical cycles. To assist in the stabilisation of GHG, an International Carbon Office (ICO) needs to be created to provide full GHG balance at a regional and global level, and to respond quickly to other needs for information as they emerge. An ICO with a specific mandate would guarantee sustained scientific engagement in the long-term.</t>
  </si>
  <si>
    <t>[Le Quere, Corinne] Univ E Anglia, Sch Environm Sci, Norwich NR4 7TJ, Norfolk, England; [Le Quere, Corinne] British Antarctic Survey, Cambridge BC3 0ET, England; [Canadell, Josep G.; Raupach, Michael R.] CSIRO Marine &amp; Atmospher Res, Global Carbon Project, Canberra, ACT 2601, Australia; [Ciais, Philippe] CNRS, CEA, Lab Sci Climat &amp; Environm, UMR 1572, F-91191 Gif Sur Yvette, France; [Dhakal, Shobhakar] Natl Inst Environm Studies, Global Carbon Project, Tsukuba, Ibaraki 3058506, Japan; [Patwardhan, Anand] Indian Inst Technol, SJ Mehta Sch Management, Bombay 400076, Maharashtra, India; [Young, Oran R.] Univ Calif Santa Barbara, Bren Sch Environm Sci &amp; Management, Santa Barbara, CA 93106 USA</t>
  </si>
  <si>
    <t>University of East Anglia; UK Research &amp; Innovation (UKRI); Natural Environment Research Council (NERC); NERC British Antarctic Survey; Commonwealth Scientific &amp; Industrial Research Organisation (CSIRO); Universite Paris Saclay; CEA; Centre National de la Recherche Scientifique (CNRS); National Institute for Environmental Studies - Japan; Indian Institute of Technology System (IIT System); Indian Institute of Technology (IIT) - Bombay; University of California System; University of California Santa Barbara</t>
  </si>
  <si>
    <t>C.Leguere@uea.ac.uk</t>
  </si>
  <si>
    <t>Ciais, Philippe/A-6840-2011; Canadell, Pep/E-9419-2010; Le Quéré, Corinne/C-2631-2017; Dhakal, Shobhakar/J-2797-2013; patwardhan, anand/GOK-0386-2022</t>
  </si>
  <si>
    <t>Ciais, Philippe/0000-0001-8560-4943; Canadell, Pep/0000-0002-8788-3218; Le Quéré, Corinne/0000-0003-2319-0452; Dhakal, Shobhakar/0000-0002-4007-6785</t>
  </si>
  <si>
    <t>10.1016/j.cosust.2010.06.010</t>
  </si>
  <si>
    <t>WOS:000283805300015</t>
  </si>
  <si>
    <t>Canadell, JG; Ciais, P; Dhakal, S; Dolman, H; Friedlingstein, P; Gurney, KR; Held, A; Jackson, RB; Le Quéré, C; Malone, EL; Ojima, DS; Patwardhan, A; Peters, GP; Raupach, MR</t>
  </si>
  <si>
    <t>Canadell, Josep G.; Ciais, Philippe; Dhakal, Shobhakar; Dolman, Han; Friedlingstein, Pierre; Gurney, Kevin R.; Held, Alex; Jackson, Robert B.; Le Quere, Corinne; Malone, Elizabeth L.; Ojima, Dennis S.; Patwardhan, Anand; Peters, Glen P.; Raupach, Michael R.</t>
  </si>
  <si>
    <t>Interactions of the carbon cycle, human activity, and the climate system: a research portfolio</t>
  </si>
  <si>
    <t>ATMOSPHERIC CO2 GROWTH; OCEAN ACIDIFICATION; LAND-USE; EMISSIONS; SENSITIVITY; DIOXIDE; FORESTS; IMPACT</t>
  </si>
  <si>
    <t>There has never been a greater need for delivering timely and policy-relevant information on the magnitude and evolution of the human-disturbed carbon cycle. In this paper, we present the main thematic areas of an ongoing global research agenda and prioritize future needs based on relevance for the evolution of the carbon climate human system. These include firstly, the delivery of routine updates of global and regional carbon budgets, including its attribution of variability and trends to underlying drivers; secondly, the assessment of the magnitude of the carbon climate feedback; and thirdly, the exploration of pathways to climate stabilization and their uncertainties. Underpinning much of this research is the optimal deployment of a global carbon monitoring system that includes biophysical and socio-economic components.</t>
  </si>
  <si>
    <t>[Canadell, Josep G.; Raupach, Michael R.] CSIRO Marine &amp; Atmospher Res, Global Carbon Project, Canberra, ACT 2601, Australia; [Ciais, Philippe; Friedlingstein, Pierre] UVSQ, CEA, CNRS, Lab Sci Climat &amp; Environm, Gif Sur Yvette, France; [Dhakal, Shobhakar] Natl Inst Environm Studies, Global Carbon Froject, Tsukuba, Ibaraki, Japan; [Dolman, Han] Vrije Univ Amsterdam, Fac Earth &amp; Life Sci, Dept Hydrol &amp; Geoenvironm Sci, Amsterdam, Netherlands; [Friedlingstein, Pierre] Univ Bristol, Dept Earth Sci, QUEST, Bristol, Avon, England; [Gurney, Kevin R.] Purdue Univ, Dept Earth &amp; Atmospher Sci, W Lafayette, IN 47907 USA; [Gurney, Kevin R.] Purdue Univ, Dept Agron, W Lafayette, IN 47907 USA; [Jackson, Robert B.] Duke Univ, Dept Biol, Durham, NC USA; [Jackson, Robert B.] Duke Univ, Nicholas Sch Environm, Durham, NC 27708 USA; [Le Quere, Corinne] Univ E Anglia, Sch Environm Sci, Norwich NR4 7TJ, Norfolk, England; [Le Quere, Corinne] British Antarctic Survey, Cambridge CB3 0ET, England; [Malone, Elizabeth L.] Joint Global Change Res Inst, Pacific NW Natl Lab, College Pk, MD USA; [Ojima, Dennis S.] John H Heinz Ctr, Washington, DC USA; [Ojima, Dennis S.] Colorado State Univ, Nat Resource Ecol Lab, Ft Collins, CO 80523 USA; [Patwardhan, Anand] IIT, SJ Mehta Sch Management, Mumbai, Maharashtra, India; [Peters, Glen P.] Ctr Int Climate &amp; Environm Res, Oslo, Norway</t>
  </si>
  <si>
    <t>Commonwealth Scientific &amp; Industrial Research Organisation (CSIRO); Universite Paris Saclay; CEA; Centre National de la Recherche Scientifique (CNRS); Universite Paris Cite; National Institute for Environmental Studies - Japan; Vrije Universiteit Amsterdam; University of Bristol; Purdue University System; Purdue University; Purdue University System; Purdue University; Duke University; Duke University; University of East Anglia; UK Research &amp; Innovation (UKRI); Natural Environment Research Council (NERC); NERC British Antarctic Survey; United States Department of Energy (DOE); Pacific Northwest National Laboratory; Colorado State University; Indian Institute of Technology System (IIT System); Indian Institute of Technology (IIT) - Bombay</t>
  </si>
  <si>
    <t>Canadell, JG (corresponding author), CSIRO Marine &amp; Atmospher Res, Global Carbon Project, Canberra, ACT 2601, Australia.</t>
  </si>
  <si>
    <t>pep.canadell@csiro.au</t>
  </si>
  <si>
    <t>Peters, Glen P/B-1012-2008; Canadell, Pep/E-9419-2010; Held, Andre A/A-4672-2011; Dhakal, Shobhakar/J-2797-2013; Le Quéré, Corinne/C-2631-2017; Ojima, Dennis S/C-5272-2016; Friedlingstein, Pierre/H-2700-2014; patwardhan, anand/GOK-0386-2022</t>
  </si>
  <si>
    <t>Peters, Glen P/0000-0001-7889-8568; Canadell, Pep/0000-0002-8788-3218; Le Quéré, Corinne/0000-0003-2319-0452; Friedlingstein, Pierre/0000-0003-3309-4739; Jackson, Robert/0000-0001-8846-7147; Dhakal, Shobhakar/0000-0002-4007-6785; Dolman, A.J./0000-0003-0099-0457</t>
  </si>
  <si>
    <t>Australian Climate Change Science Program (ACCSP); Department of Climate Change and Energy Efficiency; Bureau of Meteorology; CSIRO; Natural Environment Research Council [quest010001, bas010013] Funding Source: researchfish; NERC [quest010001, bas010013] Funding Source: UKRI</t>
  </si>
  <si>
    <t>Australian Climate Change Science Program (ACCSP); Department of Climate Change and Energy Efficiency; Bureau of Meteorology(Bureau of Meteorology - Australia); CSIRO(Commonwealth Scientific &amp; Industrial Research Organisation (CSIRO)); Natural Environment Research Council(UK Research &amp; Innovation (UKRI)Natural Environment Research Council (NERC)); NERC(UK Research &amp; Innovation (UKRI)Natural Environment Research Council (NERC))</t>
  </si>
  <si>
    <t>JGC and MRR acknowledge and thank the support of the Australian Climate Change Science Program (ACCSP) for the Global Carbon Project office in Canberra. The ACCSP is funded jointly by the Department of Climate Change and Energy Efficiency, the Bureau of Meteorology, and CSIRO.</t>
  </si>
  <si>
    <t>10.1016/j.cosust.2010.08.003</t>
  </si>
  <si>
    <t>WOS:000283805300016</t>
  </si>
  <si>
    <t>Vazquez Riveiros, N; Waelbroeck, C; Skinner, L; Roche, DM; Duplessy, JC; Michel, E</t>
  </si>
  <si>
    <t>Vazquez Riveiros, Natalia; Waelbroeck, Claire; Skinner, Luke; Roche, Didier M.; Duplessy, Jean-Claude; Michel, Elisabeth</t>
  </si>
  <si>
    <t>Response of South Atlantic deep waters to deglacial warming during Terminations V and I</t>
  </si>
  <si>
    <t>MIS11; Southern Ocean; ocean circulation changes; glacial-interglacial transitions; SST</t>
  </si>
  <si>
    <t>GLACIAL-INTERGLACIAL CHANGES; SEA-SURFACE TEMPERATURE; SUB-ANTARCTIC ZONE; LAST DEGLACIATION; CLIMATE VARIABILITY; OCEAN CIRCULATION; ICE; RECORD; PACIFIC; SECTOR</t>
  </si>
  <si>
    <t>New deep-sea core data from the Atlantic sector of the Southern Ocean. covering MIS12 to MIS10 and the last deglaciation, show a clear lag of the changes in deep water properties with respect to changes in surface conditions. The development of a chronology based on the correlation of Southern Ocean sea surface temperature with air temperature over Antarctica allows the quantification and comparison of phase lags within the Marine records during Termination V (TV) and Termination I (TI). Deglacial changes in the South Atlantic are interpreted as the response to changes in the state of the Atlantic meridional ocean circulation (AMOC). The warming of South Atlantic surface waters and air temperature over Antarctica at the beginning of both TV and TI is attributable to a reduction in interhemispheric heat transport due to the weakening of the AMOC. Comparison of our results with CLIMBER-2 simulations indicates that the response of bottom waters seen in the benthic isotopic records, delayed with respect to South Atlantic surface warming, can be explained by the increased inflow of North Atlantic Deep Water (NADW) to the South Atlantic site at the time of the AMOC recovery. Reconstructed sea surface temperature at our South Atlantic site exhibits a cold spell at the end of TV, resembling the Antarctic Cold Reversal of the last deglaciation. The presence of cold spells during TV and TI may be explained by the fact that the recovery of the AMOC took place early during the termination in both cases. The sequence of events is similar during both terminations; however, the magnitude of the phase shifts between South Atlantic surface and deep waters conditions differs from one termination to the other, suggesting variations in the magnitude and duration of the AMOC perturbation. (c) 2010 Elsevier B.V. All rights reserved.</t>
  </si>
  <si>
    <t>[Vazquez Riveiros, Natalia; Waelbroeck, Claire; Roche, Didier M.; Duplessy, Jean-Claude; Michel, Elisabeth] Lab CNRS CEA UVSQ, LSCE IPSL, Gif Sur Yvette, France; [Skinner, Luke] Univ Cambridge, Godwin Lab Palaeoclimate Res, Cambridge CB2 1TN, England</t>
  </si>
  <si>
    <t>Universite Paris Saclay; CEA; Centre National de la Recherche Scientifique (CNRS); University of Cambridge</t>
  </si>
  <si>
    <t>Vazquez Riveiros, N (corresponding author), Lab CNRS CEA UVSQ, LSCE IPSL, Gif Sur Yvette, France.</t>
  </si>
  <si>
    <t>lsc32@cam.ac.uk; didier.roche@lsce.ipsl.fr; Jean-claude.duplessy@lsce.ipsl.fr</t>
  </si>
  <si>
    <t>Vazquez Riveiros, Natalia/C-1100-2012; Roche, Didier M./C-9875-2010</t>
  </si>
  <si>
    <t>Vazquez Riveiros, Natalia/0000-0001-7513-153X; Roche, Didier M./0000-0001-6272-9428; waelbroeck, claire/0000-0002-7256-5727</t>
  </si>
  <si>
    <t>INSU/CNRS; Marie Curie grant within the framework of the Research Training Network NICE (Network for Ice sheet and Climate Evolution)</t>
  </si>
  <si>
    <t>INSU/CNRS(Centre National de la Recherche Scientifique (CNRS)); Marie Curie grant within the framework of the Research Training Network NICE (Network for Ice sheet and Climate Evolution)(European Union (EU))</t>
  </si>
  <si>
    <t>Part of this work has been funded through a Marie Curie grant to NVR, within the framework of the Research Training Network NICE (Network for Ice sheet and Climate Evolution) DMR is supported by INSU/CNRS. We thank N. Caillon, F. Dewilde, G Isguder and H. Rebaubier for invaluable technical assistance. We would also like to acknowledge R. Gersonde and A. Mackensen for sharing their expertise in the South Atlantic, as well as the crew of the research vessel Marion Dufresne and the Paul Emile Victor Institute (IPEV) for collecting cores MD07-3076 and MD07-3077 during cruise VT90-SOUC. We express our gratitude to the anonymous reviewers and the editor, P. deMenocal, for their constructive comments on an earlier version of the manuscript. This is LSCE contribution number 4101.</t>
  </si>
  <si>
    <t>1385-013X</t>
  </si>
  <si>
    <t>10.1016/j.epsl.2010.08.003</t>
  </si>
  <si>
    <t>674OL</t>
  </si>
  <si>
    <t>WOS:000283756600007</t>
  </si>
  <si>
    <t>Burgess, SN; Henderson, GM; Hall, BL</t>
  </si>
  <si>
    <t>Burgess, S. N.; Henderson, G. M.; Hall, B. L.</t>
  </si>
  <si>
    <t>Reconstructing Holocene conditions under the McMurdo Ice Shelf using Antarctic barnacle shells</t>
  </si>
  <si>
    <t>Antarctica; Barnacles; Holocene; McMurdo Ice Shelf; Oxygen isotopes</t>
  </si>
  <si>
    <t>OXYGEN-ISOTOPE; TEMPERATURE; O-18; FRACTIONATION; RELIABILITY; PACIFIC; HISTORY; CLIMATE; RETREAT; SHEET</t>
  </si>
  <si>
    <t>This study evaluates the potential of barnacles for paleoceanographic reconstruction and, in particular, of the Antarctic species Bathylasma corolliforme to reconstruct past under ice shelves Like other barnacle species, this Antarctic barnacle secretes a robust low-Mg calcite shell with distinct growth increments on the external surface indicating growth over a number of years (30-50 in samples studied here). The Bathylasma samples used in this study grew in the Ross Sea and became entrained at the grounding line of a coastal ice shelf in McMurdo Sound, offering potential as an archive of changing conditions in this difficult to access environment under the McMurdo ice shelf. Nine barnacle shells were subsampled at high resolution (60 pun) for delta O-18 and delta C-13 analysis. These samples were dated with C-14 and U-Th techniques, although the later did not yield useful age information due to open-system behaviour of barnacle calcite. Measured delta O-18 values indicate that Bathylasma calcifies close to equilibrium with ambient seawater. One older sample (approximate to 200 ka) has similar delta O-18 and delta C-13 values as the eight Holocene samples, suggesting that barnacle calcite is not prone to significant diagenesis in this setting. Apparent isotope equilibrium and lack of diagenesis make barnacles a promising archive for reconstruction of past ocean conditions. Cycles of delta O-18 observed within each sample sometimes correlate with the external growth ridges, but not always, and have amplitudes of typically 0.6 parts per thousand. This magnitude of variation suggests shell growth during a significant portion of the year. although it remains unclear whether growth continues throughout the year. However, the prominent growth bands suggest at least a signficant seasonal slowing in growth rate. Variations in barnacle delta O-18 within each plate and between plates are too large to be caused by temperature. and instead reflect changes in delta O-18 of the seawater, allowing some assessment of seawater salinity under the ice shelf. Salinities are lowered by addition of meltwaters, but the barnacle delta O-18 data suggest values do not go below 33 parts per thousand.. These data indicate that Bathylasma has potential as an archive of paleoclimate information for shallow/intermediate water depths and, in particular, for difficult to reach environments such as below ice-shelves of Antarctica. Crown Copyright (C) 2010 Published by Elsevier B.V. All rights reserved</t>
  </si>
  <si>
    <t>[Burgess, S. N.; Henderson, G. M.] Univ Oxford, Dept Earth Sci, Oxford OX1 3PR, England; [Hall, B. L.] Univ Maine, Climate Change Inst, Orono, ME 04469 USA; [Hall, B. L.] Univ Maine, Dept Earth Sci, Orono, ME 04469 USA</t>
  </si>
  <si>
    <t>University of Oxford; University of Maine System; University of Maine Orono; University of Maine System; University of Maine Orono</t>
  </si>
  <si>
    <t>Burgess, SN (corresponding author), Univ Oxford, Dept Earth Sci, Parks Rd, Oxford OX1 3PR, England.</t>
  </si>
  <si>
    <t>Henderson, Gideon/0000-0002-6279-7137; Burgess, Samantha/0000-0002-0943-9664</t>
  </si>
  <si>
    <t>University College, Oxford; Comer Foundation; National Science Foundation</t>
  </si>
  <si>
    <t>University College, Oxford; Comer Foundation; National Science Foundation(National Science Foundation (NSF))</t>
  </si>
  <si>
    <t>Financial support for this research was provided by University College, Oxford and by the Comer Foundation for Abrupt Climate Change. Original sample collection was supported by the Office of Polar Programs of the National Science Foundation We thank Thomas Kellogg for making his barnacle collection available to us. Stan Jacobs is thanked for very helpful discussions on Ross Sea oceanography and for pointing us towards available T. S. and 8180 data. Norman Charnley is thanked for technical assistance with the Delta/Kiel and SEM Alex Thomas is thanked for assistance with the U Th technique. Owen Green is thanked for assistance with barnacle plate photography</t>
  </si>
  <si>
    <t>10.1016/j.epsl.2010.08.015</t>
  </si>
  <si>
    <t>WOS:000283756600013</t>
  </si>
  <si>
    <t>Ting, L; Williams, TJ; Cowley, MJ; Lauro, FM; Guilhaus, M; Raftery, MJ; Cavicchioli, R</t>
  </si>
  <si>
    <t>Ting, Lily; Williams, Timothy J.; Cowley, Mark J.; Lauro, Federico M.; Guilhaus, Michael; Raftery, Mark J.; Cavicchioli, Ricardo</t>
  </si>
  <si>
    <t>Cold adaptation in the marine bacterium, Sphingopyxis alaskensis, assessed using quantitative proteomics</t>
  </si>
  <si>
    <t>ENVIRONMENTAL MICROBIOLOGY</t>
  </si>
  <si>
    <t>3 GROEL HOMOLOGS; SMALL HEAT-SHOCK; OLIGOTROPHIC ULTRAMICROBACTERIUM; ESCHERICHIA-COLI; LOW-TEMPERATURE; METHANOCOCCOIDES-BURTONII; SPHINGOMONAS-ALASKENSIS; ANTARCTIC ARCHAEON; POLY(3-HYDROXYBUTYRATE) DEPOLYMERASE; BRADYRHIZOBIUM-JAPONICUM</t>
  </si>
  <si>
    <t>P&gt;The cold marine environment constitutes a large proportion of the Earth's biosphere. Sphingopyxis alaskensis was isolated as a numerically abundant bacterium from several cold marine locations, and has been extensively studied as a model marine bacterium. Recently, a metabolic labelling platform was developed to comprehensively identify and quantify proteins from S. alaskensis. The approach incorporated data normalization and statistical validation for the purpose of generating highly confident quantitative proteomics data. Using this approach, we determined quantitative differences between cells grown at 10 degrees C (low temperature) and 30 degrees C (high temperature). Cold adaptation was linked to specific aspects of gene expression: a dedicated protein-folding system using GroESL, DnaK, DnaJ, GrpE, SecB, ClpB and PPIase; polyhydroxyalkanoate-associated storage materials; a link between enzymes in fatty acid metabolism and energy generation; de novo synthesis of polyunsaturated fatty acids in the membrane and cell wall; inorganic phosphate ion transport by a phosphate import PstB homologue; TonB-dependent receptor and bacterioferritin in iron homeostasis; histidine, tryptophan and proline amino acid metabolism; and a large number of proteins without annotated functions. This study provides a new level of understanding on how important marine bacteria can adapt to compete effectively in cold marine environments. This study is also a benchmark for comparative proteomic analyses with other important marine bacteria and other cold-adapted organisms.</t>
  </si>
  <si>
    <t>[Ting, Lily; Williams, Timothy J.; Cowley, Mark J.; Lauro, Federico M.; Cavicchioli, Ricardo] Univ New S Wales, Sch Biotechnol &amp; Biomol Sci, Sydney, NSW 2052, Australia; [Guilhaus, Michael; Raftery, Mark J.] Univ New S Wales, Bioanalyt Mass Spectrometry Facil, Sydney, NSW 2052, Australia</t>
  </si>
  <si>
    <t>University of New South Wales Sydney; University of New South Wales Sydney</t>
  </si>
  <si>
    <t>Cavicchioli, R (corresponding author), Univ New S Wales, Sch Biotechnol &amp; Biomol Sci, Sydney, NSW 2052, Australia.</t>
  </si>
  <si>
    <t>r.cavicchioli@unsw.edu.au</t>
  </si>
  <si>
    <t>Lauro, Federico/X-2420-2019; Cowley, Mark/K-8731-2019; Cowley, Mark/D-4504-2012; Simon, Simon/D-5128-2012; Cavicchioli, Ricardo/D-4341-2013</t>
  </si>
  <si>
    <t>Lauro, Federico/0000-0002-8373-1014; Cowley, Mark/0000-0002-9519-5714; Williams, Timothy/0000-0002-2738-3019; Cavicchioli, Ricardo/0000-0001-8989-6402</t>
  </si>
  <si>
    <t>Australian Research Council; Australian Government Systemic Infrastructure Initiative; UNSW; Australian Postgraduate Award</t>
  </si>
  <si>
    <t>Australian Research Council(Australian Research Council); Australian Government Systemic Infrastructure Initiative(Australian Government); UNSW; Australian Postgraduate Award(Australian Government)</t>
  </si>
  <si>
    <t>This work was supported by the Australian Research Council. Mass spectrometric analysis was performed at the Bioanalytical Mass Spectrometry Facility, UNSW, and was supported in part by grants from the Australian Government Systemic Infrastructure Initiative and Major National Research Facilities Program (UNSW node of the Australian Proteome Analysis Facility) and by the UNSW Capital Grants Scheme. L. T. and M. C. were each funded by an Australian Postgraduate Award. We thank the reviewers for their very insightful comments during the editorial process.</t>
  </si>
  <si>
    <t>1462-2912</t>
  </si>
  <si>
    <t>1462-2920</t>
  </si>
  <si>
    <t>ENVIRON MICROBIOL</t>
  </si>
  <si>
    <t>Environ. Microbiol.</t>
  </si>
  <si>
    <t>10.1111/j.1462-2920.2010.02235.x</t>
  </si>
  <si>
    <t>656XW</t>
  </si>
  <si>
    <t>WOS:000282375400003</t>
  </si>
  <si>
    <t>Hughes, KA</t>
  </si>
  <si>
    <t>Hughes, Kevin A.</t>
  </si>
  <si>
    <t>How committed are we to monitoring human impacts in Antarctica?</t>
  </si>
  <si>
    <t>ENVIRONMENTAL RESEARCH LETTERS</t>
  </si>
  <si>
    <t>British Antarctic Survey, Nat Environm Res Council, Cambridge CB3 0ET, England</t>
  </si>
  <si>
    <t>Hughes, KA (corresponding author), British Antarctic Survey, Nat Environm Res Council, Madingley Rd, Cambridge CB3 0ET, England.</t>
  </si>
  <si>
    <t>kehu@bas.ac.uk</t>
  </si>
  <si>
    <t>Hughes, Kevin/JVZ-0793-2024</t>
  </si>
  <si>
    <t>NERC [bas010011] Funding Source: UKRI; Natural Environment Research Council [bas010011] Funding Source: researchfish</t>
  </si>
  <si>
    <t>1748-9326</t>
  </si>
  <si>
    <t>ENVIRON RES LETT</t>
  </si>
  <si>
    <t>Environ. Res. Lett.</t>
  </si>
  <si>
    <t>10.1088/1748-9326/5/4/041001</t>
  </si>
  <si>
    <t>709EO</t>
  </si>
  <si>
    <t>Green Accepted, gold</t>
  </si>
  <si>
    <t>WOS:000286420700001</t>
  </si>
  <si>
    <t>Soerensen, AL; Skov, H; Jacob, DJ; Soerensen, BT; Johnson, MS</t>
  </si>
  <si>
    <t>Soerensen, Anne L.; Skov, Henrik; Jacob, Daniel J.; Soerensen, Britt T.; Johnson, Matthew S.</t>
  </si>
  <si>
    <t>Global Concentrations of Gaseous Elemental Mercury and Reactive Gaseous Mercury in the Marine Boundary Layer</t>
  </si>
  <si>
    <t>ENVIRONMENTAL SCIENCE &amp; TECHNOLOGY</t>
  </si>
  <si>
    <t>AIR-SEA EXCHANGE; ATMOSPHERIC MERCURY; ATLANTIC-OCEAN; SOUTH; TROPOSPHERE; EMISSIONS; OXIDATION; HALOGENS; AEROSOL</t>
  </si>
  <si>
    <t>Gaseous elemental mercury (GEM) and reactive gaseous mercury (RGM) were measured during an eight month circumnavigation to obtain knowledge of their worldwide distributions in the marine boundary layer (MBL). Background GEM concentrations were found to be 1.32 +/- 0.2 ng/m(3) (summer) and 2.62 +/- 0.4 ng/m(3) (spring) in the northern hemisphere and 1.27 +/- 0.2 ng/m(3) (spring and summer) in the southern hemisphere. Radiation and relative humidity are shown to control diurnal cycles of RGM. During the cruise the ship passed areas of clean MBL air, air influenced by biomass burning (South Atlantic) and air with high concentrations of GEM and RGM of unknown origin (Antarctic). High GEM concentrations above the Atlantic indicate that emission from the ocean can be an important GEM source. Our data combined with data from earlier cruises provides adequate information to establish a seasonal cycle for the Atlantic. Results show a cycle similar to that found at Mace Head, Ireland but with larger amplitude. We have improved the basic knowledge of mean GEM and RGM concentrations in the MBL worldwide and shown how natural sources and reemissions can affect GEM concentrations in the MBL.</t>
  </si>
  <si>
    <t>[Soerensen, Anne L.; Skov, Henrik; Soerensen, Britt T.] Aarhus Univ, Natl Environm Res Inst, DK-4000 Roskilde, Denmark; [Jacob, Daniel J.] Harvard Univ, Sch Engn &amp; Appl Sci, Cambridge, MA 02138 USA; [Jacob, Daniel J.] Harvard Univ, Dept Earth &amp; Planetary Sci, Cambridge, MA 02138 USA; [Soerensen, Britt T.; Johnson, Matthew S.] Univ Copenhagen, Copenhagen Ctr Atmospher Res, Dept Chem, DK-2100 Copenhagen, Denmark</t>
  </si>
  <si>
    <t>Aarhus University; Harvard University; Harvard University; University of Copenhagen</t>
  </si>
  <si>
    <t>Soerensen, AL (corresponding author), Aarhus Univ, Natl Environm Res Inst, Frederiksborgvej 399, DK-4000 Roskilde, Denmark.</t>
  </si>
  <si>
    <t>anls@dmu.dk</t>
  </si>
  <si>
    <t>Johnson, Matthew Stanley/AAS-7100-2021</t>
  </si>
  <si>
    <t>Johnson, Matthew Stanley/0000-0002-3645-3955; Soerensen, Anne Laerke/0000-0002-8490-8600; Skov, Henrik/0000-0003-1167-8696</t>
  </si>
  <si>
    <t>NERI- Aarhus University; Danish Expedition Foundation; Villum Kann Rasmussen Foundation; Knud Hojgaards Foundation; Andreassens Hougaards Foundation; Nordea Foundation; Danish Chemical Society; Carlsbergs Mindelegat; Directorate For Geosciences; Div Atmospheric &amp; Geospace Sciences [0961357] Funding Source: National Science Foundation</t>
  </si>
  <si>
    <t>NERI- Aarhus University; Danish Expedition Foundation; Villum Kann Rasmussen Foundation(Villum Fonden); Knud Hojgaards Foundation; Andreassens Hougaards Foundation; Nordea Foundation; Danish Chemical Society; Carlsbergs Mindelegat; Directorate For Geosciences; Div Atmospheric &amp; Geospace Sciences(National Science Foundation (NSF)NSF - Directorate for Geosciences (GEO))</t>
  </si>
  <si>
    <t>This work was funded by NERI- Aarhus University, The Danish Expedition Foundation, the Villum Kann Rasmussen Foundation, Knud Hojgaards Foundation, Andreassens Hougaards Foundation, Nordea Foundation, the travel fund of the Danish Chemical Society and Carlsbergs Mindelegat. We thank the crew on Galathea 3; Bjarne Jensen, Christel Christoffersen, Henrik W. Madsen, Hans Nielsen, Me Kemp, and Jorgen Jorgensen for technical support; Matthias Ketzel for soot data; Ralph Ebinghaus and Hans H. Kock for assistance with data from the Mace Head research station; Alexandra Steffen for contribution with equipment; NOAA air resources laboratory (ARL) for the provision of the HYSPLIT transport and dispersion model. This is Galathea3 Contribution No. P65.</t>
  </si>
  <si>
    <t>AMER CHEMICAL SOC</t>
  </si>
  <si>
    <t>1155 16TH ST, NW, WASHINGTON, DC 20036 USA</t>
  </si>
  <si>
    <t>0013-936X</t>
  </si>
  <si>
    <t>1520-5851</t>
  </si>
  <si>
    <t>ENVIRON SCI TECHNOL</t>
  </si>
  <si>
    <t>Environ. Sci. Technol.</t>
  </si>
  <si>
    <t>10.1021/es903839n</t>
  </si>
  <si>
    <t>Engineering, Environmental; Environmental Sciences</t>
  </si>
  <si>
    <t>Engineering; Environmental Sciences &amp; Ecology</t>
  </si>
  <si>
    <t>654ZI</t>
  </si>
  <si>
    <t>WOS:000282209700041</t>
  </si>
  <si>
    <t>Abbasi, R; Abdou, Y; Abu-Zayyad, T; Adams, J; Aguilar, JA; Ahlers, M; Andeen, K; Auffenberg, J; Bai, X; Baker, M; Barwick, SW; Bay, R; Alba, JLB; Beattie, K; Beatty, JJ; Bechet, S; Becker, JK; Becker, KH; Benabderrahmane, ML; BenZvi, S; Berdermann, J; Berghaus, P; Berley, D; Bernardini, E; Bertrand, D; Besson, DZ; Bissok, M; Blaufuss, E; Boersma, DJ; Bohm, C; Böser, S; Botner, O; Bradley, L; Braun, J; Buitink, S; Carson, M; Chirkin, D; Christy, B; Clem, J; Clevermann, F; Cohen, S; Colnard, C; Cowen, DF; D'Agostino, MV; Danninger, M; Davis, JC; De Clercq, C; Demirörs, L; Depaepe, O; Descamps, F; Desiati, P; de Vries-Uiterweerd, G; DeYoung, T; Díaz-Vélez, JC; Dierckxsens, M; Dreyer, J; Dumm, JP; Duvoort, MR; Ehrlich, R; Eisch, J; Ellsworth, RW; Engdegård, O; Euler, S; Evenson, PA; Fadiran, O; Fazely, AR; Feusels, T; Filimonov, K; Finley, C; Foerster, MM; Fox, BD; Franckowiak, A; Franke, R; Gaisser, TK; Gallagher, J; Geisler, M; Gerhardt, L; Gladstone, L; Glüsenkamp, T; Goldschmidt, A; Goodman, JA; Grant, D; Griesel, T; Gross, A; Grullon, S; Gurtner, M; Ha, C; Hallgren, A; Halzen, F; Han, K; Hanson, K; Helbing, K; Herquet, P; Hickford, S; Hill, GC; Hoffman, KD; Homeier, A; Hoshina, K; Hubert, D; Huelsnitz, W; Hülss, JP; Hulth, PO; Hultqvist, K; Hussain, S; Ishihara, A; Jacobsen, J; Japaridze, GS; Johansson, H; Joseph, JM; Kampert, KH; Karg, T; Karle, A; Kelley, JL; Kemming, N; Kenny, P; Kiryluk, J; Kislat, F; Klein, SR; Knops, S; Köhne, JH; Kohnen, G; Kolanoski, H; Köpke, L; Koskinen, DJ; Kowalski, M; Kowarik, T; Krasberg, M; Krings, T; Kroll, G; Kuehn, K; Kuwabara, T; Labare, M; Lafebre, S; Laihem, K; Landsman, H; Lauer, R; Lehmann, R; Lennarz, D; Lünemann, J; Madsen, J; Majumdar, P; Marotta, A; Maruyama, R; Mase, K; Matis, HS; Matusik, M; Meagher, K; Merck, M; Mészáros, P; Meures, T; Middell, E; Milke, N; Miller, J; Montaruli, T; Morse, R; Movit, SM; Nahnhauer, R; Nam, JW; Naumann, U; Niessen, P; Nygren, DR; Odrowski, S; Olivas, A; Olivo, M; O'Murchadha, A; Ono, M; Panknin, S; Paul, L; de los Heros, CP; Petrovic, J; Piegsa, A; Pieloth, D; Porrata, R; Posselt, J; Price, PB; Prikockis, M; Przybylski, GT; Rawlins, K; Redl, P; Resconi, E; Rhode, W; Ribordy, M; Rizzo, A; Rodrigues, JP; Roth, P; Rothmaier, F; Rott, C; Roucelle, C; Ruhe, T; Rutledge, D; Ruzybayev, B; Ryckbosch, D; Sander, HG; Santander, M; Sarkar, S; Schatto, K; Schlenstedt, S; Schmidt, T; Schukraft, A; Schultes, A; Schulz, O; Schunck, M; Seckel, D; Semburg, B; Seo, SH; Sestayo, Y; Seunarine, S; Silvestri, A; Slipak, A; Spiczak, GM; Spiering, C; Stamatikos, M; Stanev, T; Stephens, G; Stezelberger, T; Stokstad, RG; Stoyanov, S; Strahler, EA; Straszheim, T; Sullivan, GW; Swillens, Q; Taavola, H; Taboada, I; Tamburro, A; Tarasova, O; Tepe, A; Ter-Antonyan, S; Tilav, S; Toale, PA; Toscano, S; Tosi, D; Turcan, D; van Eijndhoven, N; Vandenbroucke, J; Van Overloop, A; van Santen, J; Voge, M; Voigt, B; Walck, C; Waldenmaier, T; Wallraff, M; Walter, M; Weaver, C; Wendt, C; Westerhoff, S; Whitehorn, N; Wiebe, K; Wiebusch, CH; Wikström, G; Williams, DR; Wischnewski, R; Wissing, H; Wolf, M; Woschnagg, K; Xu, C; Xu, XW; Yodh, G; Yoshida, S; Zarzhitsky, P</t>
  </si>
  <si>
    <t>Abbasi, R.; Abdou, Y.; Abu-Zayyad, T.; Adams, J.; Aguilar, J. A.; Ahlers, M.; Andeen, K.; Auffenberg, J.; Bai, X.; Baker, M.; Barwick, S. W.; Bay, R.; Alba, J. L. Bazo; Beattie, K.; Beatty, J. J.; Bechet, S.; Becker, J. K.; Becker, K. -H.; Benabderrahmane, M. L.; BenZvi, S.; Berdermann, J.; Berghaus, P.; Berley, D.; Bernardini, E.; Bertrand, D.; Besson, D. Z.; Bissok, M.; Blaufuss, E.; Boersma, D. J.; Bohm, C.; Boeser, S.; Botner, O.; Bradley, L.; Braun, J.; Buitink, S.; Carson, M.; Chirkin, D.; Christy, B.; Clem, J.; Clevermann, F.; Cohen, S.; Colnard, C.; Cowen, D. F.; D'Agostino, M. V.; Danninger, M.; Davis, J. C.; De Clercq, C.; Demiroers, L.; Depaepe, O.; Descamps, F.; Desiati, P.; de Vries-Uiterweerd, G.; DeYoung, T.; Diaz-Velez, J. C.; Dierckxsens, M.; Dreyer, J.; Dumm, J. P.; Duvoort, M. R.; Ehrlich, R.; Eisch, J.; Ellsworth, R. W.; Engdegard, O.; Euler, S.; Evenson, P. A.; Fadiran, O.; Fazely, A. R.; Feusels, T.; Filimonov, K.; Finley, C.; Foerster, M. M.; Fox, B. D.; Franckowiak, A.; Franke, R.; Gaisser, T. K.; Gallagher, J.; Geisler, M.; Gerhardt, L.; Gladstone, L.; Gluesenkamp, T.; Goldschmidt, A.; Goodman, J. A.; Grant, D.; Griesel, T.; Gross, A.; Grullon, S.; Gurtner, M.; Ha, C.; Hallgren, A.; Halzen, F.; Han, K.; Hanson, K.; Helbing, K.; Herquet, P.; Hickford, S.; Hill, G. C.; Hoffman, K. D.; Homeier, A.; Hoshina, K.; Hubert, D.; Huelsnitz, W.; Huelss, J. -P.; Hulth, P. O.; Hultqvist, K.; Hussain, S.; Ishihara, A.; Jacobsen, J.; Japaridze, G. S.; Johansson, H.; Joseph, J. M.; Kampert, K. -H.; Karg, T.; Karle, A.; Kelley, J. L.; Kemming, N.; Kenny, P.; Kiryluk, J.; Kislat, F.; Klein, S. R.; Knops, S.; Koehne, J. -H.; Kohnen, G.; Kolanoski, H.; Koepke, L.; Koskinen, D. J.; Kowalski, M.; Kowarik, T.; Krasberg, M.; Krings, T.; Kroll, G.; Kuehn, K.; Kuwabara, T.; Labare, M.; Lafebre, S.; Laihem, K.; Landsman, H.; Lauer, R.; Lehmann, R.; Lennarz, D.; Luenemann, J.; Madsen, J.; Majumdar, P.; Marotta, A.; Maruyama, R.; Mase, K.; Matis, H. S.; Matusik, M.; Meagher, K.; Merck, M.; Meszaros, P.; Meures, T.; Middell, E.; Milke, N.; Miller, J.; Montaruli, T.; Morse, R.; Movit, S. M.; Nahnhauer, R.; Nam, J. W.; Naumann, U.; Niessen, P.; Nygren, D. R.; Odrowski, S.; Olivas, A.; Olivo, M.; O'Murchadha, A.; Ono, M.; Panknin, S.; Paul, L.; de los Heros, C. Perez; Petrovic, J.; Piegsa, A.; Pieloth, D.; Porrata, R.; Posselt, J.; Price, P. B.; Prikockis, M.; Przybylski, G. T.; Rawlins, K.; Redl, P.; Resconi, E.; Rhode, W.; Ribordy, M.; Rizzo, A.; Rodrigues, J. P.; Roth, P.; Rothmaier, F.; Rott, C.; Roucelle, C.; Ruhe, T.; Rutledge, D.; Ruzybayev, B.; Ryckbosch, D.; Sander, H. -G.; Santander, M.; Sarkar, S.; Schatto, K.; Schlenstedt, S.; Schmidt, T.; Schukraft, A.; Schultes, A.; Schulz, O.; Schunck, M.; Seckel, D.; Semburg, B.; Seo, S. H.; Sestayo, Y.; Seunarine, S.; Silvestri, A.; Slipak, A.; Spiczak, G. M.; Spiering, C.; Stamatikos, M.; Stanev, T.; Stephens, G.; Stezelberger, T.; Stokstad, R. G.; Stoyanov, S.; Strahler, E. A.; Straszheim, T.; Sullivan, G. W.; Swillens, Q.; Taavola, H.; Taboada, I.; Tamburro, A.; Tarasova, O.; Tepe, A.; Ter-Antonyan, S.; Tilav, S.; Toale, P. A.; Toscano, S.; Tosi, D.; Turcan, D.; van Eijndhoven, N.; Vandenbroucke, J.; Van Overloop, A.; van Santen, J.; Voge, M.; Voigt, B.; Walck, C.; Waldenmaier, T.; Wallraff, M.; Walter, M.; Weaver, Ch.; Wendt, C.; Westerhoff, S.; Whitehorn, N.; Wiebe, K.; Wiebusch, C. H.; Wikstrom, G.; Williams, D. R.; Wischnewski, R.; Wissing, H.; Wolf, M.; Woschnagg, K.; Xu, C.; Xu, X. W.; Yodh, G.; Yoshida, S.; Zarzhitsky, P.</t>
  </si>
  <si>
    <t>IceCube Collaboration</t>
  </si>
  <si>
    <t>Search for relativistic magnetic monopoles with the AMANDA-II neutrino telescope</t>
  </si>
  <si>
    <t>EUROPEAN PHYSICAL JOURNAL C</t>
  </si>
  <si>
    <t>HIGH-ENERGY NEUTRINOS; DETECTORS; SELECTION; LIMITS; DEEP; FLUX</t>
  </si>
  <si>
    <t>We present the search for Cherenkov signatures from relativistic magnetic monopoles in data taken with the AMANDA-II detector, a neutrino telescope deployed in the Antarctic ice cap at the Geographic South Pole. The non-observation of a monopole signal in data collected during the year 2000 improves present experimental limits on the flux of relativistic magnetic monopoles: Our flux limit varies between 3.8x10(-17) cm(-2) s(-1) sr(-1) (for monopoles moving at the vacuum speed of light) and 8.8x10(-16) cm(-2) s(-1) sr(-1) (for monopoles moving at a speed beta=v/c=0.76, just above the Cherenkov threshold in ice). These limits apply to monopoles that are energetic enough to penetrate the Earth and enter the detector from below the horizon. The limit obtained for monopoles reaching the detector from above the horizon is less stringent by roughly an order of magnitude, due to the much larger background from down-going atmospheric muons. This looser limit is however valid for a larger class of magnetic monopoles, since the monopoles are not required to pass through the Earth.</t>
  </si>
  <si>
    <t>[Abbasi, R.; Aguilar, J. A.; Andeen, K.; Baker, M.; BenZvi, S.; Berghaus, P.; Braun, J.; Chirkin, D.; Desiati, P.; Diaz-Velez, J. C.; Dumm, J. P.; Eisch, J.; Gladstone, L.; Grullon, S.; Halzen, F.; Hanson, K.; Hill, G. C.; Hoshina, K.; Jacobsen, J.; Karle, A.; Kelley, J. L.; Krasberg, M.; Landsman, H.; Maruyama, R.; Merck, M.; Montaruli, T.; Morse, R.; O'Murchadha, A.; Rodrigues, J. P.; Santander, M.; Toscano, S.; van Santen, J.; Weaver, Ch.; Wendt, C.; Westerhoff, S.; Whitehorn, N.] Univ Wisconsin, Dept Phys, Madison, WI 53706 USA; [Abdou, Y.; Carson, M.; Descamps, F.; de Vries-Uiterweerd, G.; Feusels, T.; Ryckbosch, D.; Van Overloop, A.] Univ Ghent, Dept Subatom &amp; Radiat Phys, B-9000 Ghent, Belgium; [Abu-Zayyad, T.; Madsen, J.; Spiczak, G. M.; Tamburro, A.] Univ Wisconsin, Dept Phys, River Falls, WI 54022 USA; [Adams, J.; Gross, A.; Han, K.; Hickford, S.] Univ Canterbury, Dept Phys &amp; Astron, Christchurch 1, New Zealand; [Ahlers, M.; Sarkar, S.] Univ Oxford, Dept Phys, Oxford OX1 3NP, England; [Auffenberg, J.; Becker, K. -H.; Gurtner, M.; Helbing, K.; Kampert, K. -H.; Karg, T.; Matusik, M.; Naumann, U.; Posselt, J.; Schultes, A.; Semburg, B.] Univ Wuppertal, Dept Phys, D-42119 Wuppertal, Germany; [Bai, X.; Clem, J.; Evenson, P. A.; Gaisser, T. K.; Hussain, S.; Kuwabara, T.; Niessen, P.; Ruzybayev, B.; Seckel, D.; Stanev, T.; Stoyanov, S.; Tilav, S.; Xu, C.] Univ Delaware, Dept Phys &amp; Astron, Newark, DE 19716 USA; [Bai, X.; Clem, J.; Evenson, P. A.; Gaisser, T. K.; Hussain, S.; Kuwabara, T.; Niessen, P.; Ruzybayev, B.; Seckel, D.; Stanev, T.; Stoyanov, S.; Tilav, S.; Xu, C.] Univ Delaware, Bartol Res Inst, Newark, DE 19716 USA; [Barwick, S. W.; Nam, J. W.; Silvestri, A.; Yodh, G.] Univ Calif Irvine, Dept Phys &amp; Astron, Irvine, CA 92697 USA; [Bay, R.; D'Agostino, M. V.; Filimonov, K.; Gerhardt, L.; Kiryluk, J.; Klein, S. R.; Porrata, R.; Price, P. B.; Vandenbroucke, J.; Woschnagg, K.] Univ Calif Berkeley, Dept Phys, Berkeley, CA 94720 USA; [Alba, J. L. Bazo; Benabderrahmane, M. L.; Berdermann, J.; Bernardini, E.; Franke, R.; Kislat, F.; Lauer, R.; Majumdar, P.; Middell, E.; Nahnhauer, R.; Schlenstedt, S.; Spiering, C.; Tarasova, O.; Tosi, D.; Voigt, B.; Walter, M.; Wischnewski, R.] DESY, D-15735 Zeuthen, Germany; [Beattie, K.; Buitink, S.; Gerhardt, L.; Goldschmidt, A.; Joseph, J. M.; Kiryluk, J.; Klein, S. R.; Matis, H. S.; Nygren, D. R.; Przybylski, G. T.; Stezelberger, T.; Stokstad, R. G.] Univ Calif Berkeley, Lawrence Berkeley Lab, Berkeley, CA 94720 USA; [Beatty, J. J.; Davis, J. C.; Kuehn, K.; Rott, C.; Stamatikos, M.] Ohio State Univ, Dept Phys, Columbus, OH 43210 USA; [Beatty, J. J.; Davis, J. C.; Kuehn, K.; Rott, C.; Stamatikos, M.] Ohio State Univ, Ctr Cosmol &amp; Astroparticle Phys, Columbus, OH 43210 USA; [Beatty, J. J.] Ohio State Univ, Dept Astron, Columbus, OH 43210 USA; [Bechet, S.; Bertrand, D.; Dierckxsens, M.; Hanson, K.; Labare, M.; Marotta, A.; Petrovic, J.; Swillens, Q.] Univ Libre Bruxelles, Sci Fac CP230, B-1050 Brussels, Belgium; [Becker, J. K.; Dreyer, J.; Olivo, M.] Ruhr Univ Bochum, Fak Phys &amp; Astron, D-44780 Bochum, Germany; [Berley, D.; Blaufuss, E.; Christy, B.; Ehrlich, R.; Ellsworth, R. W.; Goodman, J. A.; Hoffman, K. D.; Huelsnitz, W.; Meagher, K.; Olivas, A.; Redl, P.; Roth, P.; Schmidt, T.; Straszheim, T.; Sullivan, G. W.; Turcan, D.; Wissing, H.] Univ Maryland, Dept Phys, College Pk, MD 20742 USA; [Besson, D. Z.; Kenny, P.] Univ Kansas, Dept Phys &amp; Astron, Lawrence, KS 66045 USA; [Bissok, M.; Boersma, D. J.; Euler, S.; Geisler, M.; Gluesenkamp, T.; Huelss, J. -P.; Knops, S.; Krings, T.; Laihem, K.; Lennarz, D.; Meures, T.; Paul, L.; Schukraft, A.; Schunck, M.; Wallraff, M.; Wiebusch, C. H.] Rhein Westfal TH Aachen, Inst Phys 3, D-52056 Aachen, Germany; [Bohm, C.; Danninger, M.; Finley, C.; Hulth, P. O.; Hultqvist, K.; Johansson, H.; Seo, S. H.; Walck, C.; Wikstrom, G.] Stockholm Univ, Oskar Klein Ctr, SE-10691 Stockholm, Sweden; [Bohm, C.; Danninger, M.; Finley, C.; Hulth, P. O.; Hultqvist, K.; Johansson, H.; Seo, S. H.; Walck, C.; Wikstrom, G.] Stockholm Univ, Dept Phys, SE-10691 Stockholm, Sweden; [Boeser, S.; Franckowiak, A.; Homeier, A.; Kowalski, M.; Panknin, S.] Univ Bonn, Inst Phys, D-53115 Bonn, Germany; [Botner, O.; Engdegard, O.; Hallgren, A.; Miller, J.; Olivo, M.; de los Heros, C. Perez; Taavola, H.] Uppsala Univ, Dept Phys &amp; Astron, S-75120 Uppsala, Sweden; [Bradley, L.; Cowen, D. F.; DeYoung, T.; Foerster, M. M.; Fox, B. D.; Ha, C.; Koskinen, D. J.; Lafebre, S.; Meszaros, P.; Prikockis, M.; Rutledge, D.; Slipak, A.; Stephens, G.; Toale, P. A.] Penn State Univ, Dept Phys, University Pk, PA 16802 USA; [Clevermann, F.; Koehne, J. -H.; Milke, N.; Pieloth, D.; Rhode, W.; Ruhe, T.] TU Dortmund Univ, Dept Phys, D-44221 Dortmund, Germany; [Cohen, S.; Demiroers, L.; Ribordy, M.] Ecole Polytech Fed Lausanne, Lab High Energy Phys, CH-1015 Lausanne, Switzerland; [Colnard, C.; Gross, A.; Odrowski, S.; Resconi, E.; Roucelle, C.; Schulz, O.; Sestayo, Y.; Voge, M.; Wolf, M.] Max Planck Inst Kernphys, D-69177 Heidelberg, Germany; [Cowen, D. F.; Meszaros, P.; Movit, S. M.] Penn State Univ, Dept Astron &amp; Astrophys, University Pk, PA 16802 USA; [De Clercq, C.; Depaepe, O.; Hubert, D.; Rizzo, A.; Strahler, E. A.; van Eijndhoven, N.] Vrije Univ Brussel, Dienst ELEM, B-1050 Brussels, Belgium; [Duvoort, M. R.] Utrecht Univ SRON, Dept Phys &amp; Astron, NL-3584 CC Utrecht, Netherlands; [Fadiran, O.; Japaridze, G. S.] Clark Atlanta Univ, CTSPS, Atlanta, GA 30314 USA; [Fazely, A. R.; Ter-Antonyan, S.; Xu, X. W.] Southern Univ, Dept Phys, Baton Rouge, LA 70813 USA; [Gallagher, J.] Univ Wisconsin, Dept Astron, Madison, WI 53706 USA; [Grant, D.] Univ Alberta, Dept Phys, Edmonton, AB T6G 2G7, Canada; [Griesel, T.; Koepke, L.; Kowarik, T.; Kroll, G.; Luenemann, J.; Piegsa, A.; Rothmaier, F.; Sander, H. -G.; Schatto, K.; Wiebe, K.] Johannes Gutenberg Univ Mainz, Inst Phys, D-55099 Mainz, Germany; [Herquet, P.; Kohnen, G.] Univ Mons, B-7000 Mons, Belgium; [Ishihara, A.; Mase, K.; Ono, M.; Yoshida, S.] Chiba Univ, Dept Phys, Chiba 2638522, Japan; [Kemming, N.; Kolanoski, H.; Lehmann, R.; Waldenmaier, T.] Humboldt Univ, Inst Phys, D-12489 Berlin, Germany; [Montaruli, T.] Univ Bari, Dipartmento Fis, I-70126 Bari, Italy; [Montaruli, T.] Sezione Ist Nazl Fis Nucl, I-70126 Bari, Italy; [Rawlins, K.] Univ Alaska Anchorage, Dept Phys &amp; Astron, Anchorage, AK 99508 USA; [Seunarine, S.] Univ W Indies, Dept Phys, Bridgetown 11000, Barbados; [Stamatikos, M.] NASA, Goddard Space Flight Ctr, Greenbelt, MD 20771 USA; [Taboada, I.; Tepe, A.] Georgia Inst Technol, Sch Phys, Atlanta, GA 30332 USA; [Taboada, I.; Tepe, A.] Georgia Inst Technol, Ctr Relativist Astrophys, Atlanta, GA 30332 USA; [Williams, D. R.; Zarzhitsky, P.] Univ Alabama, Dept Phys &amp; Astron, Tuscaloosa, AL 35487 USA</t>
  </si>
  <si>
    <t>University of Wisconsin System; University of Wisconsin Madison; Ghent University; University of Wisconsin System; University of Canterbury; University of Oxford; University of Wuppertal; University of Delaware; University of Delaware; University of California System; University of California Irvine; University of California System; University of California Berkeley; Helmholtz Association; Deutsches Elektronen-Synchrotron (DESY); University of California System; University of California Berkeley; United States Department of Energy (DOE); Lawrence Berkeley National Laboratory; University System of Ohio; Ohio State University; University System of Ohio; Ohio State University; University System of Ohio; Ohio State University; Universite Libre de Bruxelles; University of Wurzburg; Ruhr University Bochum; University System of Maryland; University of Maryland College Park; University of Kansas; RWTH Aachen University; Oskar Klein Centre; Stockholm University; Stockholm University; University of Bonn; Uppsala University; Pennsylvania Commonwealth System of Higher Education (PCSHE); Pennsylvania State University; Pennsylvania State University - University Park; Dortmund University of Technology; Swiss Federal Institutes of Technology Domain; Ecole Polytechnique Federale de Lausanne; Max Planck Society; Pennsylvania Commonwealth System of Higher Education (PCSHE); Pennsylvania State University; Pennsylvania State University - University Park; Vrije Universiteit Brussel; Utrecht University; Clark Atlanta University; Southern University System; Southern University &amp; A&amp;M College; University of Wisconsin System; University of Wisconsin Madison; University of Alberta; Johannes Gutenberg University of Mainz; University of Mons; Chiba University; Humboldt University of Berlin; Universita degli Studi di Bari Aldo Moro; Istituto Nazionale di Fisica Nucleare (INFN); University of Alaska System; University of Alaska Anchorage; University West Indies Mona Jamaica; University of the West Indies Open Campus; National Aeronautics &amp; Space Administration (NASA); NASA Goddard Space Flight Center; University System of Georgia; Georgia Institute of Technology; University System of Georgia; Georgia Institute of Technology; University of Alabama System; University of Alabama Tuscaloosa</t>
  </si>
  <si>
    <t>Abbasi, R (corresponding author), Univ Wisconsin, Dept Phys, 1150 Univ Ave, Madison, WI 53706 USA.</t>
  </si>
  <si>
    <t>hwissing@icecube.umd.edu</t>
  </si>
  <si>
    <t>Rott, Carsten/ABB-1304-2021; Tjus, Julia/G-8145-2012; Ha, Chang Hyon/AAR-8120-2021; Petrovic, Jelena/JUV-4849-2023; Tamburro, Alessio/A-5703-2013; Abdou, Yasser/JJE-5519-2023; Taavola, Henric/B-4497-2011; Naidu, Rajagopal/K-3038-2016; Venkateswararao, Gollakaram/B-5490-2015; Sarkar, Subir/G-5978-2011; Ha, C/GZL-9046-2022; Matis, Howard S/HMV-9747-2023; sanchez, juan/GSD-8167-2022; Díaz Vélez, Juan Carlos/AAD-5211-2022; Buitink, Stijn/F-2113-2016; Auffenberg, Jan/D-3954-2014; Hubert, Daan/I-1096-2019; Resconi, Elisa/I-3874-2016; DeYoung, Tyce/O-6895-2019; Botner, Olga/A-9110-2013; Díaz Vélez, Juan Carlos/T-2788-2018; Maruyama, Reina H/A-1064-2013; Miller, Jonathan/HOC-2272-2023; Goodman, Jordan A/J-4188-2018; Benabderrahmane, Mohamed Lotfi/JFB-3165-2023; Hallgren, Allan/A-8963-2013; Wiebusch, Christopher H.V./G-6490-2012; Matis, Howard/AAO-2082-2021; Whitehorn, Nathan/HDM-8864-2022; Seo, Seon Hee/K-9250-2014; Williams, David/HKN-3732-2023; Laihem, Karim/K-3835-2015; Beatty, James/D-9310-2011; Bernardini, Elisa/AAA-4810-2020; Basu, Sumit/ABG-4301-2021; Sarkar, Subir/GPT-4902-2022; Seo, Seon-Hee/M-1189-2019; Koskinen, David/G-3236-2014; Ahlers, Markus/V-8757-2017; Aguilar Sanchez, Juan Antonio/H-4467-2015; Miller, Jonathan/R-8518-2017; Kowalski, Marek/G-5546-2012</t>
  </si>
  <si>
    <t>Rott, Carsten/0000-0002-6958-6033; Tjus, Julia/0000-0002-1748-7367; Petrovic, Jelena/0000-0001-8535-7807; Abdou, Yasser/0000-0001-7098-0487; Taavola, Henric/0000-0002-2604-2810; Venkateswararao, Gollakaram/0000-0002-0327-7764; Sarkar, Subir/0000-0002-3542-858X; Matis, Howard S/0000-0003-0764-4389; Díaz Vélez, Juan Carlos/0000-0002-0087-0693; Buitink, Stijn/0000-0002-6177-497X; Auffenberg, Jan/0000-0002-1185-9094; Hubert, Daan/0000-0002-4365-865X; Resconi, Elisa/0000-0003-0705-2770; DeYoung, Tyce/0000-0003-4873-3783; Díaz Vélez, Juan Carlos/0000-0002-0087-0693; Maruyama, Reina H/0000-0003-2794-512X; Benabderrahmane, Mohamed Lotfi/0000-0003-4410-5886; Wiebusch, Christopher H.V./0000-0002-6418-3008; Whitehorn, Nathan/0000-0002-3157-0407; Beatty, James/0000-0003-0481-4952; Bernardini, Elisa/0000-0003-3108-1141; Basu, Sumit/0000-0003-0687-8124; Seo, Seon-Hee/0000-0002-1496-624X; Seunarine, Suruj/0000-0003-3272-6896; BenZvi, Segev/0000-0001-5537-4710; Toscano, Simona/0000-0002-1860-2240; Andeen, Karen/0000-0001-9394-0007; De Clercq, Catherine/0000-0001-5266-7059; Rhode, Wolfgang/0000-0003-2636-5000; Montaruli, Teresa/0000-0001-5014-2152; Koskinen, David/0000-0002-0514-5917; Ter-Antonyan, Samvel/0000-0002-5788-1369; Perez de los Heros, Carlos/0000-0002-2084-5866; Klein, Spencer/0000-0003-2841-6553; van Eijndhoven, Nick/0000-0001-5558-3328; Taboada, Ignacio/0000-0003-3509-3457; Karg, Timo/0000-0003-3251-2126; Ahlers, Markus/0000-0003-0709-5631; Carson, Michael/0000-0003-0400-7819; Desiati, Paolo/0000-0001-9768-1858; Ha, Chang Hyon/0000-0002-9598-8589; Actis, Oxana/0000-0001-8851-3983; Franckowiak, Anna/0000-0002-5605-2219; Aguilar Sanchez, Juan Antonio/0000-0003-2252-9514; Yoshida, Shigeru/0000-0003-2480-5105; Danninger, Matthias/0000-0002-7807-7484; Miller, Jonathan/0000-0002-7992-8033; Kowalski, Marek/0000-0001-8594-8666; Meagher, Kevin/0000-0003-3967-1533; Helbing, Klaus/0000-0003-2072-4172; Santander, Juan Marcos/0000-0001-7297-8217; Bazo Alba, Jose Luis/0000-0001-9148-9101; Beattie, Keith/0000-0001-5026-2023; Spiczak, Glenn/0000-0002-0030-0519; Hill, Gary/0000-0001-8881-6802; Lauer, Robert/0000-0003-1933-7861; Lennarz, Dirk/0000-0002-0614-7359; Kolanoski, Hermann/0000-0003-0435-2524; Schukraft, Anne/0000-0002-9112-5479; Meszaros, Peter/0000-0002-4132-1746; Kampert, Karl-Heinz/0000-0002-2805-0195</t>
  </si>
  <si>
    <t>US National Science Foundation-Office of Polar Programs; US National Science Foundation-Physics Division; University of Wisconsin Alumni Research Foundation; US Department of Energy; National Energy Research Scientific Computing Center; Louisiana Optical Network Initiative (LONI) grid computing resources; National Science and Engineering Research Council of Canada; Swedish Research Council; Swedish Polar Research Secretariat; Swedish National Infrastructure for Computing (SNIC); Knut and Alice Wallenberg Foundation, Sweden; German Ministry for Education and Research (BMBF); Deutsche Forschungsgemeinschaft (DFG) [SFB-676]; Research Department of Plasmas with Complex Interactions (Bochum), Germany; Fund for Scientific Research (FNRS-FWO); FWO; Flanders Institute to encourage scientific and technological research in industry (IWT); Belgian Federal Science Policy Office (Belspo); Marsden Fund, New Zealand; Japan Society for Promotion of Science (JSPS); Swiss National Science Foundation (SNSF), Switzerland; EU; Capes Foundation, Ministry of Education of Brazil; Division Of Physics; Direct For Mathematical &amp; Physical Scien [0969061] Funding Source: National Science Foundation</t>
  </si>
  <si>
    <t>US National Science Foundation-Office of Polar Programs(National Science Foundation (NSF)); US National Science Foundation-Physics Division(National Science Foundation (NSF)); University of Wisconsin Alumni Research Foundation; US Department of Energy(United States Department of Energy (DOE)); National Energy Research Scientific Computing Center; Louisiana Optical Network Initiative (LONI) grid computing resources; National Science and Engineering Research Council of Canada(Natural Sciences and Engineering Research Council of Canada (NSERC)); Swedish Research Council(Swedish Research Council); Swedish Polar Research Secretariat; Swedish National Infrastructure for Computing (SNIC); Knut and Alice Wallenberg Foundation, Sweden(Knut &amp; Alice Wallenberg Foundation); German Ministry for Education and Research (BMBF)(Federal Ministry of Education &amp; Research (BMBF)); Deutsche Forschungsgemeinschaft (DFG)(German Research Foundation (DFG)); Research Department of Plasmas with Complex Interactions (Bochum), Germany; Fund for Scientific Research (FNRS-FWO)(FWOFonds de la Recherche Scientifique - FNRS); FWO(FWO); Flanders Institute to encourage scientific and technological research in industry (IWT)(Institute for the Promotion of Innovation by Science and Technology in Flanders (IWT)); Belgian Federal Science Policy Office (Belspo)(Belgian Federal Science Policy Office); Marsden Fund, New Zealand(Royal Society of New ZealandMarsden Fund (NZ)); Japan Society for Promotion of Science (JSPS)(Ministry of Education, Culture, Sports, Science and Technology, Japan (MEXT)Japan Society for the Promotion of Science); Swiss National Science Foundation (SNSF), Switzerland(Swiss National Science Foundation (SNSF)); EU(European Union (EU)); Capes Foundation, Ministry of Education of Brazil(Coordenacao de Aperfeicoamento de Pessoal de Nivel Superior (CAPES)); Division Of Physics; Direct For Mathematical &amp; Physical Scien(National Science Foundation (NSF)NSF - Directorate for Mathematical &amp; Physical Sciences (MPS))</t>
  </si>
  <si>
    <t>We acknowledge the support from the following agencies: US National Science Foundation-Office of Polar Programs, US National Science Foundation-Physics Division, University of Wisconsin Alumni Research Foundation, US Department of Energy, and National Energy Research Scientific Computing Center, the Louisiana Optical Network Initiative (LONI) grid computing resources; National Science and Engineering Research Council of Canada; Swedish Research Council, Swedish Polar Research Secretariat, Swedish National Infrastructure for Computing (SNIC), and Knut and Alice Wallenberg Foundation, Sweden; German Ministry for Education and Research (BMBF), Deutsche Forschungsgemeinschaft (DFG) SFB-676, Research Department of Plasmas with Complex Interactions (Bochum), Germany; Fund for Scientific Research (FNRS-FWO), FWO Odysseus programme, Flanders Institute to encourage scientific and technological research in industry (IWT), Belgian Federal Science Policy Office (Belspo); Marsden Fund, New Zealand; Japan Society for Promotion of Science (JSPS); the Swiss National Science Foundation (SNSF), Switzerland; A. Gross acknowledges support by the EU Marie Curie OIF Program; J.P. Rodrigues acknowledges support by the Capes Foundation, Ministry of Education of Brazil.</t>
  </si>
  <si>
    <t>1434-6044</t>
  </si>
  <si>
    <t>1434-6052</t>
  </si>
  <si>
    <t>EUR PHYS J C</t>
  </si>
  <si>
    <t>Eur. Phys. J. C</t>
  </si>
  <si>
    <t>10.1140/epjc/s10052-010-1411-6</t>
  </si>
  <si>
    <t>Physics, Particles &amp; Fields</t>
  </si>
  <si>
    <t>669PD</t>
  </si>
  <si>
    <t>WOS:000283361800003</t>
  </si>
  <si>
    <t>Goutte, A; Antoine, É; Weimerskirch, H; Chastel, O</t>
  </si>
  <si>
    <t>Goutte, Aurelie; Antoine, Elodie; Weimerskirch, Henri; Chastel, Olivier</t>
  </si>
  <si>
    <t>Age and the timing of breeding in a long-lived bird: a role for stress hormones?</t>
  </si>
  <si>
    <t>FUNCTIONAL ECOLOGY</t>
  </si>
  <si>
    <t>age; glucocorticoids; laying date; snow petrel (Pagodroma nivea); stress response</t>
  </si>
  <si>
    <t>BASE-LINE CORTICOSTERONE; REPRODUCTIVE SUCCESS; BODY CONDITION; ANTARCTIC SEABIRD; FOOD AVAILABILITY; HOUSE SPARROWS; OLDER PARENTS; LIFE-HISTORY; LAYING DATE; PERFORMANCE</t>
  </si>
  <si>
    <t>P&gt;1. Young birds often reproduce later in the season than older ones, with poorer breeding success, but the proximate mechanisms involved in such a pattern remain poorly studied, especially in long-lived species. One possible mechanism is the endocrine stress response which is accompanied by the release of corticosterone. Elevated corticosterone levels can trigger physiological and behavioural responses that may delay or even suppress reproduction. 2. We tested the hypothesis that the delayed timing of breeding of young birds may be related to a greater susceptibility to stress compared with older ones during the pre-laying period of the breeding season. For this purpose, known-age (7-44 years old) pre-laying snow petrels, Pagodroma nivea, were monitored for baseline and acute stress-induced corticosterone levels. We examined whether baseline and stress-induced corticosterone levels were related to age, and whether they could influence the decision to breed and egg-laying date. 3. Young snow petrels were more likely to skip the breeding season and to breed later than middle-aged birds. In addition, the oldest birds bred later than middle-aged ones, suggesting a possible senescence on laying dates. Baseline corticosterone levels were independent of age but young and very old birds were more sensitive to stress than middle-aged ones. However, there was no effect of stress-induced corticosterone levels on breeding decision and egg-laying date. Elevated baseline corticosterone levels during the pre-laying period were associated with a higher probability of skipping breeding in females and a delayed timing of egg-laying in both sexes. 4. These results suggest that the greater susceptibility of young breeders to stress was not the functional mechanism explaining their delayed timing of breeding. Baseline corticosterone levels, although independent of age, appear to be a more likely mediator of breeding decision and egg-laying date. In long-lived birds, the relationship between age and timing of breeding may be rather indirect, as other age-related factors such as breeding experience or foraging skills may have a deeper impact on baseline corticosterone than age per se.</t>
  </si>
  <si>
    <t>[Goutte, Aurelie; Antoine, Elodie; Weimerskirch, Henri; Chastel, Olivier] CNRS, Ctr Etud Biol Chize, F-79360 Villiers En Bois, Deux Sevres, France</t>
  </si>
  <si>
    <t>Centre National de la Recherche Scientifique (CNRS)</t>
  </si>
  <si>
    <t>Goutte, A (corresponding author), CNRS, Ctr Etud Biol Chize, F-79360 Villiers En Bois, Deux Sevres, France.</t>
  </si>
  <si>
    <t>goutte@cebc.cnrs.fr</t>
  </si>
  <si>
    <t>Goutte, Aurelie/F-7572-2017; Goutte, Aurelie/JZT-6808-2024; Weimerskirch, Henri/K-7306-2019; Weimerskirch, Henri/F-5562-2013</t>
  </si>
  <si>
    <t>Weimerskirch, Henri/0000-0002-0457-586X; Goutte, Aurelie/0000-0001-8322-5843</t>
  </si>
  <si>
    <t>French Polar Institute (IPEV) [109]; CNRS/Region Poitou-Charentes</t>
  </si>
  <si>
    <t>French Polar Institute (IPEV); CNRS/Region Poitou-Charentes(Centre National de la Recherche Scientifique (CNRS)Region Nouvelle-Aquitaine)</t>
  </si>
  <si>
    <t>This research project no. 109 was performed at Dumont d'Urville Station and was supported by the French Polar Institute (IPEV). A. Goutte was supported by a BDI grant from CNRS/Region Poitou-Charentes. This article benefited greatly from the comments of three anonymous reviewers and of one associate editor. The authors thank A. Jacquet for her precious assistance on the field. They also acknowledge M. Autthier, C. Barbraud, K. Delord and A. Lescroel for helpful comments on the manuscript; S. Dano, A. Lacroix and C. Trouve for their technical assistance for the assays and molecular sexing; and D. Besson for help in managing the long-term data base.</t>
  </si>
  <si>
    <t>0269-8463</t>
  </si>
  <si>
    <t>1365-2435</t>
  </si>
  <si>
    <t>FUNCT ECOL</t>
  </si>
  <si>
    <t>Funct. Ecol.</t>
  </si>
  <si>
    <t>10.1111/j.1365-2435.2010.01712.x</t>
  </si>
  <si>
    <t>Ecology</t>
  </si>
  <si>
    <t>651AA</t>
  </si>
  <si>
    <t>WOS:000281895800007</t>
  </si>
  <si>
    <t>Lunt, DJ; Valdes, PJ; Dunkley Jones, T; Ridgwell, A; Haywood, AM; Schmidt, DN; Marsh, R; Maslin, M</t>
  </si>
  <si>
    <t>Lunt, Daniel J.; Valdes, Paul J.; Dunkley Jones, Tom; Ridgwell, Andy; Haywood, Alan M.; Schmidt, Daniela N.; Marsh, Robert; Maslin, Mark</t>
  </si>
  <si>
    <t>CO2-driven ocean circulation changes as an amplifier of Paleocene-Eocene thermal maximum hydrate destabilization</t>
  </si>
  <si>
    <t>GEOLOGY</t>
  </si>
  <si>
    <t>CARBON-ISOTOPE EXCURSION; METHANE HYDRATE; PERSPECTIVE; CYCLE</t>
  </si>
  <si>
    <t>Changes in ocean circulation have been proposed as a trigger mechanism for the large coupled climate and carbon cycle perturbations at the Paleocene-Eocene Thermal Maximum (PETM, ca. 55 Ma). An abrupt warming of oceanic intermediate waters could have initiated the thermal destabilization of sediment-hosted methane gas hydrates and potentially triggered sediment slumps and slides. In an ensemble of fully coupled atmosphere-ocean general circulation model (AOGCM) simulations of the late Paleocene and early Eocene, we identify such a circulation-driven enhanced intermediate-water warming. Critically, we find an approximate twofold amplification of Atlantic intermediate-water warming when CO2 levels are doubled from 2x to 4x preindustrial CO2 compared to when they are doubled from 1x to 2x. This warming is largely focused on the equatorial and South Atlantic and is driven by a significant reduction in deep-water formation from the Southern Ocean. This scenario is consistent with altered PETM circulation patterns inferred from benthic carbon isotope data and the intensity of deep-sea carbonate dissolution in the South Atlantic. The linkage between intermediate-water warming and gas hydrate destabilization could provide an important feedback in the establishment of peak PETM warmth.</t>
  </si>
  <si>
    <t>[Lunt, Daniel J.; Valdes, Paul J.; Ridgwell, Andy] Univ Bristol, Sch Geog Sci, Bristol BS8 1SS, Avon, England; [Lunt, Daniel J.] British Antarctic Survey, Cambridge CB3 0ET, England; [Dunkley Jones, Tom; Maslin, Mark] UCL, Dept Geog, London WC1E 6BT, England; [Haywood, Alan M.] Univ Leeds, Sch Earth &amp; Environm, Leeds LS2 9JT, W Yorkshire, England; [Schmidt, Daniela N.] Univ Bristol, Dept Earth Sci, Bristol BS8 1RJ, Avon, England; [Marsh, Robert] Univ Southampton, Natl Oceanog Ctr, Sch Ocean &amp; Earth Sci, Southampton SO14 3ZH, Hants, England</t>
  </si>
  <si>
    <t>University of Bristol; UK Research &amp; Innovation (UKRI); Natural Environment Research Council (NERC); NERC British Antarctic Survey; University of London; University College London; University of Leeds; University of Bristol; University of Southampton; NERC National Oceanography Centre</t>
  </si>
  <si>
    <t>Lunt, DJ (corresponding author), Univ Bristol, Sch Geog Sci, Bristol BS8 1SS, Avon, England.</t>
  </si>
  <si>
    <t>d.j.lunt@bristol.ac.uk</t>
  </si>
  <si>
    <t>Marsh, Robert/G-4988-2013; Valdes, Paul/T-2004-2019; Ridgwell, Andy/AAD-9487-2021; Valdes, Paul J/C-4129-2013; Dunkley Jones, Tom/A-8441-2008; Lunt, Daniel/G-9451-2011</t>
  </si>
  <si>
    <t>Valdes, Paul/0000-0002-1902-3283; Ridgwell, Andy/0000-0003-2333-0128; Marsh, Robert/0000-0002-1051-8749; Dunkley Jones, Tom/0000-0002-9518-8143; Lunt, Daniel/0000-0003-3585-6928; Maslin, Mark/0000-0001-9957-3463; Schmidt, Daniela/0000-0001-8419-2721</t>
  </si>
  <si>
    <t>UK National Environmental Council [NE/F001622/1]; U.S. National Science Foundation [EAR-0628719]; Research Council UK; Royal Society; Natural Environment Research Council [NE/F017383/1, bas0100026, NE/F001622/1, ncas10009] Funding Source: researchfish; NERC [bas0100026, NE/F017383/1, NE/F001622/1] Funding Source: UKRI</t>
  </si>
  <si>
    <t>UK National Environmental Council; U.S. National Science Foundation(National Science Foundation (NSF)); Research Council UK(UK Research &amp; Innovation (UKRI)); Royal Society(Royal Society); Natural Environment Research Council(UK Research &amp; Innovation (UKRI)Natural Environment Research Council (NERC)); NERC(UK Research &amp; Innovation (UKRI)Natural Environment Research Council (NERC))</t>
  </si>
  <si>
    <t>This study is part of the UK National Environmental Council Paleocene-Eocene Thermal Maximum Project (NE/F001622/1) and U.S. National Science Foundation grant EAR-0628719. Lunt is funded by a Research Council UK fellowship. Schmidt and Ridgwell are funded by Royal Society University research fellowships. We thank Jerry Dickens, Dana Royer, and an anonymous reviewer for their constructive comments.</t>
  </si>
  <si>
    <t>GEOLOGICAL SOC AMER, INC</t>
  </si>
  <si>
    <t>PO BOX 9140, BOULDER, CO 80301-9140 USA</t>
  </si>
  <si>
    <t>0091-7613</t>
  </si>
  <si>
    <t>1943-2682</t>
  </si>
  <si>
    <t>10.1130/G31184.1</t>
  </si>
  <si>
    <t>656PL</t>
  </si>
  <si>
    <t>WOS:000282348600003</t>
  </si>
  <si>
    <t>Johnson, MD; Schomacker, A; Benediktsson, IÖ; Geiger, AJ; Ferguson, A; Ingólfsson, O</t>
  </si>
  <si>
    <t>Johnson, Mark D.; Schomacker, Anders; Benediktsson, Ivar Orn; Geiger, Alessa J.; Ferguson, Amanda; Ingolfsson, Olafur</t>
  </si>
  <si>
    <t>Active drumlin field revealed at the margin of Mulajokull, Iceland: A surge-type glacier</t>
  </si>
  <si>
    <t>ANNUAL-MORAINE RIDGES; ANTARCTIC ICE STREAM; SUBGLACIAL BEDFORMS; ORIGIN; BRUARJOKULL; LANDFORM; BENEATH; STATE</t>
  </si>
  <si>
    <t>Recent marginal retreat of Mulajokull, a surge-type outlet glacier of Hofsjokull, Iceland, has revealed a drumlin field consisting of more than 50 drumlins. The drumlins are 90-320 m long, 30-105 m wide, 5-10 m in relief, and composed of multiple beds of till deposited by lodgment and bed deformation. The youngest till layer truncates the older units with an erosion surface that parallels the drumlin form. Thus, the drumlins are built up and formed by a combination of subglacial depositional and erosional processes. Field evidence suggests each till bed to be associated with individual recent surges. We consider the field to be active in the sense that the drumlins are shaped by the current glacial regime. The Mulajokull field is the only known active drumlin field, and is therefore a unique analogue to Pleistocene drumlin fields.</t>
  </si>
  <si>
    <t>[Johnson, Mark D.] Univ Gothenburg, Dept Earth Sci, SE-40530 Gothenburg, Sweden; [Schomacker, Anders] Norwegian Univ Sci &amp; Technol, Dept Geol, N-7491 Trondheim, Norway; [Schomacker, Anders; Benediktsson, Ivar Orn; Ingolfsson, Olafur] Univ Iceland, Inst Earth Sci, IS-101 Reykjavik, Iceland; [Geiger, Alessa J.] Univ Glasgow, Dept Geog &amp; Earth Sci, Glasgow G12 8QQ, Lanark, Scotland; [Ferguson, Amanda] Univ London, Dept Geog, London E1 4NS, England</t>
  </si>
  <si>
    <t>University of Gothenburg; Norwegian University of Science &amp; Technology (NTNU); University of Iceland; University of Glasgow; University of London</t>
  </si>
  <si>
    <t>Johnson, MD (corresponding author), Univ Gothenburg, Dept Earth Sci, Box 460, SE-40530 Gothenburg, Sweden.</t>
  </si>
  <si>
    <t>Schomacker, Anders/I-6569-2019; Schomacker, Anders/B-9044-2015; Ingolfsson, Olafur/L-8950-2015; Geiger, Alessa/K-9586-2013</t>
  </si>
  <si>
    <t>Schomacker, Anders/0000-0002-8031-9008; Schomacker, Anders/0000-0002-8031-9008; Benediktsson, Ivar Orn/0000-0002-9966-0767; Ingolfsson, Olafur/0000-0001-8143-2005; Geiger, Alessa/0000-0002-7346-1567</t>
  </si>
  <si>
    <t>Carlsberg Foundation; Energy Research Fund of Landsvirkjun; University of Iceland</t>
  </si>
  <si>
    <t>Carlsberg Foundation(Carlsberg Foundation); Energy Research Fund of Landsvirkjun; University of Iceland</t>
  </si>
  <si>
    <t>We thank the Carlsberg Foundation, the Energy Research Fund of Landsvirkjun, and the University of Iceland Research Fund for financial support. We thank Carrie Jennings, John Menzies, and Jaap van der Meer for reviewing an earlier version of this manuscript. Three anonymous reviewers provided constructive criticism and helpful suggestions for improvements.</t>
  </si>
  <si>
    <t>10.1130/G31371.1</t>
  </si>
  <si>
    <t>WOS:000282348600021</t>
  </si>
  <si>
    <t>Kiel, S; Nielsen, SN</t>
  </si>
  <si>
    <t>Kiel, Steffen; Nielsen, Sven N.</t>
  </si>
  <si>
    <t>Quaternary origin of the inverse latitudinal diversity gradient among southern Chilean mollusks</t>
  </si>
  <si>
    <t>PACIFIC COAST; MARINE; BIOGEOGRAPHY; EXTINCTION; GASTROPODA; MIOCENE; SPECIATION; PATAGONIA; HISTORY</t>
  </si>
  <si>
    <t>Mollusks along the Pacific coast of South America provide one of the main exceptions from the latitudinal diversity gradient of decreasing species numbers toward the poles. From 42 degrees S southward, coincident with the onset of the mosaic coastline of the southern Chilean fiord-lands, species numbers show a twofold to threefold increase compared to the central Chilean coast. Here we use the Neogene fossil record of central and southern Chile to test hypotheses on the origin of this unusual pattern. Contrary to previous suggestions, we did not find evidence for a buildup of biodiversity since the Eocene, or for the northward spread of Antarctic taxa into southern mid-latitudes. Rather, our data suggest that the mosaic coastline south of 42 degrees S was colonized after the retreat of the glaciers from their marine termini since the later Pleistocene, by taxa that were already present along the Chilean coast. The majority of the most species-rich genera in this area are shallow-water hardground inhabitants, suggesting a rapid adaptive radiation of these taxa. The unusually low present-day diversity to the north of 42 degrees S most likely results from the severe late Neogene extinction and only moderate subsequent origination in this area.</t>
  </si>
  <si>
    <t>[Kiel, Steffen; Nielsen, Sven N.] Univ Kiel, Inst Geowissensch, D-24118 Kiel, Germany</t>
  </si>
  <si>
    <t>University of Kiel</t>
  </si>
  <si>
    <t>Kiel, S (corresponding author), Univ Gottingen, Fac Geosci &amp; Geog, Dept Geobiol, Goldschmidtstr 3, D-37077 Gottingen, Germany.</t>
  </si>
  <si>
    <t>steffen.kiel@gmx.de</t>
  </si>
  <si>
    <t>Kiel, Steffen/C-3150-2009; Nielsen, Sven N/A-2187-2009</t>
  </si>
  <si>
    <t>Kiel, Steffen/0000-0001-6281-100X; Nielsen, Sven N/0000-0003-2064-8050</t>
  </si>
  <si>
    <t>Deutsche Forschungsgemeinschaft [Ni699/4-2]</t>
  </si>
  <si>
    <t>Deutsche Forschungsgemeinschaft(German Research Foundation (DFG))</t>
  </si>
  <si>
    <t>We thank Alan Beu, Oyvind Hammer, David Jablonski, Wolfgang Kiessling, and Rafael La Perna for their support, and two anonymous reviewers for their helpful criticism. Funding was provided through Deutsche Forschungsgemeinschaft project Ni699/4-2.</t>
  </si>
  <si>
    <t>10.1130/G31282.1</t>
  </si>
  <si>
    <t>WOS:000282348600024</t>
  </si>
  <si>
    <t>Lukianova, RY; Kozlovsky, A; Christiansen, F</t>
  </si>
  <si>
    <t>Lukianova, R. Yu.; Kozlovsky, A.; Christiansen, F.</t>
  </si>
  <si>
    <t>Asymmetric structures of field-aligned currents and convection of ionospheric plasma controlled by the IMF azimuthal component and season of year</t>
  </si>
  <si>
    <t>GEOMAGNETISM AND AERONOMY</t>
  </si>
  <si>
    <t>INTERPLANETARY MAGNETIC-FIELD; MAGNETOSPHERIC CONVECTION; ELECTRIC-FIELD; DIRECTION; MODELS</t>
  </si>
  <si>
    <t>We present the results of using the statistical model of field-aligned currents (FACs) based on satellite data and the numerical model of the electric potential distribution in order to detect the asymmetric part in FAC structures and ionospheric plasma convection controlled by the IMF azimuthal (B (y) ) component at different seasons of the year. These structures can be identified by plotting diagrams, which represent differences in corresponding maps for opposite signs of IMF B (y) . Circular near-pole current symmetric about the noon meridian and corresponding convection vortices around the pole have been obtained for the summer and equinox periods. It is difficult to detect distinct structures under winter conditions, and the current is most intense on the morning side. A two-cell convection system with the foci in the afternoon and postmid-night sectors is created in the electric potential difference diagrams. Thus, qualitatively different FAC and convection patterns exist during the solstice in opposite hemispheres. The value of the electric potential originating in the near-pole region under the action of the B (y) component and a change in the potential under the action of additional factors have been estimated.</t>
  </si>
  <si>
    <t>[Lukianova, R. Yu.] Russian Acad Sci, Arctic &amp; Antarctic Res Inst, St Petersburg 199397, Russia; [Kozlovsky, A.] Sodankyla Geophys Observ, Sodankyla 99600, Finland; [Christiansen, F.] Danish Natl Space Ctr, Copenhagen, Denmark</t>
  </si>
  <si>
    <t>Russian Academy of Sciences; Arctic &amp; Antarctic Research Institute; Technical University of Denmark</t>
  </si>
  <si>
    <t>Lukianova, RY (corresponding author), Russian Acad Sci, Arctic &amp; Antarctic Res Inst, Ul Beringa 38, St Petersburg 199397, Russia.</t>
  </si>
  <si>
    <t>renata@aari.nw.ru; kozlovsk@sun3.oulu.fi; fch@space.dtu.dk</t>
  </si>
  <si>
    <t>Lukianova, Renata/K-3293-2012; Christiansen, Freddy/AAW-9935-2021</t>
  </si>
  <si>
    <t>Lukianova, Renata/0000-0003-2343-9174; Christiansen, Freddy/0000-0001-9415-0621; Kozlovsky, Alexander/0000-0003-1468-7600</t>
  </si>
  <si>
    <t>Finnish Academy [115920, 127188]; Academy of Finland (AKA) [115920, 127188] Funding Source: Academy of Finland (AKA)</t>
  </si>
  <si>
    <t>Finnish Academy(Research Council of Finland); Academy of Finland (AKA)(Research Council of Finland)</t>
  </si>
  <si>
    <t>We are grateful to the Finnish Academy for support of this work, grants 115920 and 127188.</t>
  </si>
  <si>
    <t>MAIK NAUKA/INTERPERIODICA/SPRINGER</t>
  </si>
  <si>
    <t>233 SPRING ST, NEW YORK, NY 10013-1578 USA</t>
  </si>
  <si>
    <t>0016-7932</t>
  </si>
  <si>
    <t>1555-645X</t>
  </si>
  <si>
    <t>GEOMAGN AERONOMY+</t>
  </si>
  <si>
    <t>Geomagn. Aeron.</t>
  </si>
  <si>
    <t>10.1134/S0016793210050142</t>
  </si>
  <si>
    <t>662QH</t>
  </si>
  <si>
    <t>WOS:000282825900014</t>
  </si>
  <si>
    <t>Cande, SC; Patriat, P; Dyment, J</t>
  </si>
  <si>
    <t>Cande, Steven C.; Patriat, Philippe; Dyment, Jerome</t>
  </si>
  <si>
    <t>Motion between the Indian, Antarctic and African plates in the early Cenozoic</t>
  </si>
  <si>
    <t>Plate motions; Kinematics of crustal and mantle deformation; Indian Ocean</t>
  </si>
  <si>
    <t>NUBIA-SOMALIA; TECTONIC EVOLUTION; AUSTRALIAN PLATES; FINITE ROTATIONS; TRIPLE JUNCTION; AMIRANTE ARC; OCEAN; RIDGE; MA; DEFORMATION</t>
  </si>
  <si>
    <t>P&gt;We used a three-plate best-fit algorithm to calculate four sets of Euler rotations for motion between the India (Capricorn), Africa (Somali) and Antarctic plates for 14 time intervals in the early Cenozoic. Each set of rotations had a different combination of data constraints. The first set of rotations used a basic set of magnetic anomaly picks on the Central Indian Ridge (CIR), Southeast Indian Ridge (SEIR) and Southwest Indian Ridge (SWIR) and fracture zone constraints on the CIR and SEIR, but did not incorporate data from the Carlsberg Ridge and did not use fracture zones on the SWIR. The second set added fracture zone constraints from the region of the Bain fracture zone on the SWIR which were dated with synthetic flowlines based on the first data set. The third set of rotations used the basic constraints from the first rotation set and added data from the Carlsberg Ridge. The fourth set of rotations combined both the SWIR fracture zone constraints and the Carlsberg Ridge constraints. Data on the Indian Plate side of the Carlsberg Ridge (Arabian Basin) were rotated to the Capricorn Plate before being included in the constraints. Plate trajectories and spreading rate histories for the CIR and SWIR based on the new rotations document the major early Cenozoic changes in plate motion. On the CIR and SEIR there was a large but gradual slowdown starting around Chron 23o (51.9 Ma) and continuing until Chron 21y (45.3 Ma) followed 2 or 3 Myr later by an abrupt change in spreading azimuth which started around Chron 20o (42.8) Ma and which was completed by Chron 20y (41.5 Ma). No change in spreading rate accompanied the abrupt change in spreading direction. On the SWIR there was a continuous increase in spreading rates between Chrons 23o and 20o and large changes in azimuth around Chrons 24 and 23 and again at Chron 21. Unexpectedly, we found that the two sets of rotations constrained by the Carlsberg Ridge data diverged from the other two sets of rotations prior to anomaly 22o. When compared to rotations for the CIR that are simultaneously constrained by data from all three branches of the Indian Ocean Triple Junction, there is a progressively larger separation of anomalies on the Carlsberg Ridge, with a roughly 25 km misfit for anomaly 23o and increasing to over 100 km for anomaly 26y. These data require that there was previously unrecognized convergence somewhere in the plate circuit linking the Indian, Capricorn and Somali plates prior to Chron 22o. We quantify this motion by summing our new Capricorn-Somalia rotations with previously published rotations for Neogene India-Capricorn motion and for early Cenozoic Somali-India motion based solely on Carlsberg Ridge data. The most likely possibility is that there was motion within the Somalia Plate due to a distinct Seychelles microplate as young as Chron 22o. The sense of the misfit on the Carlsberg Ridge is consistent with roughly 100-150 km of convergence across a boundary passing through the Amirante Trench and extending north to the Carlsberg Ridge axis between anomalies 26y and 22o. Alternatively, there may have been convergence within the Indian Plate, either along the western margin of Indian or east of the CIR in the region of the current Capricorn-Indian diffuse plate boundary. Our work sharpens the dating of the two major Eocene changes in plate motion recognized in the Indian Ocean.</t>
  </si>
  <si>
    <t>[Cande, Steven C.] Univ Calif San Diego, Scripps Inst Oceanog, La Jolla, CA 92093 USA; [Patriat, Philippe; Dyment, Jerome] Inst Phys Globe, Lab Geosci Marines, F-75252 Paris 05, France</t>
  </si>
  <si>
    <t>University of California System; University of California San Diego; Scripps Institution of Oceanography; Universite Paris Cite</t>
  </si>
  <si>
    <t>Cande, SC (corresponding author), Univ Calif San Diego, Scripps Inst Oceanog, La Jolla, CA 92093 USA.</t>
  </si>
  <si>
    <t>scande@ucsd.edu</t>
  </si>
  <si>
    <t>Dyment, Jérôme/A-6788-2011</t>
  </si>
  <si>
    <t>NSF [ANT0944345]; IPGP; SIO; Office of Polar Programs (OPP); Directorate For Geosciences [0944345] Funding Source: National Science Foundation</t>
  </si>
  <si>
    <t>NSF(National Science Foundation (NSF)); IPGP; SIO; Office of Polar Programs (OPP); Directorate For Geosciences(National Science Foundation (NSF)NSF - Directorate for Geosciences (GEO))</t>
  </si>
  <si>
    <t>Helpful comments were received from Ian Norton and two anonymous reviewers. Support for this work was provided by NSF grant ANT0944345 to SCC. A stipend from IPGP to SCC supported an extended stay in Paris; stipends from SIO supported extended stays at Scripps by PP and JD. This is IPGP contribution #3043.</t>
  </si>
  <si>
    <t>10.1111/j.1365-246X.2010.04737.x</t>
  </si>
  <si>
    <t>651CQ</t>
  </si>
  <si>
    <t>WOS:000281902600011</t>
  </si>
  <si>
    <t>Di Roberto, A; Pompilio, M; Wilch, TI</t>
  </si>
  <si>
    <t>Di Roberto, Alessio; Pompilio, Massimo; Wilch, Thomas I.</t>
  </si>
  <si>
    <t>Late Miocene submarine volcanism in ANDRILL AND-1B drill core, Ross Embayment, Antarctica</t>
  </si>
  <si>
    <t>GEOSPHERE</t>
  </si>
  <si>
    <t>PYROCLASTIC DEPOSITS; MCMURDO SOUND; ERUPTION; ISLAND; GEOCHRONOLOGY; GEOCHEMISTRY; EVOLUTION; PRODUCTS; SEQUENCE; HISTORY</t>
  </si>
  <si>
    <t>The ANDRILL McMurdo Ice Shelf initiative recovered a 1285-m-long core (AND-1B) composed of cyclic glacimarine sediments with interbedded volcanic deposits. The thickest continuous volcanic sequence by far is similar to 175 m long and is found at mid-core depths from 584.19 to 759.32 m below sea-floor. The sequence was logged, and initial interpretations of lithostratigraphic subdivisions were made on ice during drilling in late 2006. Subsequent observations, based on image, petrographic, and scanning electron microscopy-energy dispersive spectroscopy analyses, provide a more detailed, revised interpretation of a thick submarine to emergent volcanic succession. The sequence is subdivided into two main subsequences on the basis of sediment composition, texture, and alteration style. The similar to 70-m-thick lower subsequence consists mostly of monothematic stacked volcanic-rich mudstone and sandstone deposits, which are attributed to epiclastic gravity flow turbidite processes. This subsequence is consistent with abundant active volcanism that occurred at a distal site with respect to the drill site. The similar to 105-m-thick upper subsequence consists mainly of interbedded tuff, lapilli tuff, and volcanic diamictite. A Late Miocene (6.48 Ma) 2.81-m-thick subaqueously emplaced lava flow occurs within the second subsequence. This second subsequence is attributed to recurring cycles of submarine to emergent volcanic activity that occurred proximal to the drill site. This new data set provides (1) the first rock evidence of significant Late Miocene submarine volcanic activity in the Ross Embayment during a period of no to limited glaciation, and (2) a rich stratigraphic record that elucidates submarine volcano-sedimentary processes in an offshore setting.</t>
  </si>
  <si>
    <t>[Di Roberto, Alessio; Pompilio, Massimo] Ist Nazl Geofis &amp; Vulcanol, Sez Pisa, I-56126 Pisa, Italy; [Wilch, Thomas I.] Albion Coll, Dept Geol Sci, Albion, MI 49224 USA</t>
  </si>
  <si>
    <t>Istituto Nazionale Geofisica e Vulcanologia (INGV); Albion College</t>
  </si>
  <si>
    <t>Di Roberto, A (corresponding author), Ist Nazl Geofis &amp; Vulcanol, Sez Pisa, Via Faggiola 32, I-56126 Pisa, Italy.</t>
  </si>
  <si>
    <t>Pompilio, Massimo/M-5380-2019; Di Roberto, Alessio/C-3547-2014; Di Roberto, Alessio/AAH-1595-2019; Pompilio, Massimo N/C-5892-2008</t>
  </si>
  <si>
    <t>Pompilio, Massimo/0000-0002-0742-0679; Di Roberto, Alessio/0000-0003-1167-8290; Di Roberto, Alessio/0000-0003-1167-8290;</t>
  </si>
  <si>
    <t>U.S. National Science Foundation; New Zealand Foundation for Research Science and Technology; Italian Antarctic Research Programme; German Research Foundation; Alfred Wegener Institute for Polar and Marine Research</t>
  </si>
  <si>
    <t>U.S. National Science Foundation(National Science Foundation (NSF)); New Zealand Foundation for Research Science and Technology(New Zealand Foundation for Research, Science and Technology); Italian Antarctic Research Programme; German Research Foundation(German Research Foundation (DFG)); Alfred Wegener Institute for Polar and Marine Research</t>
  </si>
  <si>
    <t>The ANDRILL project is a multinational collaboration between the Antarctic programs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The scientific studies are jointly supported by the U.S. National Science Foundation, the New Zealand Foundation for Research Science and Technology, the Italian Antarctic Research Programme, the German Research Foundation, and the Alfred Wegener Institute for Polar and Marine Research. We are grateful for the detailed core logging by the McMurdo Ice Shelf Sedimentology Team and for helpful discussions with Phil Kyle during the drilling. We thank co-chiefs (Tim Naish, Ross Powell) and staff scientist Richard Levy for coordinating efforts, and A. Cavallo (Istituto Nazionale di Geofisica e Vulcanologia, Rome) for assistance in scanning electron microscope observations. Di Roberto benefited from a Programme for Antarctic Research post-doctoral fellowship.</t>
  </si>
  <si>
    <t>1553-040X</t>
  </si>
  <si>
    <t>Geosphere</t>
  </si>
  <si>
    <t>10.1130/GES00537.1</t>
  </si>
  <si>
    <t>661FJ</t>
  </si>
  <si>
    <t>WOS:000282709700006</t>
  </si>
  <si>
    <t>Hall, BL</t>
  </si>
  <si>
    <t>Hall, B. L.</t>
  </si>
  <si>
    <t>Holocene relative sea-level changes and ice fluctuations in the South Shetland Islands</t>
  </si>
  <si>
    <t>GLOBAL AND PLANETARY CHANGE</t>
  </si>
  <si>
    <t>relative sea level change; Holocene; Antarctic Peninsula South Shetland Islands; radiocarbon</t>
  </si>
  <si>
    <t>KING-GEORGE-ISLAND; RADIOCARBON AGE CALIBRATION; TERRA-NOVA BAY; CAL KYR BP; WEST ANTARCTICA; VICTORIA LAND; GLACIAL HISTORY; SEDIMENTATION; PENINSULA; BEACHES</t>
  </si>
  <si>
    <t>Determining the nature and timing of glacial and climate fluctuations in Antarctica relative to those in the rest of the Southern Hemisphere is prerequisite for understanding the role of the southern high latitudes in climate change Here I present relative sea-level data from the South Shetland Islands (62-63 S 58-61 W) that bear on the timing of Holocene deglaciation and subsequent ice fluctuations Radiocarbon dates from raised beach sediments indicate that the 18-21 m elevation beach that marks marine limit dates to similar to 7000 cal yr B P However limited evidence from stratigraphic sections and lake cores suggests that initial deglaciation may have occurred more than 2000 yr earlier Rather than showing an exponential shape typical of other Antarctic sites the relative sea-level record of the South Shetland Islands is complex and characterized by what appear to be transgressions at similar to 6000-7000 and similar to 400 cal yr B P These transgressions may have been linked to glacial advance (C) 2010 Elsevier B V All rights reserved</t>
  </si>
  <si>
    <t>[Hall, B. L.] Univ Maine, Dept Earth Sci, Orono, ME 04469 USA; [Hall, B. L.] Univ Maine, Climate Change Inst, Orono, ME USA</t>
  </si>
  <si>
    <t>University of Maine System; University of Maine Orono; University of Maine System; University of Maine Orono</t>
  </si>
  <si>
    <t>Hall, BL (corresponding author), Univ Maine, Dept Earth Sci, Orono, ME 04469 USA.</t>
  </si>
  <si>
    <t>Office of Polar Programs of the National Science Foundation</t>
  </si>
  <si>
    <t>I thank E Perry and J Evans for excellent field assistance and Captains Warren Sanamo and Robert Verret of the Lawrence M Gould as well as the crew and marine support staff for logistical aid Two reviewers and editor T Cronin provided helpful comments This research was supported by the Office of Polar Programs of the National Science Foundation</t>
  </si>
  <si>
    <t>0921-8181</t>
  </si>
  <si>
    <t>1872-6364</t>
  </si>
  <si>
    <t>GLOBAL PLANET CHANGE</t>
  </si>
  <si>
    <t>Glob. Planet. Change</t>
  </si>
  <si>
    <t>10.1016/j.gloplacha.2010.07.007</t>
  </si>
  <si>
    <t>682IP</t>
  </si>
  <si>
    <t>WOS:000284394900002</t>
  </si>
  <si>
    <t>Dodds, K</t>
  </si>
  <si>
    <t>Dodds, Klaus</t>
  </si>
  <si>
    <t>A Polar Mediterranean? Accessibility, Resources and Sovereignty in the Arctic Ocean</t>
  </si>
  <si>
    <t>GLOBAL POLICY</t>
  </si>
  <si>
    <t>GEOPOLITICS</t>
  </si>
  <si>
    <t>The Arctic Ocean has been described as undergoing a fundamental 'state change' - with particular reference to the loss of sea ice. Recent events suggest that the five coastal states (Canada, Denmark/Greenland, Norway, Russia and the United States) and other stakeholders are fundamentally reconsidering their relationship with the Arctic Ocean. The prevailing governance of the Arctic Ocean is quite different to the Antarctic and Southern Ocean. The Arctic Ocean is not a global common and there is no equivalent to the 1959 Antarctic Treaty. If the Arctic Ocean is in a state of flux then it is due to three interlocking vectors: the role of science and technology in generating knowledge about the region (accessibility); international law and rights of coastal states (resources); and the role of domestic and international audiences (sovereignty).</t>
  </si>
  <si>
    <t>Univ London, London WC1E 7HU, England</t>
  </si>
  <si>
    <t>University of London</t>
  </si>
  <si>
    <t>Dodds, K (corresponding author), Univ London, London WC1E 7HU, England.</t>
  </si>
  <si>
    <t>1758-5880</t>
  </si>
  <si>
    <t>1758-5899</t>
  </si>
  <si>
    <t>GLOB POLICY</t>
  </si>
  <si>
    <t>Glob. Policy</t>
  </si>
  <si>
    <t>10.1111/j.1758-5899.2010.00038.x</t>
  </si>
  <si>
    <t>International Relations; Political Science</t>
  </si>
  <si>
    <t>International Relations; Government &amp; Law</t>
  </si>
  <si>
    <t>V26ZE</t>
  </si>
  <si>
    <t>WOS:000208582700007</t>
  </si>
  <si>
    <t>Rodhouse, PG</t>
  </si>
  <si>
    <t>Rodhouse, Paul G.</t>
  </si>
  <si>
    <t>Effects of environmental variability and change on cephalopod populations: an Introduction to the CIAC '09 Symposium special issue</t>
  </si>
  <si>
    <t>Cephalopod International Advisory Council; cephalopod populations; environmental variability</t>
  </si>
  <si>
    <t>ILLEX-ARGENTINUS CEPHALOPODA; DOSIDICUS-GIGAS; RANGE EXPANSION; OMMASTREPHIDAE; SQUID; RECRUITMENT; FISHERY</t>
  </si>
  <si>
    <t>Rodhouse, P. G. 2010 Effects of environmental variability and change on cephalopod populations: an Introduction to the CIAC '09 Symposium special issue. - ICES Journal of Marine Science, 67: 1311-1313.</t>
  </si>
  <si>
    <t>British Antarctic Survey, Cambridge CB3 0ET, England</t>
  </si>
  <si>
    <t>Rodhouse, PG (corresponding author), British Antarctic Survey, Madingley Rd, Cambridge CB3 0ET, England.</t>
  </si>
  <si>
    <t>p.rodhouse@bas.ac.uk</t>
  </si>
  <si>
    <t>Rodhouse, Paul/0000-0001-5399-967X</t>
  </si>
  <si>
    <t>1095-9289</t>
  </si>
  <si>
    <t>10.1093/icesjms/fsq096</t>
  </si>
  <si>
    <t>648UH</t>
  </si>
  <si>
    <t>WOS:000281719300001</t>
  </si>
  <si>
    <t>Rodhouse, PG; Boyle, PR</t>
  </si>
  <si>
    <t>Rodhouse, Paul G.; Boyle, Peter R.</t>
  </si>
  <si>
    <t>Large aggregations of pelagic squid near the ocean surface at the Antarctic Polar Front, and their capture by grey-headed albatrosses</t>
  </si>
  <si>
    <t>Antarctic Polar Front; grey-headed albatross; location and capture methods; pelagic midwater trawl; satellite tracking; squid</t>
  </si>
  <si>
    <t>MARTIALIA-HYADESI; FISHERY BIOLOGY; SOUTH GEORGIA; CEPHALOPODS; OMMASTREPHIDAE; OCEANOGRAPHY</t>
  </si>
  <si>
    <t>Satellite-tracked squid predators and fish-finding acoustics were used to locate squid concentrations at the Antarctic Polar Front, then to sample them with a midwater trawl. Near-surface hauls were dominated by the squid Martialia hyadesi similar in size to those fed to grey-headed albatross chicks. The characteristics of the squid and their proximity to the surface suggest that the birds locate squid concentrations by olfaction and catch them by plunging.</t>
  </si>
  <si>
    <t>[Rodhouse, Paul G.] British Antarctic Survey, Cambridge CB3 0ET, England; [Boyle, Peter R.] Univ Aberdeen, Dept Zool, Aberdeen AB9 2TN, Scotland</t>
  </si>
  <si>
    <t>UK Research &amp; Innovation (UKRI); Natural Environment Research Council (NERC); NERC British Antarctic Survey; University of Aberdeen</t>
  </si>
  <si>
    <t>10.1093/icesjms/fsq069</t>
  </si>
  <si>
    <t>WOS:000281719300015</t>
  </si>
  <si>
    <t>Barratt, IM; Allcock, AL</t>
  </si>
  <si>
    <t>Barratt, Iain M.; Allcock, A. Louise</t>
  </si>
  <si>
    <t>Ageing octopods from stylets: development of a technique for permanent preparations</t>
  </si>
  <si>
    <t>age; growth increments; octopus; statolith; stylet</t>
  </si>
  <si>
    <t>LOLLIGUNCULA-BREVIS; VULGARIS CUVIER; GROWTH LINES; SQUID; MICROSTRUCTURE; STATOLITHS; AGE; CEPHALOPODA; VALIDATION; TOOLS</t>
  </si>
  <si>
    <t>Previous attempts at ageing octopods from stylets have relied on preparations that deteriorate with time. Some techniques require an immediate photographic record, others allow real-time enumeration but do not provide a permanent archive. A technique is described that produces permanent and archivable preparations of octopod stylets. Stylets were dehydrated in ethanol and infiltrated with a low-viscosity resin. Subsequent polymerization of the resin allowed the embedded stylet to be ground and polished to reveal the stylet microstructure. This comprised increments that are probably suitable for age estimation. The technique was developed using stylets of Octopus vulgaris and Eledone cirrhosa. Increments were composed of light and dark bands and were clearly defined at x400 and at x625 magnifications. The number of increments ranged from 189 to 399. The stylets of a deep-sea species (Bathypolypus sponsalis) and an Antarctic species (Megaleledone setebos) were also examined. Each appeared to have growth increments, despite the perception that the environments they inhabited may not provide daily cues. Using the technique developed, the pre-hatch nucleus was seldom well defined, as reported for O. pallidus, stylets of which were prepared using a non-permanent method. Reasons for this are discussed. The microstructure clarity revealed is probably associated with the ultra-low viscosity of the resin used.</t>
  </si>
  <si>
    <t>[Allcock, A. Louise] Natl Univ Ireland Galway, Martin Ryan Marine Sci Inst, Galway, Ireland; [Barratt, Iain M.] Queens Univ Belfast, Sch Biol Sci, Belfast BT9 7BL, Antrim, North Ireland</t>
  </si>
  <si>
    <t>Ollscoil na Gaillimhe-University of Galway; Queens University Belfast</t>
  </si>
  <si>
    <t>Allcock, AL (corresponding author), Natl Univ Ireland Galway, Martin Ryan Marine Sci Inst, Univ Rd, Galway, Ireland.</t>
  </si>
  <si>
    <t>louise.allcock@gmail.com</t>
  </si>
  <si>
    <t>Allcock, Louise/A-7359-2012</t>
  </si>
  <si>
    <t>Allcock, Louise/0000-0002-4806-0040</t>
  </si>
  <si>
    <t>Department for Employment and Learning, Northern Ireland</t>
  </si>
  <si>
    <t>We thank Roger Villanueva for his helpful insight into the potential early life phases of E. cirrhosa, and Stephen Leporati and Zoe Doubleday for information on O. pallidus hatchlings. Corey Green and two anonymous referees provided critical feedback on the manuscript. IMB was supported by a graduate studentship from the Department for Employment and Learning, Northern Ireland.</t>
  </si>
  <si>
    <t>10.1093/icesjms/fsq047</t>
  </si>
  <si>
    <t>WOS:000281719300018</t>
  </si>
  <si>
    <t>Dartnell, LR; Storrie-Lombardi, MC; Ward, JM</t>
  </si>
  <si>
    <t>Dartnell, Lewis R.; Storrie-Lombardi, Michael C.; Ward, John M.</t>
  </si>
  <si>
    <t>Complete fluorescent fingerprints of extremophilic and photosynthetic microbes</t>
  </si>
  <si>
    <t>INTERNATIONAL JOURNAL OF ASTROBIOLOGY</t>
  </si>
  <si>
    <t>4th Conference of the Astrobiology-Society-of-Britain</t>
  </si>
  <si>
    <t>APR 07-09, 2010</t>
  </si>
  <si>
    <t>Egham, ENGLAND</t>
  </si>
  <si>
    <t>biosignature; chlorophyll; cyanobacteria; extremophile; fluorescence; Mars; organic molecule; scytonemin; ultraviolet radiation</t>
  </si>
  <si>
    <t>RAMAN-SPECTROSCOPY; DEINOCOCCUS-RADIODURANS; BIOLOGICAL IMPLICATIONS; RADIATION RESISTANCE; IONIZING-RADIATION; GAMMA-RADIATION; POLAR DESERT; HUMIC ACIDS; MARS; ULTRAVIOLET</t>
  </si>
  <si>
    <t>The work reported here represents a study into the total fluorescence exhibited by a broad selection of model, extremophilic and photosynthetic bacterial strains, over a great range of excitation and emission wavelengths from ultraviolet (UV) through visible to near infrared. The aim is to identify distinctive fluorescent features that may serve as detectable biosignatures of remnant microbial life on the Martian surface. A lab-bench fluorescence spectrometer was used to generate an excitation-emission matrix (EEM) for the unpigmented Escherichia coli, radiation-resistant Deinococcus radiodurans, Antarctic Dry Valley isolates Brevundimonas sp. MV.7 and Rhodococcus sp. MV.10, and the cyanobacterium Synechocystis sp. PCC 6803. Detailed EEMs, representing the fluorescence signature of each organism, are presented, and the most significant features suitable for biosignature surveys are identified, including small-molecule cellular metabolites, light-harvesting photosynthetic pigments and extracellular UV-screening compounds. E. coli exhibits the most intense emission from tryptophan, presumably due to the absence of UV-screening pigments that would shield the organism from short-wavelength light-exciting intracellular fluorescence. The efficacy of commonly available laser diodes for exciting cellular fluorescence is treated, along with the most appropriate filter wavelengths for imaging systems. The best combination of available laser diodes and PanCam filters aboard the ExoMars probe is proposed. The possibility of detecting fluorescence excited by solar UV radiation in freshly exposed surface samples by imaging when both sunlit and shadowed, perhaps by the body of the rover itself, is discussed. We also study how these biological fluorophore molecules may be degraded, and thus the potential biosignatures erased, by the high flux of far-ultraviolet light on Mars.</t>
  </si>
  <si>
    <t>[Dartnell, Lewis R.] UCL, UCL Inst Origins, London WC1E 6BT, England; [Dartnell, Lewis R.] UCL, UCL Birkbeck, Ctr Planetary Sci, London WC1E 6BT, England; [Storrie-Lombardi, Michael C.] Kinohi Inst, Pasadena, CA USA</t>
  </si>
  <si>
    <t>University of London; University College London; University of London; University College London; Birkbeck University London</t>
  </si>
  <si>
    <t>Dartnell, LR (corresponding author), UCL, UCL Inst Origins, London WC1E 6BT, England.</t>
  </si>
  <si>
    <t>nl.dartnell@ucl.ac.uk</t>
  </si>
  <si>
    <t>Ward, John/0000-0002-4415-5544</t>
  </si>
  <si>
    <t>1473-5504</t>
  </si>
  <si>
    <t>1475-3006</t>
  </si>
  <si>
    <t>INT J ASTROBIOL</t>
  </si>
  <si>
    <t>Int. J. Astrobiol.</t>
  </si>
  <si>
    <t>10.1017/S1473550410000224</t>
  </si>
  <si>
    <t>Astronomy &amp; Astrophysics; Biology; Geosciences, Multidisciplinary</t>
  </si>
  <si>
    <t>Astronomy &amp; Astrophysics; Life Sciences &amp; Biomedicine - Other Topics; Geology</t>
  </si>
  <si>
    <t>674VU</t>
  </si>
  <si>
    <t>WOS:000283779200009</t>
  </si>
  <si>
    <t>Hübscher, C; Dullo, C; Flögel, S; Titschack, J; Schönfeld, J</t>
  </si>
  <si>
    <t>Huebscher, Christian; Dullo, Christian; Floegel, Sascha; Titschack, Juergen; Schoenfeld, Joachim</t>
  </si>
  <si>
    <t>Contourite drift evolution and related coral growth in the eastern Gulf of Mexico and its gateways</t>
  </si>
  <si>
    <t>INTERNATIONAL JOURNAL OF EARTH SCIENCES</t>
  </si>
  <si>
    <t>Bottom currents; Contourite drifts; Cold-water corals; Hydroacoustics; Seafloor video observation; Gulf of Mexico</t>
  </si>
  <si>
    <t>ANTARCTIC CIRCUMPOLAR CURRENT; CHANNEL-LEVEE SYSTEM; LOOP CURRENT; FLORIDA CURRENT; DEEP CURRENTS; BENGAL FAN; SLOPE; VARIABILITY; TRANSPORT; DEPOSITS</t>
  </si>
  <si>
    <t>Sediment subbottom profiler and multi-beam data reveal that sediment drifts evolved in various depth intervals between 420 and 650 m water depth in the eastern Golf of Mexico and its gateways. Drift evolution on the western flank of the Yucatan Strait is controlled by the northbound Loop Current down to 800 m and by a countercurrent beneath. On the northern Campeche Bank and the West Florida Slope, drifts evolved in depth of 520-600 m and 420-550 m, respectively. In both instances, the causative contour current represents a counter flow to the Loop Current. The varying depth ranges correlate with an eastward rise of the upper boundary of the Antarctic Intermediate Water. The geometry and reflection pattern of upper slope deposits strongly suggest that the causative bottom current velocities in the eastern Gulf of Mexico varied significantly in space and time. The subbottom profiler data further show peculiar stacked diffraction hyperbolae in depths between 480 and 600 m. Camera and video observations from the seafloor off western Florida imply that the diffraction hyperbolas are formed by boulders and cliffs of sedimentary rock, which are locally colonized by cold-water corals, such as Lophelia pertusa, octocorals and stylasterids.</t>
  </si>
  <si>
    <t>[Huebscher, Christian] Univ Hamburg, Inst Geophys, D-20146 Hamburg, Germany; [Dullo, Christian; Floegel, Sascha; Schoenfeld, Joachim] IFM GEOMAR, Leibniz Inst Meereswissensch, D-24109 Kiel, Germany; [Titschack, Juergen] Univ Erlangen Nurnberg, GeoZentrum Nordbayern, Fachgrp Palaoumwelt, D-91054 Erlangen, Germany</t>
  </si>
  <si>
    <t>University of Hamburg; Helmholtz Association; GEOMAR Helmholtz Center for Ocean Research Kiel; University of Erlangen Nuremberg</t>
  </si>
  <si>
    <t>Hübscher, C (corresponding author), Univ Hamburg, Inst Geophys, Bundesstr 55, D-20146 Hamburg, Germany.</t>
  </si>
  <si>
    <t>Christian.huebscher@zmaw.de; cdullo@ifm-geomar.de; sfloegel@ifm-geomar.de; Juergen.Titschack@gzn.uni-erlangen.de; jschoenfeld@ifm-geomar.de</t>
  </si>
  <si>
    <t>Dullo, Wolf-Christian/O-2679-2014; Huebscher, Christian/Q-4563-2019; Flögel, Sascha/AAC-7786-2022; Huebscher, Christian/F-4148-2016; Titschack, Jurgen/L-2095-2015</t>
  </si>
  <si>
    <t>Huebscher, Christian/0000-0001-7380-2344; Flögel, Sascha/0000-0002-2818-5532; Huebscher, Christian/0000-0001-7380-2344; Titschack, Jurgen/0000-0001-9373-9688</t>
  </si>
  <si>
    <t>German Research Foundation (DFG)</t>
  </si>
  <si>
    <t>We would like to thank Pia Pulm, Hamburg, and Julie Richey, St. Petersburg, U.S.A., for her support during the preparation of the manuscript. Thanks to all watch keepers from the shipboard scientific party on R/V Meteor cruise M78/1 who spent hours and days in the hydroacoustic lab. The comments of Michael Strasser and an anonymous reviewer further improved the manuscript. The support of Captain Niels Jakobi and his crew is gratefully acknowledged. The shipboard work was funded by the Senatskommission fur Ozeanographie'' of the German Research Foundation (DFG).</t>
  </si>
  <si>
    <t>1437-3254</t>
  </si>
  <si>
    <t>1437-3262</t>
  </si>
  <si>
    <t>INT J EARTH SCI</t>
  </si>
  <si>
    <t>Int. J. Earth Sci.</t>
  </si>
  <si>
    <t>S191</t>
  </si>
  <si>
    <t>S206</t>
  </si>
  <si>
    <t>10.1007/s00531-010-0558-6</t>
  </si>
  <si>
    <t>662FD</t>
  </si>
  <si>
    <t>WOS:000282791800012</t>
  </si>
  <si>
    <t>Pindi, PK; Manorama, R; Begum, Z; Shivaji, S</t>
  </si>
  <si>
    <t>Pindi, Pavan Kumar; Manorama, Ruth; Begum, Zareena; Shivaji, S.</t>
  </si>
  <si>
    <t>Arthrobacter antarcticus sp. nov., isolated from an Antarctic marine sediment</t>
  </si>
  <si>
    <t>HUMAN CLINICAL SPECIMENS; DEEP-SEA SEDIMENT; BACTERIAL SYSTEMATICS; SEQUENCE ALIGNMENT; ACID; SOIL</t>
  </si>
  <si>
    <t>A bacterial strain, SPC26(T), was isolated from a sediment sample of the Southern Ocean off Antarctica. The strain was Gram-staining- and catalase-positive and contained lysine and alanine in the cell-wall peptidoglycan. The major cellular fatty acids were anteiso-C-15:0 (54.92%), iso-C-15:0 (11.47%), anteiso-C-17:0 (6.48%) and anteiso-C-15:1 (6.38%) and the major menaquinones were MK-8, MK-9 and MK-10. The major polar lipids were phosphatidylethanolamine and diphosphatidylglycerol. The G C content was 68 +/- 0.5 mol%. Based on 16S rRNA gene sequence similarities, the nearest phylogenetic neighbours cif strain SPC26(T) were identified as Arthrobacter gangotriensis Lz1y(T). (98.8%), A. sulfureus DSM 20167(T) (98.6%), A. psychrophenolicus DSM 15454(T) (97.90%) and A. kerguelensis KGN15(T) (97.5). With these strains, strain SPC26(T) exhibited DNA DNA relatedness values of 36, 21, 12 and 10%, respectively. Therefore, on the basis of 16S rRNA gene sequence comparisons, phylogenetic analysis, phenotypic characteristics and DNA DNA relatedness, it is proposed that strain SPC26(T) represents a novel species of Arthrobacter, for which the name Arthrobacter antarcticus sp. nov. is proposed, with strain SPC26(T) (=LMG 24542(T) =NCCB 100228(T)) as the type strain.</t>
  </si>
  <si>
    <t>[Pindi, Pavan Kumar; Manorama, Ruth; Begum, Zareena; Shivaji, S.] Ctr Cellular &amp; Mol Biol, Hyderabad 500007, Andhra Pradesh, India</t>
  </si>
  <si>
    <t>Council of Scientific &amp; Industrial Research (CSIR) - India; CSIR - Centre for Cellular &amp; Molecular Biology (CCMB)</t>
  </si>
  <si>
    <t>Shivaji, S (corresponding author), Ctr Cellular &amp; Mol Biol, Uppal Rd, Hyderabad 500007, Andhra Pradesh, India.</t>
  </si>
  <si>
    <t>shivas@ccmb.res.in</t>
  </si>
  <si>
    <t>shivaji, sisinthy/0000-0003-0376-4658</t>
  </si>
  <si>
    <t>10.1099/ijs.0.012989-0</t>
  </si>
  <si>
    <t>675KT</t>
  </si>
  <si>
    <t>WOS:000283830300001</t>
  </si>
  <si>
    <t>Kumar, PA; Srinivas, TNR; Kumar, PP; Madhu, S; Shivaji, S</t>
  </si>
  <si>
    <t>Kumar, P. Anil; Srinivas, T. N. R.; Kumar, P. Pavan; Madhu, S.; Shivaji, S.</t>
  </si>
  <si>
    <t>Nitritalea halalkaliphila gen. nov., sp. nov., an alkaliphilic bacterium of the family 'Cyclobacteriaceae', phylum Bacteroidetes</t>
  </si>
  <si>
    <t>MARINE BACTERIUM; EMENDED DESCRIPTION; SURFACE-WATER; ALGORIPHAGUS; IDENTIFICATION; PROPOSAL</t>
  </si>
  <si>
    <t>A novel Gram-negative, rod-shaped, non-motile bacterium, designated strain LW7(T), was isolated from a water sample collected at a depth of 4.5 m from Lonar Lake in Buldhana district, Maharastra, India. The cell suspension was dark-reddish orange due to the presence of carotenoids. The fatty acids were dominated by large amounts of iso-C-15:0 (59.6%) and isoC(17:0) 3-OH (8.9%). Strain LW7(T) contained MK-4 and MK-5 as the major respiratory quinones and phosphatidylglycerol and phosphatidylethanolamine as the major phospholipids. 16S rRNA gene sequence analysis indicated that Belliella baltica, a member of family 'Cyclobacteriaceae' (phylum Bacteroidetes), is the closest related species, with a sequence similarity of 94.0% to the type strain. Other members of the family 'Cyclobacteriaceae' had sequence similarities of &lt;93.3%. Based on the above-mentioned phenotypic and phylogenetic characteristics, strain LW7(T) is proposed as a representative of a new genus and species, Nitritalea halalkaliphila gen. nov., sp. nov. The type strain of Nitritalea halalkaliphila is LW7(T) (=CCUG 57665(T) =JCM 15946(T) =NCCB 100279(T)). The genomic DNA G+C of strain LW7(T) is 49 mol%.</t>
  </si>
  <si>
    <t>[Kumar, P. Anil; Srinivas, T. N. R.; Kumar, P. Pavan; Madhu, S.; Shivaji, S.] Ctr Cellular &amp; Mol Biol, Hyderabad 500007, Andhra Pradesh, India</t>
  </si>
  <si>
    <t>TANUKU, SRINIVAS N R/F-1029-2013</t>
  </si>
  <si>
    <t>National Centre for Antarctic and Ocean Research, Goa; Department of Biotechnology, New Delhi; CSIR; CSIR, Government of India</t>
  </si>
  <si>
    <t>National Centre for Antarctic and Ocean Research, Goa; Department of Biotechnology, New Delhi(Department of Biotechnology (DBT) India); CSIR(Council of Scientific &amp; Industrial Research (CSIR) - India); CSIR, Government of India(Council of Scientific &amp; Industrial Research (CSIR) - India)</t>
  </si>
  <si>
    <t>We would like to thank Dr S. W. A. Naqvi, Scientist, National Institute of Oceanography, Goa, India, for providing the samples. S. S. is thankful to the National Centre for Antarctic and Ocean Research, Goa, Department of Biotechnology, New Delhi, and the CSIR Network Project on Biodiversity for funding. T. N. R. S. acknowledges the CSIR, Government of India, for the award of a Research Associateship.</t>
  </si>
  <si>
    <t>MICROBIOLOGY SOC</t>
  </si>
  <si>
    <t>CHARLES DARWIN HOUSE, 12 ROGER ST, LONDON WC1N 2JU, ERKS, ENGLAND</t>
  </si>
  <si>
    <t>1466-5034</t>
  </si>
  <si>
    <t>10.1099/ijs.0.020230-0</t>
  </si>
  <si>
    <t>WOS:000283830300012</t>
  </si>
  <si>
    <t>Ardini, F; Soggia, F; Rugi, F; Udisti, R; Grotti, M</t>
  </si>
  <si>
    <t>Ardini, Francisco; Soggia, Francesco; Rugi, Francesco; Udisti, Roberto; Grotti, Marco</t>
  </si>
  <si>
    <t>Conversion of rare earth elements to molecular oxide ions in a dynamic reaction cell and consequences on their determination by inductively coupled plasma mass spectrometry</t>
  </si>
  <si>
    <t>JOURNAL OF ANALYTICAL ATOMIC SPECTROMETRY</t>
  </si>
  <si>
    <t>ICP-MS; GEOLOGICAL SAMPLES; ENVIRONMENTAL MATRICES; PRECONCENTRATION; SEPARATION; SEDIMENTS; ROCKS; INTERFERENCES; EXTRACTION; HYDROGEN</t>
  </si>
  <si>
    <t>The behaviour of rare earth elements (REEs) ions within a dynamic reaction cell (DRC) pressurized with oxygen was investigated, in order to explore their determination at m/z + 16 by inductively coupled plasma mass spectrometry (ICP-MS). Under the optimized conditions, the conversion of REEs to molecular monoxide ions was nearly quantitative (&gt;96%), with the exception of Tm (78%), Eu (11%) and Yb (6%). Moreover, the formation of dioxide ions was generally lower than 1%. According to these results, a new method for the determination of REEs in digests from geological samples was developed. After microwave-assisted acid digestion, the solutions were directly analyzed by ICP-MS, determining REEs at m/z + 16. The interferences due to dioxide and un-reacted ions were carefully evaluated by taking into account the actual concentration of REEs in sediment samples. In addition, the possible interferences due to other constituents of sediments (e.g. barium) were considered. The accurate determination of Y, La, Ce, Pr, Nd, Sm, Tb, Dy, Ho, Er and Tm was achieved, as demonstrated by the analysis of both certified reference materials and Antarctic marine sediment samples, using ICP sector field mass spectrometry (ICP-SFMS) for comparison. On the other hand, Eu, Gd, Yb and Lu could not be measured by the O-atom addition approach and their separate determination in the standard mode using mathematical correction is hence necessary to obtain the complete REE pattern. The quantification limits (10 times the standard deviation of 10 procedural blanks) were at least two orders of magnitude lower than the REEs concentrations in sediment samples. Precision of the procedure ranged from 1.6% to 6.4%.</t>
  </si>
  <si>
    <t>[Ardini, Francisco; Soggia, Francesco; Grotti, Marco] Univ Genoa, Dept Chem &amp; Ind Chem, I-16146 Genoa, Italy; [Rugi, Francesco; Udisti, Roberto] Univ Florence, Dept Chem, I-50019 Sesto Fiorentino, FI, Italy</t>
  </si>
  <si>
    <t>University of Genoa; University of Florence</t>
  </si>
  <si>
    <t>Grotti, M (corresponding author), Univ Genoa, Dept Chem &amp; Ind Chem, Via Dodecaneso 31, I-16146 Genoa, Italy.</t>
  </si>
  <si>
    <t>grotti@chimica.unige.it</t>
  </si>
  <si>
    <t>Grotti, Marco/HGU-3949-2022; Udisti, Roberto/M-7966-2015; Ardini, Francisco/Q-1965-2017</t>
  </si>
  <si>
    <t>Grotti, Marco/0000-0001-6956-5761; Udisti, Roberto/0000-0003-4440-8238; Ardini, Francisco/0000-0003-0094-9227; Becagli, Silvia/0000-0003-3633-4849</t>
  </si>
  <si>
    <t>0267-9477</t>
  </si>
  <si>
    <t>1364-5544</t>
  </si>
  <si>
    <t>J ANAL ATOM SPECTROM</t>
  </si>
  <si>
    <t>J. Anal. At. Spectrom.</t>
  </si>
  <si>
    <t>10.1039/b927108b</t>
  </si>
  <si>
    <t>Chemistry, Analytical; Spectroscopy</t>
  </si>
  <si>
    <t>Chemistry; Spectroscopy</t>
  </si>
  <si>
    <t>662VS</t>
  </si>
  <si>
    <t>WOS:000282843000007</t>
  </si>
  <si>
    <t>Megann, AP; New, AL; Blaker, AT; Sinha, B</t>
  </si>
  <si>
    <t>Megann, A. P.; New, A. L.; Blaker, A. T.; Sinha, B.</t>
  </si>
  <si>
    <t>The Sensitivity of a Coupled Climate Model to Its Ocean Component</t>
  </si>
  <si>
    <t>JOURNAL OF CLIMATE</t>
  </si>
  <si>
    <t>ISOPYCNIC-COORDINATE MODEL; SUB-ANTARCTIC MODE; NORTH-ATLANTIC; THERMOHALINE CIRCULATION; TRANSPORT; SIMULATIONS; VARIABILITY; ATMOSPHERE; RESOLUTION; WATER</t>
  </si>
  <si>
    <t>The control climates of two coupled climate models are intercompared. The first is the third climate configuration of the Met Office Unified Model (HadCM3), while the second, the Coupled Hadley-Isopycnic Model Experiment (CHIME), is identical to the first except for the replacement of its ocean component by the Hybrid-Coordinate Ocean Model (HYCOM). Both models possess realistic and similar ocean heat transports and overturning circulation. However, substantial differences in the vertical structure of the two ocean components are observed, some of which are directly attributed to their different vertical coordinate systems. In particular, the sea surface temperature (SST) in CHIME is biased warm almost everywhere, particularly in the North Atlantic subpolar gyre, in contrast to HadCM3, which is biased cold except in the Southern Ocean. Whereas the HadCM3 ocean warms from just below the surface down to 1000-m depth, a similar warming in CHIME is more pronounced but shallower and confined to the upper 400 m, with cooling below this. This is particularly apparent in the subtropical thermoclines, which become more diffuse in HadCM3, but sharper in CHIME. This is interpreted as resulting from a more rigorously controlled diapycnal mixing in the interior isopycnic ocean in CHIME. Lower interior mixing is also apparent in the better representation and maintenance of key water masses in CHIME, such as Subantarctic Mode Water, Antarctic Intermediate Water, and North Atlantic Deep Water. Finally, the North Pacific SST cold error in HadCM3 is absent in CHIME, and may be related to a difference in the separation position of the Kuroshio. Disadvantages of CHIME include a nonconservation of heat equivalent to 0.5 W m(-2) globally, and a warming and salinification of the northwestern Atlantic.</t>
  </si>
  <si>
    <t>[Megann, A. P.; New, A. L.; Blaker, A. T.; Sinha, B.] Natl Oceanog Ctr, Southampton SO14 3ZH, Hants, England</t>
  </si>
  <si>
    <t>NERC National Oceanography Centre</t>
  </si>
  <si>
    <t>Megann, AP (corresponding author), Natl Oceanog Ctr, Southampton SO14 3ZH, Hants, England.</t>
  </si>
  <si>
    <t>apm@noc.soton.ac.uk</t>
  </si>
  <si>
    <t>New, Adrian/JVZ-4824-2024; Blaker, Adam T/I-8861-2012</t>
  </si>
  <si>
    <t>Blaker, Adam/0000-0001-5454-0131</t>
  </si>
  <si>
    <t>NERC/SOC Core Strategic; NERC COAPEC [NER/T/S/2001/00187]; NERC RAPID THCMIP [NE/C522268/1]; Natural Environment Research Council [noc010010, noc010005, NE/C522268/1] Funding Source: researchfish; NERC [noc010005, noc010010, NE/C522268/1] Funding Source: UKRI</t>
  </si>
  <si>
    <t>NERC/SOC Core Strategic(UK Research &amp; Innovation (UKRI)Natural Environment Research Council (NERC)); NERC COAPEC; NERC RAPID THCMIP; Natural Environment Research Council(UK Research &amp; Innovation (UKRI)Natural Environment Research Council (NERC)); NERC(UK Research &amp; Innovation (UKRI)Natural Environment Research Council (NERC))</t>
  </si>
  <si>
    <t>We acknowledge NERC/SOC Core Strategic, NERC COAPEC funding (Grant NER/T/S/2001/00187) and the NERC RAPID THCMIP project (Grant NE/C522268/1) for this work. We are grateful to Rainer Bleck and Shan Sun at NASA GISS for their initial contributions to setting up the ocean model, and to Jeff Cole at CGAM, University of Reading, for his assistance in installing the Unified Model. We would also like to thank Chris Gordon, Richard Wood, Helene Banks, and many other colleagues at the Hadley Centre for supplying HadCM3 output data and help in analysis of the coupled model. The authors are grateful to Robert Marsh for his comments on the manuscript, and would like to thank the three anonymous reviewers, whose suggestions significantly improved the paper.</t>
  </si>
  <si>
    <t>AMER METEOROLOGICAL SOC</t>
  </si>
  <si>
    <t>BOSTON</t>
  </si>
  <si>
    <t>45 BEACON ST, BOSTON, MA 02108-3693 USA</t>
  </si>
  <si>
    <t>0894-8755</t>
  </si>
  <si>
    <t>1520-0442</t>
  </si>
  <si>
    <t>J CLIMATE</t>
  </si>
  <si>
    <t>J. Clim.</t>
  </si>
  <si>
    <t>10.1175/2010JCLI3394.1</t>
  </si>
  <si>
    <t>662RY</t>
  </si>
  <si>
    <t>WOS:000282830500005</t>
  </si>
  <si>
    <t>Spence, P; Fyfe, JC; Montenegro, A; Weaver, AJ</t>
  </si>
  <si>
    <t>Spence, Paul; Fyfe, John C.; Montenegro, Alvaro; Weaver, Andrew J.</t>
  </si>
  <si>
    <t>Southern Ocean Response to Strengthening Winds in an Eddy-Permitting Global Climate Model</t>
  </si>
  <si>
    <t>ANTARCTIC CIRCUMPOLAR CURRENT; DRAKE PASSAGE; TEMPERATURE; EDDIES; CIRCULATION; TRANSPORT; FLOW</t>
  </si>
  <si>
    <t>A global climate model with horizontal resolutions in the ocean ranging from relatively coarse to eddy permitting is used to investigate the resolution dependence of the Southern Ocean response to poleward intensifying winds through the past and present centuries. The higher-resolution simulations show poleward migration of distinct ocean fronts associated with a more highly localized near-surface temperature response than in the lower-resolution simulations. The higher-resolution simulations also show increasing southward eddy heat transport, less high-latitude cooling, and greater sea ice loss than the lower-resolution simulations. For all resolutions, from relatively coarse to eddy permitting, there is poleward migration of the Antarctic Circumpolar Current in the Atlantic and the western half of the Indian basin. Finally, zonal transports associated with the Antarctic Circumpolar Current are shown to be sensitive to resolution, and this is discussed in the context of recent observed change.</t>
  </si>
  <si>
    <t>[Spence, Paul] Univ New S Wales, Climate Change Res Ctr, Sydney, NSW, Australia; [Fyfe, John C.] Univ Victoria, Canadian Ctr Climate Modelling &amp; Anal, Environm Canada, Victoria, BC V8W 3V6, Canada; [Montenegro, Alvaro; Weaver, Andrew J.] Univ Victoria, Sch Earth &amp; Ocean Sci, Victoria, BC V8W 3V6, Canada</t>
  </si>
  <si>
    <t>University of New South Wales Sydney; University of Victoria; Environment &amp; Climate Change Canada; Canadian Centre for Climate Modelling &amp; Analysis (CCCma); University of Victoria</t>
  </si>
  <si>
    <t>Spence, P (corresponding author), Univ Victoria, SEOS, STN CSC, 3800 Finnerty Rd,POB 3065, Victoria, BC V8W 3V6, Canada.</t>
  </si>
  <si>
    <t>paul.spence@ccrc.unsw.edu.au</t>
  </si>
  <si>
    <t>Spence, Paul/IZE-7366-2023; Weaver, Andrew J/E-7590-2011; Montenegro, Alvaro/B-4744-2013</t>
  </si>
  <si>
    <t>Spence, Paul/0000-0001-5156-2204; Weaver, Andrew J/0000-0001-8919-3598; Montenegro, Alvaro/0000-0001-6848-1996</t>
  </si>
  <si>
    <t>NSERC/CFCAS CLIVAR</t>
  </si>
  <si>
    <t>NSERC/CFCAS CLIVAR(Natural Sciences and Engineering Research Council of Canada (NSERC))</t>
  </si>
  <si>
    <t>We wish to thank Oleg Saenko and Matthew England for their insightful comments. This research was supported by the NSERC/CFCAS CLIVAR program. Infrastructure support from CFI, NEC, BCKDF, UVic, and UNSW is also acknowledged. We are also very grateful to the anonymous referees.</t>
  </si>
  <si>
    <t>10.1175/2010JCLI3098.1</t>
  </si>
  <si>
    <t>WOS:000282830500020</t>
  </si>
  <si>
    <t>Butchart, N; Cionni, I; Eyring, V; Shepherd, TG; Waugh, DW; Akiyoshi, H; Austin, J; Brühl, C; Chipperfield, MP; Cordero, E; Dameris, M; Deckert, R; Dhomse, S; Frith, SM; Garcia, RR; Gettelman, A; Giorgetta, MA; Kinnison, DE; Li, F; Mancini, E; McLandress, C; Pawson, S; Pitari, G; Plummer, DA; Rozanov, E; Sassi, F; Scinocca, JF; Shibata, K; Steil, B; Tian, W</t>
  </si>
  <si>
    <t>Butchart, Neal; Cionni, I.; Eyring, V.; Shepherd, T. G.; Waugh, D. W.; Akiyoshi, H.; Austin, J.; Bruehl, C.; Chipperfield, M. P.; Cordero, E.; Dameris, M.; Deckert, R.; Dhomse, S.; Frith, S. M.; Garcia, R. R.; Gettelman, A.; Giorgetta, M. A.; Kinnison, D. E.; Li, F.; Mancini, E.; McLandress, C.; Pawson, S.; Pitari, G.; Plummer, D. A.; Rozanov, E.; Sassi, F.; Scinocca, J. F.; Shibata, K.; Steil, B.; Tian, W.</t>
  </si>
  <si>
    <t>Chemistry-Climate Model Simulations of Twenty-First Century Stratospheric Climate and Circulation Changes</t>
  </si>
  <si>
    <t>BREWER-DOBSON CIRCULATION; GRAVITY-WAVE DRAG; MIDDLE ATMOSPHERE; METEOROLOGICAL ANALYSES; INTERACTIVE CHEMISTRY; WATER-VAPOR; OZONE; PARAMETERIZATION; MOMENTUM; IMPACT</t>
  </si>
  <si>
    <t>The response of stratospheric climate and circulation to increasing amounts of greenhouse gases (GHGs) and ozone recovery in the twenty-first century is analyzed in simulations of 11 chemistry-climate models using near-identical forcings and experimental setup. In addition to an overall global cooling of the stratosphere in the simulations (0.59 +/- 6 0.07 K decade(-1) at 10 hPa), ozone recovery causes a warming of the Southern Hemisphere polar lower stratosphere in summer with enhanced cooling above. The rate of warming correlates with the rate of ozone recovery projected by the models and, on average, changes from 0.8 to 0.48 K decade(-1) at 100 hPa as the rate of recovery declines from the first to the second half of the century. In the winter northern polar lower stratosphere the increased radiative cooling from the growing abundance of GHGs is, in most models, balanced by adiabatic warming from stronger polar downwelling. In the Antarctic lower stratosphere the models simulate an increase in low temperature extremes required for polar stratospheric cloud (PSC) formation, but the positive trend is decreasing over the twenty-first century in all models. In the Arctic, none of the models simulates a statistically significant increase in Arctic PSCs throughout the twenty-first century. The subtropical jets accelerate in response to climate change and the ozone recovery produces a westward acceleration of the lower-stratospheric wind over the Antarctic during summer, though this response is sensitive to the rate of recovery projected by the models. There is a strengthening of the Brewer-Dobson circulation throughout the depth of the stratosphere, which reduces the mean age of air nearly everywhere at a rate of about 0.05 yr decade(-1) in those models with this diagnostic. On average, the annual mean tropical upwelling in the lower stratosphere (similar to 70 hPa) increases by almost 2% decade(-1), with 59% of this trend forced by the parameterized orographic gravity wave drag in the models. This is a consequence of the eastward acceleration of the subtropical jets, which increases the upward flux of (parameterized) momentum reaching the lower stratosphere in these latitudes.</t>
  </si>
  <si>
    <t>[Butchart, Neal] Hadley Ctr, Met Off, Exeter EX1 3PB, Devon, England; [Cionni, I.; Eyring, V.; Dameris, M.; Deckert, R.] Deutsch Zentrum Luft &amp; Raumfahrt, Oberpfaffenhofen, Germany; [Shepherd, T. G.; McLandress, C.] Univ Toronto, Toronto, ON, Canada; [Waugh, D. W.] Johns Hopkins Univ, Baltimore, MD USA; [Akiyoshi, H.] Natl Inst Environm Studies, Tsukuba, Ibaraki, Japan; [Austin, J.] Geophys Fluid Dynam Lab, Princeton, NJ USA; [Bruehl, C.; Steil, B.] Max Planck Inst Chem, D-55128 Mainz, Germany; [Chipperfield, M. P.; Dhomse, S.; Tian, W.] Univ Leeds, Leeds, W Yorkshire, England; [Cordero, E.] San Jose State Univ, San Jose, CA 95192 USA; [Frith, S. M.] Sci Syst &amp; Applicat Inc, Lanham, MD USA; [Garcia, R. R.; Gettelman, A.; Kinnison, D. E.] Natl Ctr Atmospher Res, Boulder, CO 80307 USA; [Giorgetta, M. A.] Max Planck Inst Meteorol, Hamburg, Germany; [Li, F.] Univ Maryland Baltimore Cty, Baltimore, MD 21228 USA; [Mancini, E.; Pitari, G.] Univ Aquila, I-67100 Laquila, Italy; [Pawson, S.] NASA, Goddard Space Flight Ctr, Greenbelt, MD 20771 USA; [Plummer, D. A.] Environm Canada, Toronto, ON, Canada; [Rozanov, E.] World Radiat Ctr, Phys Meteorol Observ, Davos, Switzerland; [Rozanov, E.] Swiss Fed Inst Technol, Zurich, Switzerland; [Sassi, F.] USN, Res Lab, Washington, DC 20375 USA; [Scinocca, J. F.] Univ Victoria, Meteorol Serv Canada, Victoria, BC, Canada; [Shibata, K.] Meteorol Res Inst, Tsukuba, Ibaraki 305, Japan</t>
  </si>
  <si>
    <t>Met Office - UK; Hadley Centre; Helmholtz Association; German Aerospace Centre (DLR); University of Toronto; Johns Hopkins University; National Institute for Environmental Studies - Japan; National Oceanic Atmospheric Admin (NOAA) - USA; Max Planck Society; University of Leeds; California State University System; San Jose State University; Science Systems and Applications Inc; National Center Atmospheric Research (NCAR) - USA; Max Planck Society; University System of Maryland; University of Maryland Baltimore County; University of L'Aquila; National Aeronautics &amp; Space Administration (NASA); NASA Goddard Space Flight Center; Environment &amp; Climate Change Canada; Swiss Federal Institutes of Technology Domain; ETH Zurich; United States Department of Defense; United States Navy; Naval Research Laboratory; Environment &amp; Climate Change Canada; Meteorological Service of Canada; University of Victoria; Meteorological Research Institute - Japan</t>
  </si>
  <si>
    <t>Butchart, N (corresponding author), Hadley Ctr, Met Off, FitzRoy Rd, Exeter EX1 3PB, Devon, England.</t>
  </si>
  <si>
    <t>neal.butchart@metoffice.gov.uk</t>
  </si>
  <si>
    <t>Frith, Stacey/HMD-9437-2023; Rozanov, Eugene/V-1881-2018; Dhomse, Sandip/C-8198-2011; Gettelman, Andrew/AAY-2312-2021; Akiyoshi, Hideharu/H-8170-2018; Chipperfield, Martyn/H-6359-2013; Rozanov, Eugene/A-9857-2012; Eyring, Veronika/O-9999-2016; , John/IQU-7911-2023; CIONNI, Irene/E-8204-2017; Li, Feng/H-2241-2012; Pawson, Steven/I-1865-2014; Pitari, Giovanni/O-7458-2016; Waugh, Darryn/K-3688-2016</t>
  </si>
  <si>
    <t>Frith, Stacey/0000-0001-6894-0574; Rozanov, Eugene/0000-0003-0479-4488; Dhomse, Sandip/0000-0003-3854-5383; Chipperfield, Martyn/0000-0002-6803-4149; Rozanov, Eugene/0000-0003-0479-4488; Eyring, Veronika/0000-0002-6887-4885; CIONNI, Irene/0000-0002-0591-9193; Pitari, Giovanni/0000-0001-7051-9578; Waugh, Darryn/0000-0001-7692-2798; Li, Feng/0000-0002-7928-0775; Giorgetta, Marco/0000-0002-4278-1963; Sassi, Fabrizio/0000-0002-9492-7434; Dameris, Martin/0000-0001-6700-0628; Mancini, Eva/0000-0001-7071-0292</t>
  </si>
  <si>
    <t>European Commission [505390-GOCE-CT-2004]; DECC [GA01101]; Defra [GA01101]; MoD [CBC/2B/0417_Annex C5]; SCOUT [O3]; Ministry of the Environment (MOE) of Japan [A-071]; Canadian Foundation for Climate and Atmospheric Sciences; Natural Environment Research Council [NE/D002753/1, NE/D003563/1, NE/C003969/1] Funding Source: researchfish; Directorate For Geosciences; Div Atmospheric &amp; Geospace Sciences [0905863] Funding Source: National Science Foundation; NERC [NE/D002753/1, NE/D003563/1] Funding Source: UKRI</t>
  </si>
  <si>
    <t>European Commission(European Union (EU)European Commission Joint Research Centre); DECC; Defra(Department for Environment, Food &amp; Rural Affairs (DEFRA)); MoD; SCOUT; Ministry of the Environment (MOE) of Japan; Canadian Foundation for Climate and Atmospheric Sciences; Natural Environment Research Council(UK Research &amp; Innovation (UKRI)Natural Environment Research Council (NERC)); Directorate For Geosciences; Div Atmospheric &amp; Geospace Sciences(National Science Foundation (NSF)NSF - Directorate for Geosciences (GEO)); NERC(UK Research &amp; Innovation (UKRI)Natural Environment Research Council (NERC))</t>
  </si>
  <si>
    <t>The authors acknowledge the Chemistry-Climate Model Validation Activity (CCMVal) of the WCRP's (World Climate Research Programme) SPARC (Stratospheric Processes and their Role in Climate) project for organizing and coordinating the model data analysis activity, and the British Atmospheric Data Centre (BADC) for collecting and archiving the CCMVal model output. The European groups acknowledge support of the EC Integrated Project SCOUT-O3 (505390-GOCE-CT-2004) funded by the European Commission. Dr. Butchart's research was supported by the Joint DECC, Defra, and MoD Integrated Climate Programme-DECC/Defra (GA01101), MoD (CBC/2B/0417_Annex C5), and SCOUT-O3. CCSR/NIES research was supported by the Global Environmental Research Fund (GERF) of the Ministry of the Environment (MOE) of Japan (A-071). The CMAM research was supported by the Canadian Foundation for Climate and Atmospheric Sciences through the C-SPARC project. GEOS CCM simulations were conducted on NASA's High-Performance computing resources at NASA Ames Research Center. The MRI simulation was made with the supercomputer at the National Institute for Environmental Studies, Japan.</t>
  </si>
  <si>
    <t>10.1175/2010JCLI3404.1</t>
  </si>
  <si>
    <t>681IW</t>
  </si>
  <si>
    <t>Green Accepted, Green Submitted, Bronze</t>
  </si>
  <si>
    <t>WOS:000284306200001</t>
  </si>
  <si>
    <t>Irving, D; Simmonds, I; Keay, K</t>
  </si>
  <si>
    <t>Irving, Damien; Simmonds, Ian; Keay, Kevin</t>
  </si>
  <si>
    <t>Mesoscale Cyclone Activity over the Ice-Free Southern Ocean: 1999-2008</t>
  </si>
  <si>
    <t>SURFACE PRESSURE FIELDS; SCATTEROMETER WINDS; CLIMATE-CHANGE; ANNULAR MODE; SEA-ICE; TRACKING METHODS; STORM TRACKS; WEDDELL SEA; HEMISPHERE; VARIABILITY</t>
  </si>
  <si>
    <t>Mesoscale cyclones play an important role in the weather and climate of the Southern Hemisphere (SH) mid-to-high latitudes. However, the relatively small size and short lifetime of these systems, combined with the lack of available conventional data in this region, means that there is a poor understanding of their climatological characteristics. In this study, the University of Melbourne cyclone-finding algorithm was applied to relatively high-resolution scatterometer-derived surface pressure fields, obtained from the Department of Atmospheric Sciences at the University of Washington, to produce a decade-long (1999-2008) seasonal climatology of mesoscale cyclone activity over the ice-free regions of the Southern Ocean. The frequency of mesoscale cyclone activity was found to be highest just to the north of the sea ice zone, reaching a maximum over the Amundsen and Bellingshausen Seas (ABS), while the southern Indian Ocean was associated with systems of the largest depth, intensity, and momentum flux at the ocean surface. These spatial patterns in mean mesoscale cyclone characteristics showed a broad resemblance to those reported in existing synoptic-scale cyclone climatologies. Maximum wind speed data indicated that SH polar lows may be more frequent than the current literature suggests, while strong positive trends identified in mesoscale cyclone frequency over the ABS may represent a contributing factor to the rapid warming observed in that region over recent years. Partial correlation analyses indicated a link between mesoscale cyclone frequency and the southern annular mode.</t>
  </si>
  <si>
    <t>[Irving, Damien; Simmonds, Ian; Keay, Kevin] Univ Melbourne, Sch Earth Sci, Melbourne, Vic, Australia</t>
  </si>
  <si>
    <t>University of Melbourne; Melbourne Bioinformatics</t>
  </si>
  <si>
    <t>Irving, D (corresponding author), CSIRO Marine &amp; Atmospher Res, Private Bag 1, Aspendale, Vic 3195, Australia.</t>
  </si>
  <si>
    <t>damien.irving@csiro.au</t>
  </si>
  <si>
    <t>Irving, Damien/A-1479-2012</t>
  </si>
  <si>
    <t>Irving, Damien/0000-0003-1258-5002; Simmonds, Ian/0000-0002-4479-3255</t>
  </si>
  <si>
    <t>Australian Antarctic Science Advisory Committee</t>
  </si>
  <si>
    <t>The authors wish to thank Jerome Patoux for his assistance with the UWQS pressure data and Petteri Uotila for his advice regarding the UM cyclone-finding algorithm instruction parameters. We also thank two anonymous reviewers for their suggested improvements to the manuscript. Parts of this research were made possible by a grant from the Australian Antarctic Science Advisory Committee.</t>
  </si>
  <si>
    <t>10.1175/2010JCLI3628.1</t>
  </si>
  <si>
    <t>WOS:000284306200003</t>
  </si>
  <si>
    <t>Caro, SP; Balthazart, J</t>
  </si>
  <si>
    <t>Caro, Samuel P.; Balthazart, Jacques</t>
  </si>
  <si>
    <t>Pheromones in birds: myth or reality?</t>
  </si>
  <si>
    <t>JOURNAL OF COMPARATIVE PHYSIOLOGY A-NEUROETHOLOGY SENSORY NEURAL AND BEHAVIORAL PHYSIOLOGY</t>
  </si>
  <si>
    <t>Avian olfaction; Sex recognition; Self-odor; Kin recognition; Immediate early gene</t>
  </si>
  <si>
    <t>MAJOR HISTOCOMPATIBILITY COMPLEX; AUKLETS AETHIA-CRISTATELLA; ANTARCTIC PROCELLARIIFORM SEABIRDS; INDIVIDUAL ODOR RECOGNITION; OLFACTORY-BULB NEURONS; STORM-PETREL CHICKS; DIESTER PREEN WAXES; MALE JAPANESE-QUAIL; SEXUAL-BEHAVIOR; CRESTED AUKLETS</t>
  </si>
  <si>
    <t>Birds are anosmic or at best microsmaticaEuro broken vertical bar This misbelief persisted until very recently and has strongly influenced the outcome of communication studies in birds, with olfaction remaining neglected as compared to acoustic and visual channels. However, there is now clear empirical evidence showing that olfaction is perfectly functional in birds and birds use olfactory information in a variety of ethological contexts. Although the existence of pheromones has never been formally demonstrated in this vertebrate class, different groups of birds, such as petrels, auklets and ducks have been shown to produce specific scents that could play a significant role in within-species social interactions. Behavioral experiments have indeed demonstrated that these odors influence the behavior of conspecifics. Additionally, in quail, deprivation of olfactory inputs decreases neuronal activation induced by sexual interactions with a female. It seems therefore well established that birds enjoy a functional sense of smell and a fast growing body of experimental evidence suggests that they use this channel of olfactory communication to control their social life. The unequivocal identification of an avian pheromone is, however, still ahead of us but there are now many exciting opportunities to unravel the behavioral and physiological particularities of chemical communication in birds.</t>
  </si>
  <si>
    <t>[Balthazart, Jacques] Univ Liege, GIGA Neurosci, B-4000 Liege 1, Belgium; [Caro, Samuel P.] Univ N Carolina, Dept Biol, Chapel Hill, NC USA</t>
  </si>
  <si>
    <t>University of Liege; University of North Carolina; University of North Carolina Chapel Hill</t>
  </si>
  <si>
    <t>Balthazart, J (corresponding author), Univ Liege, GIGA Neurosci, 1 Ave Hop B36, B-4000 Liege 1, Belgium.</t>
  </si>
  <si>
    <t>jbalthazart@ulg.ac.be</t>
  </si>
  <si>
    <t>Caro, Samuel/A-5750-2008</t>
  </si>
  <si>
    <t>Caro, Samuel/0000-0002-5405-7753</t>
  </si>
  <si>
    <t>National Institutes of Health [R01 NIH/MH50388]; King Baudouin Foundation; Belgian American Educational Foundation (BAEF); [FRFC2.4537.09]</t>
  </si>
  <si>
    <t>National Institutes of Health(United States Department of Health &amp; Human ServicesNational Institutes of Health (NIH) - USA); King Baudouin Foundation; Belgian American Educational Foundation (BAEF);</t>
  </si>
  <si>
    <t>We thank Caroline Nieberding, Francesco Bonadonna, Julie Hagelin and one anonymous reviewer for helpful comments on a previous version of this manuscript. Preparation of this review and the experimental work from the J.B. laboratory that is described were supported by grants from the National Institutes of Health (R01 NIH/MH50388) and the Belgian FRFC2.4537.09 to J.B. S.P.C. received a Leon Speeckaert Fund postdoctoral fellowship from the King Baudouin Foundation and the Belgian American Educational Foundation (BAEF).</t>
  </si>
  <si>
    <t>0340-7594</t>
  </si>
  <si>
    <t>1432-1351</t>
  </si>
  <si>
    <t>J COMP PHYSIOL A</t>
  </si>
  <si>
    <t>J. Comp. Physiol. A -Neuroethol. Sens. Neural Behav. Physiol.</t>
  </si>
  <si>
    <t>10.1007/s00359-010-0534-4</t>
  </si>
  <si>
    <t>Behavioral Sciences; Neurosciences; Physiology; Zoology</t>
  </si>
  <si>
    <t>Behavioral Sciences; Neurosciences &amp; Neurology; Physiology; Zoology</t>
  </si>
  <si>
    <t>653XF</t>
  </si>
  <si>
    <t>Green Accepted, Green Submitted</t>
  </si>
  <si>
    <t>WOS:000282130500006</t>
  </si>
  <si>
    <t>Kiss, AJ; Devries, AL; Morgan-Kiss, RM</t>
  </si>
  <si>
    <t>Kiss, Andor J.; Devries, Arthur L.; Morgan-Kiss, Rachael M.</t>
  </si>
  <si>
    <t>Comparative analysis of crystallins and lipids from the lens of Antarctic toothfish and cow</t>
  </si>
  <si>
    <t>JOURNAL OF COMPARATIVE PHYSIOLOGY B-BIOCHEMICAL SYSTEMS AND ENVIRONMENTAL PHYSIOLOGY</t>
  </si>
  <si>
    <t>Lens; Crystallins; Antarctic toothfish; Alpha crystallin; Beta crystallin; Gamma crystallin; Lipid; MALDI; Albuminoid; Fatty acid trophic marker (FATM)</t>
  </si>
  <si>
    <t>EYE LENS; DISSOSTICHUS-MAWSONI; POSTTRANSLATIONAL MODIFICATIONS; CATARACT FORMATION; GAMMA-CRYSTALLINS; MASS-SPECTROMETRY; RAINBOW-TROUT; TELEOST FISH; FATTY-ACIDS; BOVINE LENS</t>
  </si>
  <si>
    <t>Animal model systems of senile cataract and lens crystallin stability are essential to understand the complex nature of lens transparency. Our aim in this study was to assess the long-lived Antarctic toothfish Dissostichus mawsoni (Norman) as a model system to understand long-term lens clarity in terms of solubility changes that occur to crystallins. We compared the toothfish with the mammalian model cow lens, dissecting each species' lens into a cortex and nuclear region. In addition to crystallin distribution, we also assayed fatty acid (FA) composition by negative ion electrospray ionization mass spectrometry (ESI-MS). The majority of toothfish lens crystallins from cortex (90.4%) were soluble, whereas only a third (31.8%) from the nucleus was soluble. Crystallin solubility analysis by SDS-PAGE and immunoblots revealed that relative proportions of crystallins in both soluble and urea-soluble fractions were similar within each species examined and in agreement with previous reports for bovine lens. From our data, we found that both toothfish and cow crystallins follow patterns of insolubility that mirror each animals lens composition with more gamma crystallin aggregation seen in the toothfish lens nucleus than in cow. Toothfish lens lipids had a large amount of polyunsaturated fatty acids that were absent in cow resulting in an unsaturation index (I (U)) four-fold higher than that of cow. We identified a novel FA with a molecular mass of 267 mass units in the lens epithelial layer of the toothfish that accounted for well over 50% of the FA abundance. The unidentified lipid in the toothfish lens epithelia corresponds to either an odd-chain (17 carbons) FA or a furanoid. We conclude that long-lived fishes are likely good animal models of lens crystallin solubility and may model post-translational modifications and solubility changes better than short-lived animal models.</t>
  </si>
  <si>
    <t>[Kiss, Andor J.] Miami Univ, Dept Zool, Lab Ecophysiol Cryobiol, Oxford, OH 45056 USA; [Kiss, Andor J.; Devries, Arthur L.] Univ Illinois, Dept Anim Biol, Urbana, IL 61801 USA; [Morgan-Kiss, Rachael M.] Univ Illinois, Dept Microbiol, Urbana, IL 61801 USA; [Morgan-Kiss, Rachael M.] Miami Univ, Dept Microbiol, Oxford, OH 45056 USA</t>
  </si>
  <si>
    <t>University System of Ohio; Miami University; University of Illinois System; University of Illinois Urbana-Champaign; University of Illinois System; University of Illinois Urbana-Champaign; University System of Ohio; Miami University</t>
  </si>
  <si>
    <t>Devries, AL (corresponding author), Miami Univ, Dept Zool, Lab Ecophysiol Cryobiol, Oxford, OH 45056 USA.</t>
  </si>
  <si>
    <t>kissaj@muohio.edu</t>
  </si>
  <si>
    <t>Kiss, Andor J/E-9863-2016</t>
  </si>
  <si>
    <t>Kiss, Andor J/0000-0002-7508-0485; Morgan-kiss, Rachael/0000-0003-4783-5358</t>
  </si>
  <si>
    <t>NSF [OPP 02-31006]</t>
  </si>
  <si>
    <t>AJK wishes to thank Jessie Nicodemus for assistance in the analysis of the eluted crystallin fractions and the anonymous reviewers for their helpful suggestions. This work was supported by NSF grant OPP 02-31006 to A. L. D.</t>
  </si>
  <si>
    <t>0174-1578</t>
  </si>
  <si>
    <t>1432-136X</t>
  </si>
  <si>
    <t>J COMP PHYSIOL B</t>
  </si>
  <si>
    <t>J. Comp. Physiol. B-Biochem. Syst. Environ. Physiol.</t>
  </si>
  <si>
    <t>10.1007/s00360-010-0475-9</t>
  </si>
  <si>
    <t>Physiology; Zoology</t>
  </si>
  <si>
    <t>651TH</t>
  </si>
  <si>
    <t>WOS:000281949500007</t>
  </si>
  <si>
    <t>Wang, XD; Zhong, XH; Gao, P</t>
  </si>
  <si>
    <t>Wang Xiaodan; Zhong Xianghao; Gao Pan</t>
  </si>
  <si>
    <t>A GIS-based decision support system for regional eco-security assessment and its application on the Tibetan Plateau</t>
  </si>
  <si>
    <t>JOURNAL OF ENVIRONMENTAL MANAGEMENT</t>
  </si>
  <si>
    <t>Eco-security; Decision support system; GIS; Pressure-state-response model; Analytic hierarchy process; Tibetan plateau</t>
  </si>
  <si>
    <t>MULTICRITERIA EVALUATION; ENVIRONMENTAL VULNERABILITY; STATISTICAL APPROACH; ECOLOGICAL SECURITY; CLASSIFICATION; METHODOLOGY; ECOSYSTEMS; KNOWLEDGE; MODELS; RECORD</t>
  </si>
  <si>
    <t>Regional eco-security assessment is an intricate, challenging task. In previous studies, the integration of eco-environmental models and geographical information systems (GIS) usually takes two approaches: loose coupling and tight coupling. However, the present study used a full coupling approach to develop a GIS-based regional eco-security assessment decision support system (ESDSS). This was achieved by merging the pressure-state-response (PSR) model and the analytic hierarchy process (AHP) into ArcGIS 9 as a dynamic link library (DLL) using ArcObjects in ArcGIS and Visual Basic for Applications. Such an approach makes it easy to capitalize on the GIS visualization and spatial analysis functions, thereby significantly supporting the dynamic estimation of regional eco-security. A case study is presented for the Tibetan Plateau, known as the world's third pole after the Arctic and Antarctic. Results verified the usefulness and feasibility of the developed method. As a useful tool, the ESDSS can also help local managers to make scientifically-based and effective decisions about Tibetan eco-environmental protection and land use. (C) 2010 Elsevier Ltd. All rights reserved.</t>
  </si>
  <si>
    <t>[Wang Xiaodan; Zhong Xianghao; Gao Pan] Chinese Acad Sci, Key Lab Mt Environm Evolvement &amp; Regulat, Inst Mt Hazards &amp; Environm, Chengdu 610041, Peoples R China</t>
  </si>
  <si>
    <t>Chinese Academy of Sciences; Institute of Mountain Hazards &amp; Environment, CAS</t>
  </si>
  <si>
    <t>Wang, XD (corresponding author), Chinese Acad Sci, Key Lab Mt Environm Evolvement &amp; Regulat, Inst Mt Hazards &amp; Environm, 9,Sect 4 Renming S Rd, Chengdu 610041, Peoples R China.</t>
  </si>
  <si>
    <t>imdexdwww@yahoo.com.cn</t>
  </si>
  <si>
    <t>wang, xiao/HZI-9156-2023</t>
  </si>
  <si>
    <t>National Key Technology Research and Design Program of China [2007BAC06B08, 2007BAC06B06]</t>
  </si>
  <si>
    <t>National Key Technology Research and Design Program of China(National Key Technology R&amp;D Program)</t>
  </si>
  <si>
    <t>This study was supported by the National Key Technology Research and Design Program of China (Grant nos. 2007BAC06B08 and 2007BAC06B06). The authors thank Ph.D. Yan for assistance during the field investigation. Thanks are also extended to Professor Tao for improvements to map quality.</t>
  </si>
  <si>
    <t>ACADEMIC PRESS LTD- ELSEVIER SCIENCE LTD</t>
  </si>
  <si>
    <t>24-28 OVAL RD, LONDON NW1 7DX, ENGLAND</t>
  </si>
  <si>
    <t>0301-4797</t>
  </si>
  <si>
    <t>1095-8630</t>
  </si>
  <si>
    <t>J ENVIRON MANAGE</t>
  </si>
  <si>
    <t>J. Environ. Manage.</t>
  </si>
  <si>
    <t>10.1016/j.jenvman.2010.05.006</t>
  </si>
  <si>
    <t>Environmental Sciences</t>
  </si>
  <si>
    <t>634GQ</t>
  </si>
  <si>
    <t>WOS:000280568900007</t>
  </si>
  <si>
    <t>Wu, QG</t>
  </si>
  <si>
    <t>Wu, Qigang</t>
  </si>
  <si>
    <t>Associations of diurnal temperature range change with the leading climate variability modes during the Northern Hemisphere wintertime and their implication on the detection of regional climate trends</t>
  </si>
  <si>
    <t>SURFACE AIR-TEMPERATURE; MINIMUM TEMPERATURE; ANNULAR MODE; SOUTHERN-HEMISPHERE; DAILY MAXIMUM; PART I; CIRCULATION; PRECIPITATION; 20TH-CENTURY; OSCILLATION</t>
  </si>
  <si>
    <t>This study examines associations of diurnal temperature range (DTR) changes in observations at the global, hemispheric, subcontinental, and grid box scales with five leading climate variability modes, including the Arctic Oscillation (AO), hemispheric Pacific-North America (PNA)-like mode, Pacific Decadal Oscillation, El Nino Southern Oscillation (ENSO), and Antarctic Oscillation (AAO) during the Northern Hemisphere winter season (Jan-Mar). Winter DTR variability in most subcontinental regions is significantly related to variations in either the AO, or hemispheric PNA-like mode, or ENSO index in the Northern Hemisphere. In the Southern Hemisphere, the DTR variability appears closely coupled with variations in the ENSO and AAO. From 1951 to 2000, variations in the circulation patterns account for a significant fraction of the DTR increase at all scales although the strength of these associations varies geographically. After removing the linearly congruent component of leading climate variability modes from the total wintertime DTR trends in the observations, statistically significant residual trends in DTR are still found at the global, hemispheric, and most subcontinental regions. Ensemble mean multimodel averaged DTR trends to major anthropogenic and natural forcing are significantly smaller than not only observed total DTR trends but also residual trends at these large scales. The implication of changes in the leading climate variability modes on the detection of regional DTR trends is discussed. We find that the detection of the regional response to combined anthropogenic and natural forcing is robust to the exclusion of trends related to changes of the five modes considered here.</t>
  </si>
  <si>
    <t>Nanjing Univ, Sch Atmospher Sci, Nanjing 210093, Jiangsu, Peoples R China</t>
  </si>
  <si>
    <t>Nanjing University</t>
  </si>
  <si>
    <t>Wu, QG (corresponding author), Nanjing Univ, Sch Atmospher Sci, 22 Hankou Rd, Nanjing 210093, Jiangsu, Peoples R China.</t>
  </si>
  <si>
    <t>qigangwu@nju.edu.cn</t>
  </si>
  <si>
    <t>Wu, Qigang/0000-0002-6958-867X</t>
  </si>
  <si>
    <t>Gary Comer Science and Education Foundation; NSF [ATM-0555326]</t>
  </si>
  <si>
    <t>Gary Comer Science and Education Foundation; NSF(National Science Foundation (NSF))</t>
  </si>
  <si>
    <t>Most work in this study was finished when the author worked as a research scientist at School of Meteorology, University of Oklahoma, and was supported by a Gary Comer Science and Education Foundation and by NSF grant ATM-0555326.</t>
  </si>
  <si>
    <t>D19101</t>
  </si>
  <si>
    <t>10.1029/2010JD014026</t>
  </si>
  <si>
    <t>658RQ</t>
  </si>
  <si>
    <t>WOS:000282507500012</t>
  </si>
  <si>
    <t>Rey, AR; Bost, CA; Schiavini, A; Pütz, K</t>
  </si>
  <si>
    <t>Raya Rey, Andrea; Bost, Charles-Andre; Schiavini, Adrian; Puetz, Klemens</t>
  </si>
  <si>
    <t>Foraging movements of Magellanic Penguins Spheniscus magellanicus in the Beagle Channel, Argentina, related to tide and tidal currents</t>
  </si>
  <si>
    <t>JOURNAL OF ORNITHOLOGY</t>
  </si>
  <si>
    <t>Spheniscus magellanicus; Foraging movements; Search strategy; Tide and tidal currents</t>
  </si>
  <si>
    <t>EUDYPTES-CHRYSOCOME-CHRYSOCOME; AREA-RESTRICTED SEARCH; MARINE PREDATOR; KING PENGUINS; OCEANOGRAPHIC CONDITIONS; HABITAT SELECTION; GENTOO PENGUIN; FINE-SCALE; PREY; ECOLOGY</t>
  </si>
  <si>
    <t>This study investigates the movements of Magellanic Penguins Spheniscus magellanicus breeding on Isla Martillo during the early chick-rearing period. Foraging paths were reconstructed using GPS loggers that registered the penguins' geographic position, water temperature and depth at regular intervals. The relationship between penguins' movements and search strategies, tide and tidal currents were assessed. Mean trip duration was on average 14.7 +/- A 6.9 h (33% overnight), and the maximum distance reached was 24 +/- A 10 km. All penguins studied foraged to the east of the colony. We identified three phases based on the sinuosity and speed of the trajectory: transit, central and return. Foraging effort was higher during the central phase, followed by the transit phase, and lower in the return phase. Foraging success, measured as the percentage of time at the bottom during each phase, was also highest during the central phase. In all birds studied, the central phase of the foraging trip took place during ebb tide, and birds travelled to the foraging areas with flow tide running in the same direction of displacement. Our study suggests that penguins take advantage of tidal currents to facilitate their movements to and from the main foraging area, thereby reducing the energy expended. Moreover, we suggest that piscivorous diving birds may enhance their catch rate during ebb tide when fish are more concentrated near the channel bed.</t>
  </si>
  <si>
    <t>[Raya Rey, Andrea; Schiavini, Adrian] CADIC, Consejo Nacl Invest Cient &amp; Tecn, Ushuaia, Tierra Fuego, Argentina; [Bost, Charles-Andre] Ctr Natl Rech Sci, Ctr Etudes Biol Chize, F-79360 Villiers En Bois, France; [Schiavini, Adrian] Wildlife Conservat Soc, Bronx, NY 10460 USA</t>
  </si>
  <si>
    <t>Consejo Nacional de Investigaciones Cientificas y Tecnicas (CONICET); Centre National de la Recherche Scientifique (CNRS); Wildlife Conservation Society</t>
  </si>
  <si>
    <t>Rey, AR (corresponding author), CADIC, Consejo Nacl Invest Cient &amp; Tecn, Bernardo Houssay 200,V9410BFD, Ushuaia, Tierra Fuego, Argentina.</t>
  </si>
  <si>
    <t>arayarey@cadic.gov.ar</t>
  </si>
  <si>
    <t>Raya Rey, Andrea/0000-0003-0127-6650; Puetz, Klemens/0000-0003-1375-2669; Schiavini, Adrian Carlos Miguel/0000-0001-6621-4827</t>
  </si>
  <si>
    <t>Consejo Nacional de Investigaciones Cientificas y Tecnicas (CONICET); Vontobel-Stiftung, Switzerland; Proyecto Prevencion Prevencionde la contaminacion costera y Gestion de la biodiversidad Marina; FMAN/BIRF [28.385]; Wildlife Conservation Society</t>
  </si>
  <si>
    <t>Consejo Nacional de Investigaciones Cientificas y Tecnicas (CONICET)(Consejo Nacional de Investigaciones Cientificas y Tecnicas (CONICET)); Vontobel-Stiftung, Switzerland; Proyecto Prevencion Prevencionde la contaminacion costera y Gestion de la biodiversidad Marina; FMAN/BIRF; Wildlife Conservation Society</t>
  </si>
  <si>
    <t>This research was made possible through the support of the Consejo Nacional de Investigaciones Cientificas y Tecnicas (CONICET) and the financial support to the Antarctic Research Trust by the Vontobel-Stiftung, Switzerland, Proyecto Prevencion Prevencionde la contaminacion costera y Gestion de la biodiversidad Marina, donacion FMAN/BIRF No28.385, and the Wildlife Conservation Society. Special thanks to Dr. Carlos Mazio from the Servicio de Hidrografia Naval, Argentina, who provided the tide and tidal current data. Also, thanks are due to Lesley Baxter for language editing. We would like to thank Dr Frere and one anonymous referee for their comments that improved the manuscript. This study was approved by the National Council of Scientific Research and the Natural Resources Agency of the province of Tierra del Fuego, and complied with the legal requirements in Argentina.</t>
  </si>
  <si>
    <t>2193-7192</t>
  </si>
  <si>
    <t>2193-7206</t>
  </si>
  <si>
    <t>J ORNITHOL</t>
  </si>
  <si>
    <t>J. Ornithol.</t>
  </si>
  <si>
    <t>10.1007/s10336-010-0531-y</t>
  </si>
  <si>
    <t>650OR</t>
  </si>
  <si>
    <t>WOS:000281859400021</t>
  </si>
  <si>
    <t>Gaebler-Schwarz, S; Davidson, A; Assmy, P; Chen, JX; Henjes, J; Nöthig, EM; Lunau, M; Medlin, LK</t>
  </si>
  <si>
    <t>Gaebler-Schwarz, Steffi; Davidson, Andrew; Assmy, Philipp; Chen, Jixin; Henjes, Joachim; Noethig, Eva-Maria; Lunau, Mirko; Medlin, Linda K.</t>
  </si>
  <si>
    <t>A NEW CELL STAGE IN THE HAPLOID-DIPLOID LIFE CYCLE OF THE COLONY-FORMING HAPTOPHYTE PHAEOCYSTIS ANTARCTICA AND ITS ECOLOGICAL IMPLICATIONS1</t>
  </si>
  <si>
    <t>JOURNAL OF PHYCOLOGY</t>
  </si>
  <si>
    <t>life-cycle stage; P; antarctica; Phaeocystis; sexual reproduction; zygote</t>
  </si>
  <si>
    <t>MARINE-PHYTOPLANKTON; SOUTHERN-OCEAN; VIRAL-INFECTION; PRYMNESIOPHYCEAE; ALGAE; DMSP; GLOBOSA; SULFUR</t>
  </si>
  <si>
    <t>Few members of the well-studied marine phytoplankton taxa have such a complex and polymorphic life cycle as the genus Phaeocystis. However, despite the ecological and biogeochemical importance of Phaeocystis blooms, the life cycle of the major bloom-forming species of this genus remains illusive and poorly resolved. At least six different life stages and up to 15 different functional components of the life cycle have been proposed. Our culture and field observations indicate that there is a previously unrecognized stage in the life cycle of P. antarctica G. Karst. This stage comprises nonmotile cells that range in size from similar to 4.2 to 9.8 mu m in diameter and form aggregates in which interstitial spaces between cells are small or absent. The aggregates (hereafter called attached aggregates, AAs) adhere to available surfaces. In field samples, small AAs, surrounded by a colony skin, adopt an epiphytic lifestyle and adhere in most cases to setae or spines of diatoms. These AAs, either directly or via other life stages, produce the colonial life stage. Culture studies indicate that bloom-forming, colonial stages release flagellates (microzoospores) that fuse and form AAs, which can proliferate on the bottom of culture vessels and can eventually reform free-floating colonies. We propose that these AAs are a new stage in the life cycle of P. antarctica, which we believe to be the zygote, thus documenting sexual reproduction in this species for the first time.</t>
  </si>
  <si>
    <t>[Gaebler-Schwarz, Steffi; Assmy, Philipp; Noethig, Eva-Maria] Alfred Wegener Inst Polar &amp; Marine Res, D-27570 Bremerhaven, Germany; [Davidson, Andrew] Australian Antarctic Div, Dept Environm &amp; Heritage, Kingston, Tas 7050, Australia; [Davidson, Andrew] Antarctic Climate &amp; Ecosyst Cooperat Res Ctr, Kingston, Tas 7050, Australia; [Chen, Jixin] Xiamen Univ, Environm Sci Res Ctr, State Key Lab Marine Environm Sci, Xiamen 361005, Peoples R China; [Henjes, Joachim] Phytolut GmbH, D-28759 Bremen, Germany; [Lunau, Mirko] Marine Biol Lab, Ctr Ecosyst, Woods Hole, MA 02543 USA; [Medlin, Linda K.] Univ Paris 06, Observat Oceanol Banyuls Sur Mer, Lab Arago, F-66651 Banyuls Sur Mer, France; [Medlin, Linda K.] CNRS, LOMIC, Observat Oceanol, UMR 7621, F-66651 Banyuls Sur Mer, France</t>
  </si>
  <si>
    <t>Helmholtz Association; Alfred Wegener Institute, Helmholtz Centre for Polar &amp; Marine Research; Australian Antarctic Division; Antarctic Climate &amp; Ecosystems Cooperative Research Centre (ACE CRC); Xiamen University; Marine Biological Laboratory - Woods Hole; Sorbonne Universite; Centre National de la Recherche Scientifique (CNRS); CNRS - National Institute for Earth Sciences &amp; Astronomy (INSU)</t>
  </si>
  <si>
    <t>Gaebler-Schwarz, S (corresponding author), Alfred Wegener Inst Polar &amp; Marine Res, Handelshafen 12, D-27570 Bremerhaven, Germany.</t>
  </si>
  <si>
    <t>steffi.gaebler@awi.de</t>
  </si>
  <si>
    <t>Nöthig, Eva-Maria/AAS-7253-2021; medlin, linda k/G-4820-2010</t>
  </si>
  <si>
    <t>Henjes, Joachim/0000-0002-6688-8802; medlin, linda k/0000-0001-6014-8339; Nothig, Eva-Maria/0000-0002-7527-7827</t>
  </si>
  <si>
    <t>German Science Foundation (DFG) [ME 1480/2]; Australian government's Cooperative Research Centre through the Antarctic Climate and Ecosystems Cooperative Research Centre (ACE CRC); Australian Antarctic Science program [40]; German Research Foundation (DFG)</t>
  </si>
  <si>
    <t>German Science Foundation (DFG)(German Research Foundation (DFG)); Australian government's Cooperative Research Centre through the Antarctic Climate and Ecosystems Cooperative Research Centre (ACE CRC)(Australian GovernmentDepartment of Industry, Innovation and ScienceCooperative Research Centres (CRC) Programme); Australian Antarctic Science program; German Research Foundation (DFG)(German Research Foundation (DFG))</t>
  </si>
  <si>
    <t>This research was funded by the German Science Foundation (DFG) through a postgraduate research fellowship (ME 1480/2). Research at the AAD was supported by the Australian government's Cooperative Research Centres Programme through the Antarctic Climate and Ecosystems Cooperative Research Centre (ACE CRC) and the Australian Antarctic Science program (project 40). P. A. was supported by the Bremen International Graduate School for Marine Sciences (GLOMAR), which is funded by the German Research Foundation (DFG) within the frame of the Excellence Initiative by the German federal and state governments to promote science and research at German universities. We would also like to thank Dr. B. Beszteri for his comments and input to the manuscript.</t>
  </si>
  <si>
    <t>0022-3646</t>
  </si>
  <si>
    <t>1529-8817</t>
  </si>
  <si>
    <t>J PHYCOL</t>
  </si>
  <si>
    <t>J. Phycol.</t>
  </si>
  <si>
    <t>10.1111/j.1529-8817.2010.00875.x</t>
  </si>
  <si>
    <t>Plant Sciences; Marine &amp; Freshwater Biology</t>
  </si>
  <si>
    <t>656YX</t>
  </si>
  <si>
    <t>WOS:000282378200018</t>
  </si>
  <si>
    <t>Jenkins, A; Nicholls, KW; Corr, HFJ</t>
  </si>
  <si>
    <t>Jenkins, Adrian; Nicholls, Keith W.; Corr, Hugh F. J.</t>
  </si>
  <si>
    <t>Observation and Parameterization of Ablation at the Base of Ronne Ice Shelf, Antarctica</t>
  </si>
  <si>
    <t>JOURNAL OF PHYSICAL OCEANOGRAPHY</t>
  </si>
  <si>
    <t>PHASE-SENSITIVE RADAR; THERMOHALINE CIRCULATION; SEA-ICE; OCEAN INTERACTION; TURBULENT HEAT; MASS-TRANSFER; WATER PLUMES; WEDDELL SEA; MODEL; BENEATH</t>
  </si>
  <si>
    <t>Parameterizations of turbulent transfer through the oceanic boundary layer beneath an ice shelf are tested using direct measurements of basal ablation. Observations were made in the southwestern part of Ronne Ice Shelf, about 500 km from open water. The mean basal ablation rate was measured over a month-long and a year-long period using phase-sensitive radar to record the thinning of the ice shelf. Ocean temperatures were observed within about 25 m of the ice shelf base over the period of the radar observations, while the tidally dominated ocean currents were estimated from tidal analysis of collocated current observations from an earlier period. Ablation rates derived using these ocean data and a number of bulk parameterizations of turbulent transfer within the boundary layer are compared with the direct measurements. The ablation rates derived using a parameterization that explicitly includes the impact of ocean currents on the turbulent transfer of heat and salt match the observations to within 40%; with suitable tuning of the drag coefficient, the mismatch can be reduced below the level of the observational errors. Equally good agreement can be obtained with two slightly simpler, current-dependent parameterizations that use constant turbulent transfer coefficients, and the optimal values for the coefficients at this particular location on Ronne Ice Shelf are given.</t>
  </si>
  <si>
    <t>[Jenkins, Adrian; Nicholls, Keith W.; Corr, Hugh F. J.] British Antarctic Survey, Nat Environm Res Council, Cambridge CB3 0ET, England</t>
  </si>
  <si>
    <t>Jenkins, A (corresponding author), British Antarctic Survey, Nat Environm Res Council, Madingley Rd, Cambridge CB3 0ET, England.</t>
  </si>
  <si>
    <t>ajen@bas.ac.uk</t>
  </si>
  <si>
    <t>Corr, Hugh/C-5398-2011; Jenkins, Adrian/IUN-2406-2023</t>
  </si>
  <si>
    <t>Jenkins, Adrian/0000-0002-9117-0616</t>
  </si>
  <si>
    <t>Natural Environment Research Council [bas0100028] Funding Source: researchfish; NERC [bas0100028] Funding Source: UKRI</t>
  </si>
  <si>
    <t>0022-3670</t>
  </si>
  <si>
    <t>J PHYS OCEANOGR</t>
  </si>
  <si>
    <t>J. Phys. Oceanogr.</t>
  </si>
  <si>
    <t>10.1175/2010JPO4317.1</t>
  </si>
  <si>
    <t>665RO</t>
  </si>
  <si>
    <t>WOS:000283053400006</t>
  </si>
  <si>
    <t>Ji, RB; Edwards, M; Mackas, DL; Runge, JA; Thomas, AC</t>
  </si>
  <si>
    <t>Ji, Rubao; Edwards, Martin; Mackas, David L.; Runge, Jeffrey A.; Thomas, Andrew C.</t>
  </si>
  <si>
    <t>Marine plankton phenology and life history in a changing climate: current research and future directions</t>
  </si>
  <si>
    <t>JOURNAL OF PLANKTON RESEARCH</t>
  </si>
  <si>
    <t>plankton; phenology; life history; climate change</t>
  </si>
  <si>
    <t>SPRING PHYTOPLANKTON BLOOM; NORTH-ATLANTIC; CALANUS-FINMARCHICUS; ANTARCTIC KRILL; INTERANNUAL VARIATIONS; POPULATION BIOLOGY; NARRAGANSETT BAY; PHYSIO-ECOLOGY; BARKLEY SOUND; TIME-SERIES</t>
  </si>
  <si>
    <t>Increasing availability and extent of biological ocean time series (from both in situ and satellite data) have helped reveal significant phenological variability of marine plankton. The extent to which the range of this variability is modified as a result of climate change is of obvious importance. Here we summarize recent research results on phenology of both phytoplankton and zooplankton. We suggest directions to better quantify and monitor future plankton phenology shifts, including (i) examining the main mode of expected future changes (ecological shifts in timing and spatial distribution to accommodate fixed environmental niches vs. evolutionary adaptation of timing controls to maintain fixed biogeography and seasonality), (ii) broader understanding of phenology at the species and community level (e.g. for zooplankton beyond Calanus and for phytoplankton beyond chlorophyll), (iii) improving and diversifying statistical metrics for indexing timing and trophic synchrony and (iv) improved consideration of spatio-temporal scales and the Lagrangian nature of plankton assemblages to separate time from space changes.</t>
  </si>
  <si>
    <t>[Ji, Rubao] Woods Hole Oceanog Inst, Dept Biol, Woods Hole, MA 02543 USA; [Edwards, Martin] Sir Alister Hardy Fdn Ocean Sci, Plymouth PL1 2PB, Devon, England; [Mackas, David L.] Fisheries &amp; Oceans Canada, Inst Ocean Sci, Sidney, BC, Canada; [Runge, Jeffrey A.] Univ Maine, Gulf Maine Res Inst, Sch Marine Sci, Portland, ME 04101 USA; [Thomas, Andrew C.] Univ Maine, Sch Marine Sci, Orono, ME 04469 USA; [Ji, Rubao] Shanghai Ocean Univ, Marine Ecosyst &amp; Environm Lab, Shanghai, Peoples R China</t>
  </si>
  <si>
    <t>Woods Hole Oceanographic Institution; Fisheries &amp; Oceans Canada; University of Maine System; University of Maine Orono; Gulf of Maine Research Institute; University of Maine System; University of Maine Orono; Shanghai Ocean University</t>
  </si>
  <si>
    <t>Ji, RB (corresponding author), Woods Hole Oceanog Inst, Dept Biol, Woods Hole, MA 02543 USA.</t>
  </si>
  <si>
    <t>rji@whoi.edu</t>
  </si>
  <si>
    <t>; Ji, Rubao/I-1970-2015</t>
  </si>
  <si>
    <t>Edwards, Martin/0000-0002-5716-4714; Ji, Rubao/0000-0002-8839-5427</t>
  </si>
  <si>
    <t>NSF [OCE-0727033, 0815838, 0732152, OCE-0535386, 0815051, 0814413, OCE 0815336]; NERC [SAH01001] Funding Source: UKRI; Directorate For Geosciences; Office of Polar Programs (OPP) [0732152] Funding Source: National Science Foundation; Division Of Ocean Sciences; Directorate For Geosciences [0815838] Funding Source: National Science Foundation; Division Of Ocean Sciences; Directorate For Geosciences [0814592, 0815051, 0814413, 0815336] Funding Source: National Science Foundation</t>
  </si>
  <si>
    <t>NSF(National Science Foundation (NSF)); NERC(UK Research &amp; Innovation (UKRI)Natural Environment Research Council (NERC)); Directorate For Geosciences; Office of Polar Programs (OPP)(National Science Foundation (NSF)NSF - Directorate for Geosciences (GEO)); Division Of Ocean Sciences; Directorate For Geosciences(National Science Foundation (NSF)NSF - Directorate for Geosciences (GEO)); Division Of Ocean Sciences; Directorate For Geosciences(National Science Foundation (NSF)NSF - Directorate for Geosciences (GEO))</t>
  </si>
  <si>
    <t>This study was supported by NSF grants to R.J.: OCE-0727033, 0815838 and 0732152. NSF grants to A.C.T.: OCE-0535386, 0815051 and 0814413. NSF grant to J.A.R.: OCE 0815336.</t>
  </si>
  <si>
    <t>0142-7873</t>
  </si>
  <si>
    <t>1464-3774</t>
  </si>
  <si>
    <t>J PLANKTON RES</t>
  </si>
  <si>
    <t>J. Plankton Res.</t>
  </si>
  <si>
    <t>10.1093/plankt/fbq062</t>
  </si>
  <si>
    <t>646JM</t>
  </si>
  <si>
    <t>Green Published, Green Submitted, hybrid</t>
  </si>
  <si>
    <t>WOS:000281536000001</t>
  </si>
  <si>
    <t>Waldmann, N; Ariztegui, D; Anselmetti, FS; Austin, JA; Moy, CM; Stern, C; Recasens, C; Dunbar, RB</t>
  </si>
  <si>
    <t>Waldmann, Nicolas; Ariztegui, Daniel; Anselmetti, Flavio S.; Austin, James A., Jr.; Moy, Christopher M.; Stern, Charles; Recasens, Cristina; Dunbar, Robert B.</t>
  </si>
  <si>
    <t>Holocene climatic fluctuations and positioning of the Southern Hemisphere westerlies in Tierra del Fuego (54° S), Patagonia</t>
  </si>
  <si>
    <t>high-latitude palaeoclimate; orbital forcing; lacustrine basins; mid Holocene optimum; Little Ice Age; tephrochronology</t>
  </si>
  <si>
    <t>LAKE LE BOURGET; SEISMIC STRATIGRAPHY; ENVIRONMENTAL-CHANGES; NORTHWESTERN ALPS; MARINE RECORD; LAGO-CARDIEL; PALMER-DEEP; THRUST BELT; SEDIMENTS; AMERICA</t>
  </si>
  <si>
    <t>Recent advances in the chronology and the palaeoclimatic understanding of Antarctic ice core records point towards a larger heterogeneity of latitudinal climate fluctuations than previously thought. Thus, realistic palaeoclimate reconstructions rely in the development of a tight array of well-constrained records with a dense latitudinal coverage. Climatic records from southernmost South America are critical cornerstones to link these Antarctic palaeoclimatic archives with their South American counterparts. At 54 degrees S on the Island of Tierra del Fuego, Lago Fagnano is located in one of the most substantially and extensively glaciated regions of southernmost South America during the Late Pleistocene. This elongated lake is the largest (similar to 110 km long) and non-ice covered lake at high southern latitudes. A multi-proxy study of selected cores allows the characterisation of a Holocene sedimentary record. Detailed petrophysical, sedimentological and geochemical studies of a complete lacustrine laminated sequence reveal variations in major and trace elements, as well as organic content, suggesting high variability in environmental conditions. Comparison of these results with other regional records allows the identification of major known late Holocene climatic intervals and the proposal for a time for the onset of the Southern Westerlies in Tierra del Fuego. These results improve our understanding of the forcing mechanisms behind climate change in southernmost Patagonia. Copyright (C) 2009 John Wiley &amp; Sons, Ltd.</t>
  </si>
  <si>
    <t>[Waldmann, Nicolas; Ariztegui, Daniel; Recasens, Cristina] Univ Geneva, Sect Earth &amp; Environm Sci, Geneva, Switzerland; [Anselmetti, Flavio S.] Eawag Swiss Fed Inst Aquat Sci &amp; Technol, Dept Surface Waters, Dubendorf, Switzerland; [Austin, James A., Jr.] Univ Texas Austin, Inst Geophys, John A &amp; Katherine G Jackson Sch Geosci, Austin, TX USA; [Moy, Christopher M.; Dunbar, Robert B.] Stanford Univ, Dept Geol &amp; Environm Sci, Stanford, CA 94305 USA; [Stern, Charles] Univ Colorado, Dept Geol Sci, Boulder, CO 80309 USA</t>
  </si>
  <si>
    <t>University of Geneva; Swiss Federal Institutes of Technology Domain; Swiss Federal Institute of Aquatic Science &amp; Technology (EAWAG); University of Texas System; University of Texas Austin; Stanford University; University of Colorado System; University of Colorado Boulder</t>
  </si>
  <si>
    <t>Waldmann, N (corresponding author), Univ Bergen, Dept Earth Sci, Allegaten 41, N-5007 Bergen, Norway.</t>
  </si>
  <si>
    <t>nicolas.waldmann@geo.uib.no</t>
  </si>
  <si>
    <t>Ariztegui, Daniel/AFU-2302-2022; Waldmann, Nicolas/AAC-3974-2020</t>
  </si>
  <si>
    <t>Ariztegui, Daniel/0000-0001-7775-5127; Anselmetti, Flavio/0000-0002-8785-3641; Moy, Christopher/0000-0002-2177-5265; Dunbar, Robert/0000-0002-9728-5609</t>
  </si>
  <si>
    <t>Swiss National Science Foundation [200021-100668/1, 200020-111928/1]; US National Science Foundation; National Geographic Society [CRE 7705-04]</t>
  </si>
  <si>
    <t>Swiss National Science Foundation(Swiss National Science Foundation (SNSF)); US National Science Foundation(National Science Foundation (NSF)); National Geographic Society(National Geographic Society)</t>
  </si>
  <si>
    <t>We acknowledge Stanford University for the use of its capable small vessel, the RV Neecho. We thank Steffen Saustrup and Mark Wiederspahn of the Institute for Geophysics, and David Mucciarone of Stanford, for technical assistance during all aspects of the fieldwork. Captains Jorge Ebling and Rafael Quezada are also kindly acknowledged for their help during fieldwork. The field expeditions could not have been accomplished without the assistance and logistic help of the Centro Austral de Investigaciones Cientificas - Consejo Nacional de Investigaciones Cientificas y Tecnicas (CADIC-CONICET Argentina) and Prefectura Naval Argentina. The logistical help and hospitality of Alejandro, Maria Elena and Gabriel Echeverria from Bahia Torito are kindly acknowledged. We thank Thierry Adatte (University of Neuchatel) for total organic carbon analyses. NCEP reanalysis of the zonal wind is provided by the NOAA/OAR/ESRL PSD at Boulder (CO, USA) from their website at http://www.cdc.noaa.gov/. This work is part of the project Environmental Changes Down-South (ENDS), supported by the Swiss National Science Foundation grants 200021-100668/1 and 200020-111928/1. We also acknowledge support from the US National Science Foundation (RD) and the National Geographic Society (grant CRE 7705-04) (to JA).</t>
  </si>
  <si>
    <t>10.1002/jqs.1263</t>
  </si>
  <si>
    <t>WOS:000283697100003</t>
  </si>
  <si>
    <t>Naidu, PD; Govil, P</t>
  </si>
  <si>
    <t>Naidu, P. Divakar; Govil, Pawan</t>
  </si>
  <si>
    <t>New evidence on the sequence of deglacial warming in the tropical Indian Ocean</t>
  </si>
  <si>
    <t>Indian Ocean; deglaciation; sea surface temperature; Last Glacial Maximum; Antarctica</t>
  </si>
  <si>
    <t>LAST DEGLACIATION; THERMOHALINE CIRCULATION; GREENLAND CLIMATE; ICE CORES; ATLANTIC; RECORD; SEA; PACIFIC; VARIABILITY; HEMISPHERE</t>
  </si>
  <si>
    <t>The transition from the Last Glacial Maximum to the Holocene was an internal of climate variability that was characterised by large spatial and temporal variations. Here we show that deglaciation warming in the northern Indian Ocean was initiated ca. 19 ka, which is contemporary with deglaciation warming in the Antarctica and Southern Ocean. A gradual warming occurred during the glacial/Holocene transition in the northern Indian Ocean, unlike the two-step warming seen in Greenland and the North Atlantic. Synchronous deglacial warming ca. 19 ka in Antarctica and the northern Indian Ocean suggests a strong connection in the propagation of climate signals between Antarctica and the Indian Ocean, probably through the Indonesian Throughflow and/or Subantarctic Mode Water. Copyright (C) 2010 John Wiley &amp; Sons, Ltd.</t>
  </si>
  <si>
    <t>[Naidu, P. Divakar; Govil, Pawan] Natl Inst Oceanog, Panaji 403004, Goa, India; [Govil, Pawan] Natl Ctr Antarctic &amp; Ocean Res, Vasco Da Gama, Goa, India</t>
  </si>
  <si>
    <t>Council of Scientific &amp; Industrial Research (CSIR) - India; CSIR - National Institute of Oceanography (NIO); Ministry of Earth Sciences (MoES) - India; National Centre for Polar and Ocean Research (NCPOR)</t>
  </si>
  <si>
    <t>Naidu, PD (corresponding author), Natl Inst Oceanog, Panaji 403004, Goa, India.</t>
  </si>
  <si>
    <t>divakar@nio.org</t>
  </si>
  <si>
    <t>Naidu, Pothuri Divakar/AAH-1613-2019</t>
  </si>
  <si>
    <t>Ministry of Earth Sciences, Government of India; ISRO-GBP</t>
  </si>
  <si>
    <t>Ministry of Earth Sciences, Government of India(Ministry of Earth Science (MoES), Government of India); ISRO-GBP</t>
  </si>
  <si>
    <t>We thank anonymous reviewers for their constructive comments. The work was supported by research grants from the Ministry of Earth Sciences, Government of India and ISRO-GBP. This is National institute of Oceanography Contribution 4675.</t>
  </si>
  <si>
    <t>JOHN WILEY &amp; SONS LTD</t>
  </si>
  <si>
    <t>CHICHESTER</t>
  </si>
  <si>
    <t>THE ATRIUM, SOUTHERN GATE, CHICHESTER PO19 8SQ, W SUSSEX, ENGLAND</t>
  </si>
  <si>
    <t>10.1002/jqs.1392</t>
  </si>
  <si>
    <t>WOS:000283697100009</t>
  </si>
  <si>
    <t>Rosa, R; Seibel, BA</t>
  </si>
  <si>
    <t>Rosa, Rui; Seibel, Brad A.</t>
  </si>
  <si>
    <t>Slow pace of life of the Antarctic colossal squid</t>
  </si>
  <si>
    <t>JOURNAL OF THE MARINE BIOLOGICAL ASSOCIATION OF THE UNITED KINGDOM</t>
  </si>
  <si>
    <t>colossal squid; Mesonychoteuthis hamiltoni; Southern Ocean; metabolism; energy demand; prey requirements</t>
  </si>
  <si>
    <t>METABOLISM; CONSUMPTION; CEPHALOPODS; GIANT; RATES; DEPTH; PREY</t>
  </si>
  <si>
    <t>The colossal squid (Mesonychoteuthis hamiltoni) is the world's largest invertebrate and its large size and some unique morphological characters have fuelled speculation that it is an aggressive top predator in the circum-Antarctic Southern Ocean. Here, we present estimates on the metabolic and energetic demands of this cold-water deep-sea giant. The estimated mass-specific routine metabolic rate for the colossal squid at 1.5 degrees C was 0.036 mu mol O-2 h(-1) g(-1) and the projected daily energy consumption (45.1 kcal day(-1)) was almost constant as a function of depth in the nearly isothermal Antarctic waters. Our findings also indicate the squid shows a slow pace of life linked with very low prey requirements (only 0.03 kg of prey per day). We argue that the colossal squid is not a voracious predator capable of high-speed predator-prey interactions. It is, rather, an ambush or sit-and-float predator that uses the hooks on its arms and tentacles to ensnare prey that unwittingly approach.</t>
  </si>
  <si>
    <t>[Rosa, Rui] Univ Lisbon, Fac Ciencias, Ctr Oceanog, Lab Maritimo Guia, P-2750374 Cascais, Portugal; [Seibel, Brad A.] Univ Rhode Isl, Dept Biol Sci, Kingston, RI 02881 USA</t>
  </si>
  <si>
    <t>Universidade de Lisboa; University of Rhode Island</t>
  </si>
  <si>
    <t>Rosa, R (corresponding author), Univ Lisbon, Fac Ciencias, Ctr Oceanog, Lab Maritimo Guia, Ave Nossa Senhora Cabo 939, P-2750374 Cascais, Portugal.</t>
  </si>
  <si>
    <t>rrosa@fc.ul.pt</t>
  </si>
  <si>
    <t>Rosa, Rui/A-4580-2009</t>
  </si>
  <si>
    <t>Rosa, Rui/0000-0003-2801-5178</t>
  </si>
  <si>
    <t>Portuguese Foundation for Science and Technology (FCT)</t>
  </si>
  <si>
    <t>Portuguese Foundation for Science and Technology (FCT)(Fundacao para a Ciencia e a Tecnologia (FCT))</t>
  </si>
  <si>
    <t>The Portuguese Foundation for Science and Technology (FCT) supported this study through a Senior Research Position (Ciencia 2007 programme) to the first author.</t>
  </si>
  <si>
    <t>0025-3154</t>
  </si>
  <si>
    <t>1469-7769</t>
  </si>
  <si>
    <t>J MAR BIOL ASSOC UK</t>
  </si>
  <si>
    <t>J. Mar. Biol. Assoc. U.K.</t>
  </si>
  <si>
    <t>10.1017/S0025315409991494</t>
  </si>
  <si>
    <t>658KW</t>
  </si>
  <si>
    <t>WOS:000282489900012</t>
  </si>
  <si>
    <t>Rayner, MJ; Hartill, BW; Hauber, ME; Phillips, RA</t>
  </si>
  <si>
    <t>Rayner, M. J.; Hartill, B. W.; Hauber, M. E.; Phillips, R. A.</t>
  </si>
  <si>
    <t>Central place foraging by breeding Cook's petrel Pterodroma cookii: foraging duration reflects range, diet and chick meal mass</t>
  </si>
  <si>
    <t>STABLE-ISOTOPES; FEEDING ECOLOGY; PROVISIONING STRATEGIES; HALOBAENA-CAERULEA; ILES-KERGUELEN; BARRIER-ISLAND; SOUTH-GEORGIA; BLUE PETRELS; NEW-ZEALAND; FOOD</t>
  </si>
  <si>
    <t>Pelagic seabirds are central place foragers during breeding and variation in foraging trip duration and range reflect differences in diet and chick provisioning, through the exploitation of divergent habitats of varying productivity. We tested whether these relationships hold in small procellarriids by equipping chick-rearing Cook's petrel Pterodroma cookii (200 g) with geolocation-immersion loggers, conducting isotope analysis of blood and measuring chick meal mass following foraging trips of varying duration. Cook's petrel tracked during chick rearing from Little Barrier Island (LBI) and Codfish Island (CDF), New Zealand had larger maximum ranges during longer foraging trips. Blood nitrogen isotope signatures (delta N-15) of adults were significantly higher after foraging trips of longer duration, but not of greater maximum range. There was no significant relationship between blood carbon isotope signatures (delta C-13) and foraging trip characteristics. Proportion of time spent on the sea surface and the mass of the meal brought back to chicks were consistently greater for Cook's petrel with larger maximum ranges, which in the case of birds from CDF coincided with productive subtropical convergence zone habitats. As predicted, trip duration reflected divergent foraging behaviours in Cook's petrel during breeding. We suggest that the availability of different prey is a key factor governing at-sea distributions and dietary composition of this species.</t>
  </si>
  <si>
    <t>[Rayner, M. J.; Hartill, B. W.] Natl Inst Water &amp; Atmospher Res Ltd, Auckland, New Zealand; [Hauber, M. E.] CUNY Hunter Coll, Dept Psychol, New York, NY 10065 USA; [Phillips, R. A.] British Antarctic Survey, NERC, Cambridge CB3 0ET, England</t>
  </si>
  <si>
    <t>National Institute of Water &amp; Atmospheric Research (NIWA) - New Zealand; City University of New York (CUNY) System; Hunter College (CUNY); UK Research &amp; Innovation (UKRI); Natural Environment Research Council (NERC); NERC British Antarctic Survey</t>
  </si>
  <si>
    <t>Rayner, MJ (corresponding author), Natl Inst Water &amp; Atmospher Res Ltd, Private Bag 99940, Auckland, New Zealand.</t>
  </si>
  <si>
    <t>m.rayner@niwa.co.nz</t>
  </si>
  <si>
    <t>Rayner, Matt/0000-0002-1168-6699</t>
  </si>
  <si>
    <t>New Zealand Tertiary Education Commission; Foundation for Research Science and Technology; NERC [bas0100025] Funding Source: UKRI; Natural Environment Research Council [bas0100025] Funding Source: researchfish</t>
  </si>
  <si>
    <t>New Zealand Tertiary Education Commission; Foundation for Research Science and Technology(New Zealand Foundation for Research, Science and Technology); NERC(UK Research &amp; Innovation (UKRI)Natural Environment Research Council (NERC)); Natural Environment Research Council(UK Research &amp; Innovation (UKRI)Natural Environment Research Council (NERC))</t>
  </si>
  <si>
    <t>We thank Paul Sagar, David Thompson and Leigh Torres for providing useful comments on drafts of this manuscript, Sarah Bury (NIWA Wellington) for conducting stable isotope analyses, Todd Dennis for advice on spatial analyses and Wendy Rayner for support during this research. We are grateful to the two referees whose insightful comments greatly improved an initial draft of the manuscript. MJR was supported by a New Zealand Tertiary Education Commission Top Achiever Doctoral Scholarship and a Foundation for Research Science and Technology Post Doctoral Fellowship during the completion of this research. This work was conducted with ethics approval from the University of Auckland Animal Ethics Committee and research permission from the New Zealand Department of Conservation (AK-14677 and SOUCO-61074040558). This research represents a contribution to the BAS Ecosystems Programme.</t>
  </si>
  <si>
    <t>10.1007/s00227-010-1483-8</t>
  </si>
  <si>
    <t>649RX</t>
  </si>
  <si>
    <t>WOS:000281792000008</t>
  </si>
  <si>
    <t>Peck, LS; Harper, EM</t>
  </si>
  <si>
    <t>Peck, L. S.; Harper, E. M.</t>
  </si>
  <si>
    <t>Variation in size of living articulated brachiopods with latitude and depth</t>
  </si>
  <si>
    <t>BODY-SIZE; LIOTHYRELLA-UVA; TEMPERATURE; OXYGEN; GROWTH; BIOGEOGRAPHY; METABOLISM; ECTOTHERMS; EVOLUTION; PATTERNS</t>
  </si>
  <si>
    <t>Geographical variations in animal characters are one of the main subjects for study in macroecology. Variation with latitude has received special interest. Articulated brachiopods are possibly the commonest macrofossil with large variations in size of taxa through the fossil record. Here, we investigate trends in size of the 3 main orders of articulated brachiopod with latitude and depth. Data were insufficient to identify patterns in Thecideida (a micromorph taxon only recorded from low latitudes). Rhynchonellida had no clear trends in size with latitude or depth. Terebratulida exhibited hemispheric differences in size relations, with increasing length of species towards the pole in the south and no significant trend in the north. Tropical species were small (&lt; 20 mm length between 10A degrees N and 10A degrees S), and the largest species were found between 30A degrees and 60A degrees latitude in both hemispheres. There were no articulated brachiopods recorded from the high arctic, and support for a continuous trend in size with latitude was small or absent. In Terebratulida, there was a significant decrease in species length with depth of 1.7 mm per 100 m depth increase. These trends could be explained by competition for space and reduced availability of habitat with progressive depth beyond the continental shelf.</t>
  </si>
  <si>
    <t>[Peck, L. S.] British Antarctic Survey, NERC, Cambridge CB3 0ET, England; [Harper, E. M.] Univ Cambridge, Dept Earth Sci, Cambridge CB2 3EQ, England</t>
  </si>
  <si>
    <t>UK Research &amp; Innovation (UKRI); Natural Environment Research Council (NERC); NERC British Antarctic Survey; University of Cambridge</t>
  </si>
  <si>
    <t>Peck, LS (corresponding author), British Antarctic Survey, NERC, Madingley Rd, Cambridge CB3 0ET, England.</t>
  </si>
  <si>
    <t>l.peck@bas.ac.uk</t>
  </si>
  <si>
    <t>Harper, Elizabeth M/B-3890-2008</t>
  </si>
  <si>
    <t>10.1007/s00227-010-1486-5</t>
  </si>
  <si>
    <t>WOS:000281792000010</t>
  </si>
  <si>
    <t>Hashihama, F; Umeda, H; Hamada, C; Kudoh, S; Hirawake, T; Satoh, K; Fukuchi, M; Kashino, Y</t>
  </si>
  <si>
    <t>Hashihama, Fuminori; Umeda, Haruko; Hamada, Chiaki; Kudoh, Sakae; Hirawake, Toru; Satoh, Kazuhiko; Fukuchi, Mitsuo; Kashino, Yasuhiro</t>
  </si>
  <si>
    <t>Light acclimation states of phytoplankton in the Southern Ocean, determined using photosynthetic pigment distribution</t>
  </si>
  <si>
    <t>PHAEOCYSTIS-ANTARCTICA; DIADINOXANTHIN CYCLE; COMMUNITY STRUCTURE; EXCESSIVE IRRADIANCE; TEMPORAL VARIATION; EMILIANIA-HUXLEYI; XANTHOPHYLL CYCLE; CHEMTAX ANALYSIS; ROSS SEA; CHLOROPHYLL</t>
  </si>
  <si>
    <t>In high-latitude waters such as the Southern Ocean, the primary production of phytoplankton supports the ecosystem. To understand the photo-acclimation strategy of such phytoplankton within cold environments, the vertical distribution profile of photosynthetic pigments was analyzed in the Southern Ocean. Samples were taken along 110A degrees E during the austral summer, and along 150A degrees E and around the edge of the seasonal sea ice of the Antarctic Continent during the austral autumn. Pigment extraction methods were optimized for these samples. The standing crop of chlorophyll a was larger in the region along the edge of the seasonal sea ice than at sampling stations in open ocean areas. Chlorophyll concentration seemed to be dependent on the formation of thermo- and haloclines along the edge of the seasonal sea ice, but not in the open ocean where such clines are less pronounced. The marker pigments fucoxanthin and/or 19'-hexanoyloxyfucoxanthin were dominant at most sampling stations throughout the water column, while other marker pigments such as alloxanthin were quite low. This indicated that diatoms and/or haptophytes were the major phytoplankton in this area. Comparison of the relative ratio of fucoxanthin with that of 19'-hexanoyloxyfucoxanthin allowed some stations to be characterized as either diatom-dominant or haptophyte-dominant. The relative ratio of xanthophyll-cycle pigments (diadinoxanthin plus diatoxanthin) to chlorophyll a was high in surface waters and decreased gradually with depth. This suggests that near the ice edge during summer in the Southern Ocean, both diatoms and haptophytes acclimate to their light environments to protect their photosystems under high-light conditions.</t>
  </si>
  <si>
    <t>[Hashihama, Fuminori; Satoh, Kazuhiko; Kashino, Yasuhiro] Univ Hyogo, Dept Life Sci, Kamigori, Hyogo 6781297, Japan; [Umeda, Haruko; Kudoh, Sakae; Fukuchi, Mitsuo] Natl Inst Polar Res, Tokyo 1908518, Japan; [Hamada, Chiaki] Nichiyu Giken Kogyo Co Ltd, Kawagoe, Saitama 3501107, Japan; [Kudoh, Sakae; Fukuchi, Mitsuo] Grad Univ Adv Studies, Dept Polar Sci, Tokyo 1908518, Japan; [Hirawake, Toru] Hokkaido Univ, Grad Sch Fisheries Sci, Hakodate, Hokkaido 0418611, Japan</t>
  </si>
  <si>
    <t>University of Hyogo; Research Organization of Information &amp; Systems (ROIS); National Institute of Polar Research (NIPR) - Japan; Graduate University for Advanced Studies - Japan; Hokkaido University</t>
  </si>
  <si>
    <t>Kashino, Y (corresponding author), Univ Hyogo, Dept Life Sci, 3-2-1 Kohto, Kamigori, Hyogo 6781297, Japan.</t>
  </si>
  <si>
    <t>kashino@sci.u-hyogo.ac.jp</t>
  </si>
  <si>
    <t>Hashihama, Fuminori/O-1924-2014</t>
  </si>
  <si>
    <t>Hashihama, Fuminori/0000-0003-3835-7681; Hirawake, Toru/0000-0003-0274-6642</t>
  </si>
  <si>
    <t>NIPR [10-27]; Hyogo Science and Technology Association [20I107]; MEXT [20051021]; Grants-in-Aid for Scientific Research [20051021, 22710006] Funding Source: KAKEN</t>
  </si>
  <si>
    <t>NIPR(National Institute of Polar Research (NIPR) - Japan); Hyogo Science and Technology Association; MEXT(Ministry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</si>
  <si>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the cruise members of RV Shirase for their technical support with phytoplankton collection during the JARE 41 expedition and to Mr Takeshi Takahashi for providing purified photosystem II complexes from the red alga, Cyanidioschyzon merolae. This work was supported by the grants from NIPR (10-27 for YK), Hyogo Science and Technology Association (20I107 for YK) and MEXT (20051021 to YK). The map for Fig. 1 was created using Online Map Creation (http:// www.aquarius.geomar.de/omc/), which is supported by the Generic Mapping Tools (GMT).</t>
  </si>
  <si>
    <t>10.1007/s00227-010-1494-5</t>
  </si>
  <si>
    <t>WOS:000281792000015</t>
  </si>
  <si>
    <t>Kruse, S; Hagen, W; Bathmann, U</t>
  </si>
  <si>
    <t>Kruse, Svenja; Hagen, Wilhelm; Bathmann, Ulrich</t>
  </si>
  <si>
    <t>Feeding ecology and energetics of the Antarctic chaetognaths Eukrohnia hamata, E. bathypelagica and E. bathyantarctica</t>
  </si>
  <si>
    <t>MIDWATER FOOD WEB; SOUTHERN-OCEAN; WAX ESTERS; SAGITTA-GAZELLAE; POPULATION-STRUCTURE; PREDATION IMPACT; FATTY-ACID; CHEMICAL-COMPOSITION; EUCHAETA-ANTARCTICA; CALANUS-PROPINQUUS</t>
  </si>
  <si>
    <t>Ecological and physiological studies focused on dietary preferences, lipid biochemistry and energetics within the three Antarctic chaetognaths Eukrohnia hamata, E. bathypelagica and E. bathyantarctica from meso- and bathypelagic depths. Eukrohnia hamata and E. bathypelagica respired 0.15 mu L O(2) mg dry mass (DM)(-1) h(-1), which translates to an average metabolic loss of only &lt; 1.1% of body carbon per day. Lipid storage was not substantial in E. bathypelagica (mean 11.5 +/- A 6.5% DM) and E. bathyantarctica (mean 15.4 +/- A 4.1% DM) during summer and winter, suggesting year-round feeding of these predators mainly on copepods. In E. bathypelagica, total fatty acids were dominated by the fatty acids 16:0, 20:5(n-3) and 22:6(n-3) and in E. bathyantarctica also by 18:1(n-9), a fatty acid usually found in storage lipids. Only the latter species was characterized by significant amounts of wax esters, consisting largely of the common fatty alcohols 16:0, 20:1(n-9) and the unusual fatty alcohol isomer 22:1(n-9).</t>
  </si>
  <si>
    <t>[Kruse, Svenja; Bathmann, Ulrich] Alfred Wegener Inst Polar &amp; Marine Res, D-27570 Bremerhaven, Germany; [Hagen, Wilhelm] Univ Bremen, D-28334 Bremen, Germany</t>
  </si>
  <si>
    <t>Helmholtz Association; Alfred Wegener Institute, Helmholtz Centre for Polar &amp; Marine Research; University of Bremen</t>
  </si>
  <si>
    <t>Kruse, S (corresponding author), Alfred Wegener Inst Polar &amp; Marine Res, Handelshafen 12, D-27570 Bremerhaven, Germany.</t>
  </si>
  <si>
    <t>Svenja.Kruse@awi.de</t>
  </si>
  <si>
    <t>Bathmann, Ulrich/ISV-4351-2023</t>
  </si>
  <si>
    <t>Hagen, Wilhelm/0000-0002-7462-9931</t>
  </si>
  <si>
    <t>10.1007/s00227-010-1496-3</t>
  </si>
  <si>
    <t>WOS:000281792000017</t>
  </si>
  <si>
    <t>Connan, M; Mayzaud, P; Duhamel, G; Bonnevie, BT; Cherel, Y</t>
  </si>
  <si>
    <t>Connan, Maelle; Mayzaud, Patrick; Duhamel, Guy; Bonnevie, Bo T.; Cherel, Yves</t>
  </si>
  <si>
    <t>Fatty acid signature analysis documents the diet of five myctophid fish from the Southern Ocean</t>
  </si>
  <si>
    <t>NORTHERN SCOTIA SEA; WAX ESTERS; KERGUELEN ISLANDS; LIPID-COMPOSITION; MESOPELAGIC FISH; STABLE-ISOTOPES; MIDWATER FISHES; PROCELLARIIFORM SEABIRDS; MARINE-ENVIRONMENT; STOMACH OIL</t>
  </si>
  <si>
    <t>Fatty acid (FA) and fatty alcohol (FAlc) compositions of both total lipid and neutral lipid fractions were studied for five myctophid species sampled in Kerguelen waters. Both qualitative and quantitative FA signature analyses were then performed to investigate their diet over longer time scales than the conventional stomach content analysis. Regarding their lipid class, FA and FAlc compositions, the five species could be discriminated into two groups: wax-ester-rich species (Electrona antarctica, Krefftichthys anderssoni) characterised by large amounts of monounsaturated FAs (&gt; 73% of total FAs) and triacylglycerol-rich species (Electrona carlsbergi, Gymnoscopelus nicholsi, Protomyctophum bolini) with major amounts of saturated and monounsaturated FAs (&gt; 29 and &gt; 46% of total FAs, respectively). Qualitative and quantitative FA analyses showed that K. anderssoni mainly preyed upon copepods, E. antarctica upon copepods and more euphausiids and P. bolini and E. carlsbergi mainly upon euphausiids with some copepods, while G. nicholsi had a more diverse diet. This study shows the usefulness of quantitative statistical analysis to determine the diet of Antarctic and sub-Antarctic predators and stresses the need of increasing the lipid and FA analyses of more zooplanktonic and micro-nektonic marine species.</t>
  </si>
  <si>
    <t>[Connan, Maelle; Mayzaud, Patrick] Univ Paris 06, Observ Oceanol Oceanog Biochim &amp; Ecol, UMR LOV 7093, F-06234 Villefranche, France; [Connan, Maelle; Mayzaud, Patrick] CNRS, UMR LOV 7093, F-06234 Villefranche, France; [Connan, Maelle; Cherel, Yves] Ctr Etud Biol Chize, CNRS, UPR 1934, F-79360 Villiers En Bois, France; [Duhamel, Guy] MNHN, Dept Milieux &amp; Peuplements Aquat, UMR 7208, F-75231 Paris 05, France; [Bonnevie, Bo T.] Rhodes Univ, Div Informat Technol, ZA-6140 Grahamstown, South Africa</t>
  </si>
  <si>
    <t>Sorbonne Universite; Centre National de la Recherche Scientifique (CNRS); Centre National de la Recherche Scientifique (CNRS); Centre National de la Recherche Scientifique (CNRS); CNRS - Institute of Ecology &amp; Environment (INEE); Institut de Recherche pour le Developpement (IRD); Museum National d'Histoire Naturelle (MNHN); Sorbonne Universite; Rhodes University</t>
  </si>
  <si>
    <t>Connan, M (corresponding author), Rhodes Univ, Dept Zool &amp; Entomol, POB 94, ZA-6140 Grahamstown, South Africa.</t>
  </si>
  <si>
    <t>m.connan@ru.ac.za</t>
  </si>
  <si>
    <t>Connan, Maelle/A-8468-2008</t>
  </si>
  <si>
    <t>Bonnevie, Bo/0000-0002-5906-9577; Connan, Maelle/0000-0002-1308-9118</t>
  </si>
  <si>
    <t>Institut Polaire Francais Paul Emile Victor (IPEV) [109]; CNRS [UMR 7093, UPR 1934]; Paris VI University</t>
  </si>
  <si>
    <t>Institut Polaire Francais Paul Emile Victor (IPEV); CNRS(Centre National de la Recherche Scientifique (CNRS)); Paris VI University</t>
  </si>
  <si>
    <t>We would like to thank the crew of MV La Curieuse and all the scientific assistants of the IPEKER and ICH-TYOKER cruises who collected the fish under a MNHN protocol, CF Phleger, PD Nichols, MM Nelson, KL Phillips and G Wilson for generously supplying detailed chromatographic data of some of the potential prey species and M. Boutoute for helping with the lipid analyses. Discussions with B Hulley and P Koubbi greatly improved the manuscript, as well as comments from both reviewers, and we sincerely thank L Allan for help with English grammar and style. The fieldwork was supported financially and logistically by the Institut Polaire Francais Paul Emile Victor (IPEV, Programme no. 109, H Weimerskirch) and the Terres Australes et Antarctiques Francaises. This research was supported by CNRS through UMR 7093 and UPR 1934, and a doctoral scholarship to MC from Paris VI University.</t>
  </si>
  <si>
    <t>10.1007/s00227-010-1497-2</t>
  </si>
  <si>
    <t>WOS:000281792000018</t>
  </si>
  <si>
    <t>Hoppema, M; Dehairs, F; Navez, J; Monnin, C; Jeandel, C; Fahrbach, E; de Baar, HJW</t>
  </si>
  <si>
    <t>Hoppema, M.; Dehairs, F.; Navez, J.; Monnin, C.; Jeandel, C.; Fahrbach, E.; de Baar, H. J. W.</t>
  </si>
  <si>
    <t>Distribution of barium in the Weddell Gyre: Impact of circulation and biogeochemical processes</t>
  </si>
  <si>
    <t>MARINE CHEMISTRY</t>
  </si>
  <si>
    <t>Barium; Silicate; Geochemical cycle; Southern Ocean, Weddell Sea</t>
  </si>
  <si>
    <t>ORGANIC-CARBON REMINERALIZATION; SOUTHERN-OCEAN; DISSOLVED BARIUM; MARINE BARITE; BOTTOM WATER; DEEP-WATER; EXANTHEMACHRYSIS-GAYRALIAE; SATURATION STATE; SEA; GEOCHEMISTRY</t>
  </si>
  <si>
    <t>The Southern Ocean data base of dissolved barium (Bad) has been augmented with two densely sampled sections across the Weddell Gyre sampled by the icebreaker FS Polarstern during February and March 2005. Bad was found to be relatively high in the surface layer as compared to the adjacent waters north (Antarctic Circumpolar Current) and east (Antarctic Zone of the Indian sector). Compared to the inflowing water into the Weddell Gyre and also to the surface water, the deep water is characterized by a significant Ba-d enrichment. Depletion of Bad in the surface layer is associated with well-known biogeochemical processes, but we speculate that also sea-ice formation leads to the extraction of Ba from solution via barite (BaSO4) precipitation. The particulate Ba settles down the water column and redissolves in deeper water where undersaturation of barite is prevalent. In the bottom layer, enrichment of Ba-d occurs, exhibited as a Ba-d maximum, which is caused by Ba efflux from the sediments. In recently formed Weddell Sea Bottom Water, though, a Ba-d minimum is observed, imposed by the shelf water component of bottom water, which has relatively low Ba-d concentration. Like in other Southern Ocean regions, throughout the water column a strong correlation exists between Ba-d and dissolved silicate, although the relationship is different from that in the Antarctic regions to the east. In a tentative budget, the deep water is found to be supplied with Ba-d mainly by the surface layer, but also to some extent by the bottom layer. Weddell Sea Deep Water, enriched in Ba-d, is transferred out of the Weddell Gyre into the ACC as Antarctic Bottom Water, making the gyre a source of Ba-d to the deep and abyssal world oceans. (C) 2010 Elsevier B.V. All rights reserved.</t>
  </si>
  <si>
    <t>[Hoppema, M.; Fahrbach, E.] Alfred Wegener Inst Polar &amp; Marine Res, Climate Sci Dept, D-27515 Bremerhaven, Germany; [Dehairs, F.; Navez, J.] Vrije Univ Brussel, B-1050 Brussels, Belgium; [Navez, J.] Royal Museum Cent Africa Geol &amp; Mineral, Sect Mineral &amp; Petrog, B-3080 Tervuren, Belgium; [Monnin, C.] Univ Toulouse 3, CNRS, Lab Mecan Transfert Geol, F-31400 Toulouse, France; [Jeandel, C.] Observ Midi Pyrenees, LEGOS, F-31400 Toulouse, France; [de Baar, H. J. W.] Royal Netherlands Inst Sea Res, NL-1790 AB Texel, Netherlands</t>
  </si>
  <si>
    <t>Helmholtz Association; Alfred Wegener Institute, Helmholtz Centre for Polar &amp; Marine Research; Vrije Universiteit Brussel; Royal Museum for Central Africa; Universite de Toulouse; Universite Toulouse III - Paul Sabatier; Centre National de la Recherche Scientifique (CNRS); Institut de Recherche pour le Developpement (IRD); Universite de Toulouse; Universite Toulouse III - Paul Sabatier; Centre National de la Recherche Scientifique (CNRS); Institut de Recherche pour le Developpement (IRD); Laboratoire d'Etudes en Geophysique et oceanographie spatiales; Utrecht University; Royal Netherlands Institute for Sea Research (NIOZ)</t>
  </si>
  <si>
    <t>Hoppema, M (corresponding author), Alfred Wegener Inst Polar &amp; Marine Res, Climate Sci Dept, Postfach 120161, D-27515 Bremerhaven, Germany.</t>
  </si>
  <si>
    <t>Mario.Hoppema@awi.de; fdehairs@vub.ac.be</t>
  </si>
  <si>
    <t>Jeandel, Catherine/P-3789-2014; Monnin, Christophe/AAD-1215-2020; Hoppema, Mario/I-6286-2013</t>
  </si>
  <si>
    <t>Jeandel, Catherine/0000-0002-4915-4719; Monnin, Christophe/0000-0002-9343-6414; Hoppema, Mario/0000-0002-2326-619X</t>
  </si>
  <si>
    <t>Federal Belgian Science Policy Office (Belspo), Brussels, Belgium [SD/CA/03A]; Vrije Universiteit Brussel [GOA 53]; EU [511176]</t>
  </si>
  <si>
    <t>Federal Belgian Science Policy Office (Belspo), Brussels, Belgium(Belgian Federal Science Policy Office); Vrije Universiteit Brussel; EU(European Union (EU))</t>
  </si>
  <si>
    <t>This research was supported by the Federal Belgian Science Policy Office (Belspo) under the Science for Sustainable Development (SDD) program, Brussels, Belgium (BELCANTO contract SD/CA/03A) and Vrije Universiteit Brussel (project GOA 53). We are grateful to Evaline van Weerlee (NIOZ, Texel) for the silicate measurements on board Polarstern and Rob Middag (NIOZ) for help with sampling for barium. We thank the captain and crew of Polarstern for their hospitality and help. This work was partly funded by the EU IP CARBOOCEAN (project nr. 511176, GOCE).</t>
  </si>
  <si>
    <t>0304-4203</t>
  </si>
  <si>
    <t>1872-7581</t>
  </si>
  <si>
    <t>MAR CHEM</t>
  </si>
  <si>
    <t>Mar. Chem.</t>
  </si>
  <si>
    <t>1-4</t>
  </si>
  <si>
    <t>10.1016/j.marchem.2010.07.005</t>
  </si>
  <si>
    <t>Chemistry, Multidisciplinary; Oceanography</t>
  </si>
  <si>
    <t>Chemistry; Oceanography</t>
  </si>
  <si>
    <t>695KO</t>
  </si>
  <si>
    <t>Green Submitted, Green Published</t>
  </si>
  <si>
    <t>WOS:000285369200013</t>
  </si>
  <si>
    <t>Buck, KN; Selph, KE; Barbeau, KA</t>
  </si>
  <si>
    <t>Buck, Kristen N.; Selph, Karen E.; Barbeau, Katherine A.</t>
  </si>
  <si>
    <t>Iron-binding ligand production and copper speciation in an incubation experiment of Antarctic Peninsula shelf waters from the Bransfield Strait, Southern Ocean</t>
  </si>
  <si>
    <t>Chemical speciation; Iron; Copper; Seawater; Incubation; Southern Ocean</t>
  </si>
  <si>
    <t>NATURAL ORGANIC-LIGANDS; CONDITIONAL STABILITY-CONSTANTS; EQUATORIAL PACIFIC-OCEAN; SAN-FRANCISCO BAY; CHEMICAL SPECIATION; ATLANTIC-OCEAN; BERING-SEA; MICROBIAL COMMUNITY; COMPLEXING LIGANDS; DISSOLVED COPPER</t>
  </si>
  <si>
    <t>The evolution of dissolved iron (Fe) and copper (Cu) speciation was followed through a simulated spring bloom event in a 15-day incubation experiment of natural seawater collected during austral winter from high macronutrient high Fe waters of Bransfield Strait in the Southern Ocean. The incubation experiment included unamended bottles as well as Fe additions using the stable isotope of Fe, Fe-57. as inorganic ((FeCl3)-Fe-57) and organic (Fe-57-aerobactin, Fe-57-desferrioxamine B) amendments. Exposure to summer light conditions resulted in substantial growth for all treatments, mimicking the initiation of a spring bloom. The addition of Fe resulted in a 30% increase in phytoplankton biomass over unamended controls by day 15, indicating that the unamended waters became Fe limited despite initially elevated dissolved Fe concentrations. Dissolved Cu and Cu speciation remained largely unchanged for all treatments of the incubation, with Cu speciation dominated by exceedingly strong Cu-binding ligands (log K-CuL1.Cu2+(Cond) similar to 16) and low resultant Cu2+ concentrations (10(-16.3 +/- 0.3) mol L-1). In only the unamended light bottles, strong Fe-binding ligands were produced over the course of the experiment. The observed production of strong Fe-binding ligands in the control bottles that became Fe-limited supports the important role of biologically produced siderophore-type natural ligands in the marine Fe cycle. (C) 2010 Elsevier B.V. All rights reserved.</t>
  </si>
  <si>
    <t>[Buck, Kristen N.; Barbeau, Katherine A.] Univ Calif San Diego, Scripps Inst Oceanog, La Jolla, CA 92093 USA; [Selph, Karen E.] Univ Hawaii Manoa, Dept Oceanog, Honolulu, HI 96822 USA</t>
  </si>
  <si>
    <t>University of California System; University of California San Diego; Scripps Institution of Oceanography; University of Hawaii System; University of Hawaii Manoa</t>
  </si>
  <si>
    <t>Buck, KN (corresponding author), Bermuda Inst Ocean Sci, 17 Biol Stn, Ferry Reach GE 01, St Georges, Bermuda.</t>
  </si>
  <si>
    <t>kristen.buck@bios.edu</t>
  </si>
  <si>
    <t>Buck, Kristen/O-3988-2014</t>
  </si>
  <si>
    <t>Buck, Kristen/0000-0002-3871-870X; Selph, Karen/0000-0001-7281-4706; Barbeau, Katherine/0000-0002-2132-7219</t>
  </si>
  <si>
    <t>Scripps Institution of Oceanography; NSF [ANT 04-44134]; Directorate For Geosciences; Office of Polar Programs (OPP) [0948338] Funding Source: National Science Foundation</t>
  </si>
  <si>
    <t>Scripps Institution of Oceanography(University of California System); NSF(National Science Foundation (NSF)); Directorate For Geosciences; Office of Polar Programs (OPP)(National Science Foundation (NSF)NSF - Directorate for Geosciences (GEO))</t>
  </si>
  <si>
    <t>The authors would like to thank the captain, crew, and technicians on the R/V/I/B Nathanial B. Palmer. We also thank Lindsey Ekern for shipboard nutrient analyses, Jen Ayers for chlorophyll data, the Chris Measures lab for clean incubation water, and Sue Reynolds for assistance with incubation setup. We thank Andrew King, Ana Aguilar-Islas and Maeve Lohan for their generous help with the NTA column setup and Rob Franks of the Marine Analytical Laboratory at University of California Santa Cruz for his invaluable help with the subsequent HR-ICP-MS analyses. The manuscript was greatly improved by the helpful comments of Stan van den Berg and two anonymous reviewers. KNB was supported by a Scripps Institution of Oceanography Earth Section postdoctoral fellowship and this work was funded by NSF award ANT 04-44134.</t>
  </si>
  <si>
    <t>10.1016/j.marchem.2010.06.002</t>
  </si>
  <si>
    <t>WOS:000285369200016</t>
  </si>
  <si>
    <t>Zolensky, M; Herrin, J; Mikouchi, T; Ohsumi, K; Friedrich, J; Steele, A; Rumble, D; Fries, M; Sandford, S; Milam, S; Hagiya, K; Takeda, H; Satake, W; Kurihara, T; Colbert, M; Hanna, R; Maisano, J; Ketcham, R; Goodrich, C; Le, L; Robinson, G; Martinez, J; Ross, K; Jenniskens, P; Shaddad, MH</t>
  </si>
  <si>
    <t>Zolensky, Michael; Herrin, Jason; Mikouchi, Takashi; Ohsumi, Kazumasa; Friedrich, Jon; Steele, Andrew; Rumble, Douglas; Fries, Marc; Sandford, Scott; Milam, Stefanie; Hagiya, Kenji; Takeda, Hiroshi; Satake, Wataru; Kurihara, Taichi; Colbert, Matthew; Hanna, Romy; Maisano, Jessie; Ketcham, Richard; Goodrich, Cyrena; Le, Loan; Robinson, GeorgAnn; Martinez, James; Ross, Kent; Jenniskens, Peter; Shaddad, Muawia H.</t>
  </si>
  <si>
    <t>Mineralogy and petrography of the Almahata Sitta ureilite</t>
  </si>
  <si>
    <t>PARENT BODY; ANTARCTIC UREILITES; POLYMICT UREILITE; CRYSTAL-CHEMISTRY; ORIGIN; METEORITES; CHONDRITES; PIGEONITE; EVOLUTION; IMPACT</t>
  </si>
  <si>
    <t>We performed a battery of analyses on 17 samples of the Almahata Sitta meteorite, identifying three main lithologies and several minor ones present as clasts. The main lithologies are (1) a pyroxene-dominated, very porous, highly reduced lithology, (2) a pyroxene-dominated compact lithology, and (3) an olivine-dominated compact lithology. Although it seems possible that all three lithologies grade smoothly into each other at the kg-scale, at the g-scale this is not apparent. The meteorite is a polymict ureilite, with some intriguing features including exceptionally variable porosity and pyroxene composition. Although augite is locally present in Almahata Sitta, it is a minor phase in most (but not all) samples we have observed. Low-calcium pyroxene (&lt; 5 mole% wollastonite) is more abundant than compositionally defined pigeonite; however, we found that even the low-Ca pyroxene in Almahata Sitta has the monoclinic pigeonite crystal structure, and thus is properly termed pigeonite. As the major pyroxene in Almahata Sitta is pigeonite, and the abundance of pigeonite is generally greater than that of olivine, this meteorite might be called a pigeonite-olivine ureilite, rather than the conventional olivine-pigeonite ureilite group. The wide variability of lithologies in Almahata Sitta reveals a complex history, including asteroidal igneous crystallization, impact disruption, reheating and partial vaporization, high-temperature reduction and carbon burning, and re-agglomeration.</t>
  </si>
  <si>
    <t>[Zolensky, Michael] NASA, ARES, Johnson Space Ctr, Houston, TX 77058 USA; [Herrin, Jason; Le, Loan; Robinson, GeorgAnn; Martinez, James; Ross, Kent] ESCG Jacobs, Houston, TX 77058 USA; [Mikouchi, Takashi; Takeda, Hiroshi; Satake, Wataru; Kurihara, Taichi] Univ Tokyo, Dept Earth &amp; Planetary Sci, Bunkyo Ku, Tokyo 1130033, Japan; [Friedrich, Jon] Fordham Univ, Dept Chem, Bronx, NY 10458 USA; [Ohsumi, Kazumasa] JASRI, Sayo, Hyogo 6795198, Japan; [Friedrich, Jon] Amer Museum Nat Hist, Dept Earth &amp; Planetary Sci, New York, NY 10024 USA; [Steele, Andrew; Rumble, Douglas] Carnegie Inst Washington, Geophys Lab, Washington, DC 20015 USA; [Fries, Marc] CALTECH, Jet Prop Lab, Pasadena, CA 91109 USA; [Sandford, Scott] NASA, Ames Res Ctr, Moffett Field, CA 94035 USA; [Milam, Stefanie] NASA, Goddard Space Flight Ctr, Greenbelt, MD 20771 USA; [Hagiya, Kenji] Univ Hyogo, Grad Sch Life Sci, Kamigori, Hyogo 6781297, Japan; [Colbert, Matthew; Hanna, Romy; Maisano, Jessie; Ketcham, Richard] Univ Texas Austin, Univ Texas High Resolut Xray CT Facil, Austin, TX 78712 USA; [Goodrich, Cyrena] Planetary Sci Inst, Tucson, AZ 85719 USA; [Jenniskens, Peter] SETI Inst, Mountain View, CA 94043 USA; [Shaddad, Muawia H.] Univ Khartoum, Dept Phys &amp; Astron, Khartoum 11115, Sudan</t>
  </si>
  <si>
    <t>National Aeronautics &amp; Space Administration (NASA); University of Tokyo; Fordham University; Japan Synchrotron Radiation Research Institute; American Museum of Natural History (AMNH); Carnegie Institution for Science; California Institute of Technology; National Aeronautics &amp; Space Administration (NASA); NASA Jet Propulsion Laboratory (JPL); National Aeronautics &amp; Space Administration (NASA); NASA Ames Research Center; National Aeronautics &amp; Space Administration (NASA); NASA Goddard Space Flight Center; University of Hyogo; University of Texas System; University of Texas Austin; University of Khartoum</t>
  </si>
  <si>
    <t>Zolensky, M (corresponding author), NASA, ARES, Johnson Space Ctr, Houston, TX 77058 USA.</t>
  </si>
  <si>
    <t>michael.e.zolensky@nasa.gov</t>
  </si>
  <si>
    <t>Ketcham, Richard/B-5431-2011; Rumble, Douglas/AAU-3930-2020; Hanna, Romy/JVN-6120-2024; Mikouchi, Takashi/AAY-7355-2021; Steele, Andrew/A-3573-2013; Milam, Stefanie/D-1092-2012</t>
  </si>
  <si>
    <t>Ketcham, Richard/0000-0002-2748-0409; Rumble, Douglas/0000-0002-7440-9189; Steele, Andrew/0000-0001-9643-2841; Herrin, Jason/0000-0002-2452-244X; Zolensky, Michael/0000-0002-3181-1303; Milam, Stefanie/0000-0001-7694-4129; Mikouchi, Takashi/0000-0002-9998-8754</t>
  </si>
  <si>
    <t>NASA [NNX07AI48G]; Directorate For Geosciences; Division Of Earth Sciences [0948842] Funding Source: National Science Foundation</t>
  </si>
  <si>
    <t>NASA(National Aeronautics &amp; Space Administration (NASA)); Directorate For Geosciences; Division Of Earth Sciences(National Science Foundation (NSF)NSF - Directorate for Geosciences (GEO))</t>
  </si>
  <si>
    <t>We are happy to acknowledge the work of the many alert individuals who discovered, observed, tracked, predicted the asteroid landing site, and finally located asteroid 2008 TC3. We especially thank the many students of the University of Khartoum who worked hard to recover the final asteroid samples in a harsh environment. None of us had grant funding specifically to support study of Almahata Sitta, but fortunately our grant institutions were lenient for such a fascinating project. Reviews by and other discussions with Makoto Kimura and Paul Warren resulted in a greatly improved manuscript. M. Z. was supported by the Hayabusa Mission and the Stardust Sample Analysis Program. P. J. was supported by a grant from NASA's Planetary Astronomy Program. D. R. thanks NASA for grant NNX07AI48G which supported oxygen isotope analyses.</t>
  </si>
  <si>
    <t>10.1111/j.1945-5100.2010.01128.x</t>
  </si>
  <si>
    <t>WOS:000285759700004</t>
  </si>
  <si>
    <t>Cloutis, EA; Hudon, P; Romanek, CS; Bishop, JL; Reddy, V; Gaffey, MJ; Hardersen, PS</t>
  </si>
  <si>
    <t>Cloutis, E. A.; Hudon, Pierre; Romanek, Christopher S.; Bishop, Janice L.; Reddy, Vishnu; Gaffey, Michael J.; Hardersen, Paul S.</t>
  </si>
  <si>
    <t>Spectral reflectance properties of ureilites</t>
  </si>
  <si>
    <t>NORTHWEST AFRICA 1500; ANTARCTIC UREILITES; COOLING HISTORY; ORTHO-PYROXENE; CARBONACEOUS CHONDRITES; ASTEROID 25143-ITOKAWA; ISOTOPIC COMPOSITION; OPTICAL-PROPERTIES; CRYSTAL-CHEMISTRY; METEORITE SPECTRA</t>
  </si>
  <si>
    <t>The 0.35-2.6 mu m reflectance spectra of 18 ureilites have been examined in order to improve our understanding of the spectral reflectance properties of this meteorite class. Across this spectral range, ureilite spectra are characterized by a steep rise in reflectance over the 0.3 to approximately 0.7 mu m range, low overall reflectance (&lt; 25%) and weak mafic iron silicate absorption bands in the 1 and 2 mu m region. The weakness of these bands and the low reflectance are attributed to the presence of dispersed graphite and related carbonaceous phases, metal, and possibly shock. Wavelength positions of the mafic silicate absorption bands span a range of values, but are consistent with the presence of pyroxene and olivine. Ureilite spectra generally exhibit blue slopes across the 0.7-2.6 mu m interval and exhibit many overall similarities to some carbonaceous chondrites. The weak features and spectral diversity of ureilites make reflectance spectroscopy-based identification of a ureilite parent body challenging. As terrestrial alteration of ureilites is prevalent, spectral studies of falls are most useful for determining the spectral properties of likely parent bodies.</t>
  </si>
  <si>
    <t>[Cloutis, E. A.] Univ Winnipeg, Dept Geog, Winnipeg, MB R3B 2E9, Canada; [Hudon, Pierre] NASA, Astromat Res &amp; Explorat Sci Off, Johnson Space Ctr, Houston, TX 77058 USA; [Hudon, Pierre] McGill Univ, Dept Min &amp; Mat Engn, Montreal, PQ H3A 2B2, Canada; [Romanek, Christopher S.] Univ Georgia, Savannah River Ecol Lab, Aiken, SC 29802 USA; [Romanek, Christopher S.] Univ Georgia, Dept Geol, Aiken, SC 29802 USA; [Bishop, Janice L.] NASA, Carl Sagan Ctr, SETI Inst, Ames Res Ctr, Mountain View, CA 94043 USA; [Reddy, Vishnu; Gaffey, Michael J.; Hardersen, Paul S.] Univ N Dakota, Dept Space Studies, Grand Forks, ND 58202 USA</t>
  </si>
  <si>
    <t>University of Winnipeg; National Aeronautics &amp; Space Administration (NASA); McGill University; United States Department of Energy (DOE); Savannah River Ecology Laboratory; University System of Georgia; University of Georgia; University System of Georgia; University of Georgia; National Aeronautics &amp; Space Administration (NASA); NASA Ames Research Center; University of North Dakota Grand Forks</t>
  </si>
  <si>
    <t>Cloutis, EA (corresponding author), Univ Winnipeg, Dept Geog, 515 Portage Ave, Winnipeg, MB R3B 2E9, Canada.</t>
  </si>
  <si>
    <t>e.cloutis@uwinnipeg.ca</t>
  </si>
  <si>
    <t>Hudon, Pierre/E-4994-2010; Hardersen, Paul/N-9343-2014</t>
  </si>
  <si>
    <t>Bishop, Janice/0000-0002-6681-9954; Reddy, Vishnu/0000-0002-7743-3491; Hardersen, Paul/0000-0002-0440-9095</t>
  </si>
  <si>
    <t>National Research Council of the United States; NSERC; Canadian Space Agency; University of Winnipeg</t>
  </si>
  <si>
    <t>National Research Council of the United States; NSERC(Natural Sciences and Engineering Research Council of Canada (NSERC)); Canadian Space Agency(Canadian Space Agency); University of Winnipeg</t>
  </si>
  <si>
    <t>We are grateful to John E. Gruener for collecting the X-ray patterns and to David W. Mittlefehldt and Craig S. Schwandt for help with the electron probe microanalysis. We thank the Meteorite Research Group of the NASA Johnson Space Center, the National Museum of Natural History of the Smithsonian Institution, and the Antarctic Meteorite Research Center of the National Institute of Polar Research for the allocations of meteorites. Thanks also to Tom Burbine, Lucy McFadden, and Dale Cruikshank for their reviews of this study and excellent comments. P. Hudon was supported by a Research Associateship Award of the National Research Council of the United States. E. Cloutis was supported by research grants and contracts from NSERC, the Canadian Space Agency, and the University of Winnipeg.</t>
  </si>
  <si>
    <t>10.1111/j.1945-5100.2010.01065.x</t>
  </si>
  <si>
    <t>WOS:000285759700007</t>
  </si>
  <si>
    <t>Herrin, JS; Zolensky, ME; Ito, M; Le, L; Mittlefehldt, DW; Jenniskens, P; Ross, AJ; Shaddad, MH</t>
  </si>
  <si>
    <t>Herrin, Jason S.; Zolensky, Michael E.; Ito, Motoo; Le, Loan; Mittlefehldt, David W.; Jenniskens, Peter; Ross, Aidan J.; Shaddad, Muawia H.</t>
  </si>
  <si>
    <t>Thermal and fragmentation history of ureilitic asteroids: Insights from the Almahata Sitta fall</t>
  </si>
  <si>
    <t>POLYMICT UREILITE; PARENT BODY; NEBULAR PROCESSES; IRON-METEORITES; ORTHO-PYROXENE; NOBLE-GASES; ORIGIN; IMPACT; MESOSIDERITES; CONSTRAINTS</t>
  </si>
  <si>
    <t>The Almahata Sitta fall event provides a unique opportunity to gain insight into the nature of ureilitic objects in space and the delivery of ureilite meteorites to Earth. From thermal events recorded in the mineralogy, petrology, and chemistry of ureilites recovered from the fall area, we reconstruct a timeline of events that led to their genesis. This history is similar to that of other known ureilites and supportive of a disrupted ureilite parent body hypothesis. Temperatures of final mantle equilibrium were 1200-1300 degrees C, but this high-temperature history was abruptly terminated by rapid cooling and reduction associated with pressure loss. The onset of late reduction reactions and onset of rapid cooling must have been essentially simultaneous, most likely engendered by the same event. Cooling rates of 0.05-2 degrees C h-1 determined from reversely zoned olivines and pyroxenes in Almahata Sitta imply rapid disassembly into fragments tens meters in size or smaller. This phenomenon seems to have affected all known portions of the ureilite parent body mantle, implying an event of global significance rather than localized unroofing. Reaccretion of one or more daughter asteroids occurred only after significant heat loss at minimum time scales of weeks to months, during which time the debris cloud surrounding the disrupted parent was inefficient at retaining heat. Fragments initially dislodged from the ureilite parent body mantle underwent subsequent size reduction and mixed with various chondritic bodies, giving rise to polylithologic aggregate objects such as asteroid 2008 TC(3).</t>
  </si>
  <si>
    <t>[Herrin, Jason S.; Zolensky, Michael E.; Ito, Motoo; Le, Loan; Mittlefehldt, David W.] NASA, Lyndon B Johnson Space Ctr, Houston, TX 77058 USA; [Herrin, Jason S.; Le, Loan] ESCG Astromat Res Grp, Houston, TX 77058 USA; [Ito, Motoo] USRA, Lunar &amp; Planetary Inst, Houston, TX 77058 USA; [Jenniskens, Peter] SETI Inst, Carl Sagan Ctr, Mountain View, CA 94043 USA; [Ross, Aidan J.] UCL, Birkbeck Res Sch Earth Sci, Ctr Planetary Sci, London WC1E 6BT, England; [Ross, Aidan J.] Nat Hist Museum, Dept Mineral, IARC, London SW7 5BD, England; [Shaddad, Muawia H.] Univ Khartoum, Dept Phys &amp; Astron, Khartoum 11115, Sudan</t>
  </si>
  <si>
    <t>National Aeronautics &amp; Space Administration (NASA); NASA Johnson Space Center; University of London; University College London; Imperial College London; Natural History Museum London; University of Khartoum</t>
  </si>
  <si>
    <t>Herrin, JS (corresponding author), NASA, Lyndon B Johnson Space Ctr, 2101 NASA Pkwy, Houston, TX 77058 USA.</t>
  </si>
  <si>
    <t>jason.s.herrin@nasa.gov</t>
  </si>
  <si>
    <t>Mittlefehldt, David/JUV-2877-2023</t>
  </si>
  <si>
    <t>Herrin, Jason/0000-0002-2452-244X; Zolensky, Michael/0000-0002-3181-1303</t>
  </si>
  <si>
    <t>NASA; Hayabusa mission; NERC</t>
  </si>
  <si>
    <t>NASA(National Aeronautics &amp; Space Administration (NASA)); Hayabusa mission; NERC(UK Research &amp; Innovation (UKRI)Natural Environment Research Council (NERC))</t>
  </si>
  <si>
    <t>Thank you to the University of Khartoum, Department of Physics and Astronomy and all of the students from the University of Khartoum who aided in the recovery of Almahata Sitta, especially D. Aldhawi and R. Alderdeeri, as well as the various observers who tracked asteroid 2008 TC3. The ANSMET program and the U.S. Antarctic Meteorite Program provided recovery and allocation of other ureilites examined as part of this study. P. Abell, J. Jones, T. Mikouchi, J. Park, and P. Warren provided helpful discussion. H. Downes, S. Singletary, E. Scott, and T. Jull provided constructive comments and reviews. This work was supported in part by a grant from the NASA Cosmochemistry Program to D. W. M. M. E. Z. was supported by the Hayabusa mission. P. J. was supported by the NASA Planetary Astronomy program. A. J. R. was supported by a NERC CASE Studentship.</t>
  </si>
  <si>
    <t>10.1111/j.1945-5100.2010.01136.x</t>
  </si>
  <si>
    <t>WOS:000285759700017</t>
  </si>
  <si>
    <t>Mikouchi, T; Zolensky, ME; Ohnishi, I; Suzuki, T; Takeda, H; Jenniskens, P; Shaddad, MH</t>
  </si>
  <si>
    <t>Mikouchi, Takashi; Zolensky, Michael E.; Ohnishi, Ichiro; Suzuki, Toshiaki; Takeda, Hiroshi; Jenniskens, Peter; Shaddad, Muawia H.</t>
  </si>
  <si>
    <t>Electron microscopy of pyroxene in the Almahata Sitta ureilite</t>
  </si>
  <si>
    <t>ANTARCTIC UREILITES; MINERALOGY; ORIGIN; METEORITES; PIGEONITE; IMPACT; TEM</t>
  </si>
  <si>
    <t>We performed scanning electron microscope-electron backscatter diffraction (SEM-EBSD) and focused ion beam-transmission electron microscopy (FIB-TEM) investigations of pyroxene in the Almahata Sitta ureilite (sample #7). The pyroxenes (mg# = similar to 0.92) are present as minute individual grains (10-20 mu m in size) showing a polycrystalline texture, and they are both low-Ca and high-Ca pyroxenes. Although their Ca contents are as low as Wo(2-3), the EBSD analysis shows that low-Ca pyroxenes are clinopyroxene (P2(1)/c). The obtained pyroxene equilibration temperature (1240-1280 degrees C) is consistent with the previous studies on many ureilites. In low-Ca pigeonite, (001) augite exsolution lamellae (10-15 nm wide) develop in the pigeonite host (20-45 nm wide), and a similar exsolution texture was observed in augite. The exsolution wavelength of pyroxene (typically 30-60 nm) gives the cooling rate of 0.2-5 degrees C h-1. Such a rapid cooling probably records quenching from high temperature (1240-1280 degrees C) down to 1000 degrees C (estimated from the exsolution pair) due to the breakup of the ureilite parent body (UPB) while it was still hot. The pyroxene microstructure of Almahata Sitta is within the range of known ureilites and is most similar to that of Allan Hills (ALH) A81101 with the affinity of polycrystalline texture. The coarser exsolution texture of ALHA81101 pyroxene suggests slower cooling history than Almahata Sitta. However, direct comparison is difficult because of different pyroxene compositions. Because ALHA77257 has a similar pyroxene composition to Almahata Sitta and does not show visible pyroxene exsolution, it should have cooled faster than Almahata Sitta. Rapid, albeit variable cooling rates observed in different ureilite samples may suggest that they originated from UPB fragments of different size.</t>
  </si>
  <si>
    <t>[Mikouchi, Takashi; Takeda, Hiroshi] Univ Tokyo, Grad Sch Sci, Dept Earth &amp; Planetary Sci, Bunkyo Ku, Tokyo 1130033, Japan; [Zolensky, Michael E.] NASA, ARES, Johnson Space Ctr, Houston, TX 77058 USA; [Ohnishi, Ichiro] JEOL Ltd, EM Business Unit, Tokyo 1968558, Japan; [Suzuki, Toshiaki] JEOL Ltd, SM Business Unit, Tokyo 1968558, Japan; [Jenniskens, Peter] SETI Inst, Carl Sagan Ctr, Mountain View, CA 94043 USA; [Shaddad, Muawia H.] Univ Khartoum, Dept Phys &amp; Astron, Khartoum 11115, Sudan</t>
  </si>
  <si>
    <t>University of Tokyo; National Aeronautics &amp; Space Administration (NASA); Jeol Ltd; JEOL Japan; Jeol Ltd; JEOL Japan; University of Khartoum</t>
  </si>
  <si>
    <t>Mikouchi, T (corresponding author), Univ Tokyo, Grad Sch Sci, Dept Earth &amp; Planetary Sci, Bunkyo Ku, 7-3-1 Hongo, Tokyo 1130033, Japan.</t>
  </si>
  <si>
    <t>mikouchi@eps.s.u-tokyo.ac.jp</t>
  </si>
  <si>
    <t>Mikouchi, Takashi/AAY-7355-2021</t>
  </si>
  <si>
    <t>Zolensky, Michael/0000-0002-3181-1303</t>
  </si>
  <si>
    <t>Japanese Ministry of Education, Culture, Sports, Science and Technology [20740305]; NIPR [P-8]; Ocean Research Institute [005]; University of Tokyo; JAXA-NASA Hayabusa Mission; NASA; Grants-in-Aid for Scientific Research [20740305] Funding Source: KAKEN</t>
  </si>
  <si>
    <t>Japanese Ministry of Education, Culture, Sports, Science and Technology(Ministry of Education, Culture, Sports, Science and Technology, Japan (MEXT)); NIPR(National Institute of Polar Research (NIPR) - Japan); Ocean Research Institute; University of Tokyo; JAXA-NASA Hayabusa Mission; NASA(National Aeronautics &amp; Space Administration (NASA)); Grants-in-Aid for Scientific Research(Ministry of Education, Culture, Sports, Science and Technology, Japan (MEXT)Japan Society for the Promotion of ScienceGrants-in-Aid for Scientific Research (KAKENHI))</t>
  </si>
  <si>
    <t>We thank the students and staff of the University of Khartoum who recovered the Almahata Sitta meteorites and the many astronomers that tracked the fall of asteroid 2008 TC3. We especially thank JEOL for offering us an opportunity to use their instruments with technical assistance. The insightful comments by referees Mario Tribaudino, David Mittlefehldt, Alan Rubin, and Christine Floss helped to improve the original manuscript and are greatly appreciated. This work was supported in part by the Grant-in-Aid for Young Scientists (B) by the Japanese Ministry of Education, Culture, Sports, Science and Technology No. 20740305 and by NIPR Research Project Funds, P-8 (evolution of the early solar system materials) (TM). This work is further supported in part by funds from the cooperative program (No. 005, 2007) provided by Ocean Research Institute, the University of Tokyo (HT) and by the JAXA-NASA Hayabusa Mission and the NASA Stardust Sample Analysis Program (MZ). P. J. is supported by NASA's Planetary Astronomy program. The SEM work was performed in the Electron Microbeam Analysis Facility for Mineralogy at the Department of Earth and Planetary Science, University of Tokyo.</t>
  </si>
  <si>
    <t>1945-5100</t>
  </si>
  <si>
    <t>10.1111/j.1945-5100.2010.01111.x</t>
  </si>
  <si>
    <t>WOS:000285759700019</t>
  </si>
  <si>
    <t>McGaughran, A; Stevens, MI; Holland, BR</t>
  </si>
  <si>
    <t>McGaughran, Angela; Stevens, Mark I.; Holland, Barbara R.</t>
  </si>
  <si>
    <t>Biogeography of circum-Antarctic springtails</t>
  </si>
  <si>
    <t>Antarctica; Cryptopygus; Dispersal; Phylogeny; Springtail; Vicariance</t>
  </si>
  <si>
    <t>SOUTHERN VICTORIA LAND; MOLECULAR PHYLOGENY; COLLEMBOLA; ACARI; GENUS; ORIGIN; CRYPTOPYGUS; GLACIATION; ARTHROPODA; ISOTOMIDAE</t>
  </si>
  <si>
    <t>We examine the effects of isolation over both ancient and contemporary timescales on evolutionary diversification and speciation patterns of springtail species in circum-Antarctica, with special focus on members of the genus Cryptopygus (Collembola, Isotomidae). We employ phylogenetic analysis of mitochondrial DNA (cox1), and ribosomal DNA (18S and 28S) genes in the programmes MrBayes and RAxML. Our aims are twofold: (1) we evaluate existing taxonomy in light of previous work which found dubious taxonomic classification in several taxa based on cox1 analysis; (2) we evaluate the biogeographic origin of our chosen suite of springtail species based on dispersal/vicariance scenarios, the magnitude of genetic divergence among lineages and the age and accessibility of potential habitat. The dubious taxonomic characterisation of Cryptopygus species highlighted previously is confirmed by our multi-gene phylogenetic analyses. Specifically, according to the current taxonomy, Cryptopygus antarcticus subspecies are not completely monophyletic and neither are Cryptopygus species in general. We show that distribution patterns among species/lineages are both dispersal- and vicariance-driven. Episodes of colonisation appear to have occurred frequently, the routes of which may have followed currents in the Southern Ocean. In several cases, the estimated divergence dates among species correspond well with the timing of terrestrial habitat availability. We conclude that these isotomid springtails have a varied and diverse evolutionary history in the circum-Antarctic that consists of both ancient and recent elements and is reflected in a dynamic contemporary fauna. (C) 2010 Elsevier Inc. All rights reserved.</t>
  </si>
  <si>
    <t>[McGaughran, Angela; Holland, Barbara R.] Massey Univ, Allan Wilson Ctr Mol Ecol &amp; Evolut, Palmerston North, New Zealand; [Stevens, Mark I.] S Australian Museum, Adelaide, SA 5000, Australia; [Stevens, Mark I.] Univ Adelaide, Sch Earth &amp; Environm Sci, Adelaide, SA 5000, Australia; [Holland, Barbara R.] Massey Univ, Inst Fundamental Sci, Palmerston North, New Zealand</t>
  </si>
  <si>
    <t>Massey University; University of Adelaide; Massey University</t>
  </si>
  <si>
    <t>McGaughran, A (corresponding author), Max Planck Inst Dev Biol, Dept Evolutionary Biol, Spemannstr 37-39-4, D-72076 Tubingen, Germany.</t>
  </si>
  <si>
    <t>ang.mcgaughran@gmail.com</t>
  </si>
  <si>
    <t>McGaughran, Angela/C-5916-2014; Holland, Barbara R/G-1646-2013</t>
  </si>
  <si>
    <t>McGaughran, Angela/0000-0002-3429-8699; Holland, Barbara R/0000-0002-4628-7938</t>
  </si>
  <si>
    <t>New Zealand Tertiary Education Commission; Allan Wilson Centre for Molecular Ecology and Evolution, Australian Antarctic Division [ASAC 2355]; National Geographic [7790-05]; Museum National d'Histoire Naturelle, Centre National de la Recherche Scientifique, Belgium</t>
  </si>
  <si>
    <t>New Zealand Tertiary Education Commission; Allan Wilson Centre for Molecular Ecology and Evolution, Australian Antarctic Division; National Geographic(National Geographic Society); Museum National d'Histoire Naturelle, Centre National de la Recherche Scientifique, Belgium</t>
  </si>
  <si>
    <t>We thank two anonymous reviewers, D. Penny and P. Convey for helpful comments on the manuscript, and D. Penny, J. Wang and M. Phillips for assistance and/or helpful suggestions regarding analyses for data exploration. We are grateful to the many who have contributed to sample collection over the years (including C. D'Haese, I. Hogg, R. Seppelt, T.G.A. Green, C. Beard, B.J. Sinclair, M.R. Worland, P. Convey, S.L. Chown, C. Scheepers, E.A. Hugo, B. Rocko-Meyer, L. Sancho, K. Green, S. Thiele, D. Bergstrom, K. Kiefer, W. Vincent, R. Edwards and P. Greenslade). We are also grateful to D. Penny, P. Sunnucks, P. Greenslade and S.L. Chown for their support. This work was funded by the New Zealand Tertiary Education Commission (Top Achievers Doctoral Scholarship to A.M.), the Allan Wilson Centre for Molecular Ecology and Evolution, Australian Antarctic Division (ASAC 2355 to M.S.), National Geographic (CRE Grant 7790-05 to M.S.), Museum National d'Histoire Naturelle, Centre National de la Recherche Scientifique, Belgium 2009 BELDIVA Expedition and Antarctica New Zealand (Programmes K024/K028 . This paper contributes to the SCAR EBA and Antarctica New Zealand LGP research programmes.</t>
  </si>
  <si>
    <t>10.1016/j.ympev.2010.06.003</t>
  </si>
  <si>
    <t>652GY</t>
  </si>
  <si>
    <t>WOS:000281992900005</t>
  </si>
  <si>
    <t>Gilod, DA; Sokolova, TB; Bulychev, AA</t>
  </si>
  <si>
    <t>Gilod, D. A.; Sokolova, T. B.; Bulychev, A. A.</t>
  </si>
  <si>
    <t>The Information Content of Gravity and Magnetic Data for a Survey of the Structure and Evolution of the Tectonosphere of the South Atlantic Region</t>
  </si>
  <si>
    <t>MOSCOW UNIVERSITY GEOLOGY BULLETIN</t>
  </si>
  <si>
    <t>tectonosphere; gravity field; magnetic anomaly field; structural analysis; American-Antarctic ridge</t>
  </si>
  <si>
    <t>The evolution of the American-Antarctic spreading system is a part of the common evolution of the South Atlantic. Structural analysis that was performed by the authors across the South Atlantic region shows that not only valuable information about the tectonosphere structure but useful complementary information can be obtained on its basis. This information improves the reliability of the interpretation of the physical, tectonic, and geological processes that are taking place within the evolution of the tectonic provinces and regions according to the reconstruction model. The results of the structural analysis, together with reconstructions of the South Atlantic, allowed us to connect them with the evolution of the region and define the place of the American-Antarctic ridge spreading system in the evolution of the South Atlantic Ocean, as well as its interaction with adjacent tectonic structures.</t>
  </si>
  <si>
    <t>[Gilod, D. A.; Sokolova, T. B.; Bulychev, A. A.] Moscow MV Lomonosov State Univ, Dept Geol, Chair Geophys Methods Earth Crust Survey, Moscow, Russia</t>
  </si>
  <si>
    <t>Lomonosov Moscow State University</t>
  </si>
  <si>
    <t>Gilod, DA (corresponding author), Moscow MV Lomonosov State Univ, Dept Geol, Chair Geophys Methods Earth Crust Survey, Moscow, Russia.</t>
  </si>
  <si>
    <t>Gilod_Dolores@mail.ru; TB-Sokolova@yandex.ru; aabul@geophys.geol.msu.ru</t>
  </si>
  <si>
    <t>SPRINGER INTERNATIONAL PUBLISHING AG</t>
  </si>
  <si>
    <t>CHAM</t>
  </si>
  <si>
    <t>GEWERBESTRASSE 11, CHAM, CH-6330, SWITZERLAND</t>
  </si>
  <si>
    <t>0145-8752</t>
  </si>
  <si>
    <t>1934-8436</t>
  </si>
  <si>
    <t>MOSC UNIV GEOL BULL</t>
  </si>
  <si>
    <t>Mosc. Univ. Geol. Bull.</t>
  </si>
  <si>
    <t>10.3103/S0145875210050078</t>
  </si>
  <si>
    <t>Emerging Sources Citation Index (ESCI)</t>
  </si>
  <si>
    <t>V2U9Q</t>
  </si>
  <si>
    <t>WOS:000217934500007</t>
  </si>
  <si>
    <t>Hodgson, DA; Sime, LC</t>
  </si>
  <si>
    <t>Hodgson, Dominic A.; Sime, Louise C.</t>
  </si>
  <si>
    <t>PALAEOCLIMATE Southern westerlies and CO2</t>
  </si>
  <si>
    <t>News Item</t>
  </si>
  <si>
    <t>LAST GLACIAL TERMINATION; ATMOSPHERIC CO2; CLIMATE-CHANGE; OCEAN; CYCLES; CHILE; AGES</t>
  </si>
  <si>
    <t>The Southern Hemisphere westerly winds affect the exchange of carbon dioxide between the ocean and atmosphere. Climate reconstructions from the southern mid-latitudes may reveal variability in the strength and position of the wind belt since the Last Glacial Maximum.</t>
  </si>
  <si>
    <t>[Hodgson, Dominic A.; Sime, Louise C.] British Antarctic Survey, Chem &amp; Climate Programme, Cambridge CB3 0ET, England</t>
  </si>
  <si>
    <t>Hodgson, DA (corresponding author), British Antarctic Survey, Chem &amp; Climate Programme, Cambridge CB3 0ET, England.</t>
  </si>
  <si>
    <t>daho@bas.ac.uk</t>
  </si>
  <si>
    <t>Sime, Louise/AAX-7730-2021; Sime, Louise/F-8058-2012</t>
  </si>
  <si>
    <t>Sime, Louise/0000-0002-9093-7926; Sime, Louise/0000-0002-9093-7926</t>
  </si>
  <si>
    <t>Natural Environment Research Council [bas0100024] Funding Source: researchfish; NERC [bas0100024] Funding Source: UKRI</t>
  </si>
  <si>
    <t>75 VARICK ST, 9TH FLR, NEW YORK, NY 10013-1917 USA</t>
  </si>
  <si>
    <t>10.1038/ngeo970</t>
  </si>
  <si>
    <t>657LJ</t>
  </si>
  <si>
    <t>WOS:000282413900003</t>
  </si>
  <si>
    <t>Putnam, AE; Denton, GH; Schaefer, JM; Barrell, DJA; Andersen, BG; Finkel, RC; Schwartz, R; Doughty, AM; Kaplan, MR; Schlüchter, C</t>
  </si>
  <si>
    <t>Putnam, Aaron E.; Denton, George H.; Schaefer, Joerg M.; Barrell, David J. A.; Andersen, Bjorn G.; Finkel, Robert C.; Schwartz, Roseanne; Doughty, Alice M.; Kaplan, Michael R.; Schluechter, Christian</t>
  </si>
  <si>
    <t>Glacier advance in southern middle-latitudes during the Antarctic Cold Reversal</t>
  </si>
  <si>
    <t>FRANZ-JOSEF-GLACIER; NEW-ZEALAND; LAST DEGLACIATION; ATMOSPHERIC CO2; BIPOLAR SEESAW; CLIMATE-CHANGE; TERMINATION; OCEAN; FLUCTUATIONS; CIRCULATION</t>
  </si>
  <si>
    <t>During the last deglaciation, warming over Antarctica was interrupted by a return to colder conditions from about 14,540 to 12,760 yr ago. This period, known as the Antarctic Cold Reversal, is well documented in Antarctic ice cores(1), but the geographic extent of the cooling throughout the Southern Hemisphere remains unclear(2). Here we use Be-10 surface-exposure ages from two glacial moraine sets from the Southern Alps, New Zealand, to assess whether the glacier advance was associated with the Antarctic Cold Reversal. We find that widespread glacier resurgence culminated 13,000 years ago, at the peak of Antarctic cooling. Subsequent glacier retreat in the Southern Alps coincided with warming in Antarctica. We conclude that the climate deterioration associated with the Antarctic Cold Reversal extended into the southern mid-latitudes of the southwestern Pacific Ocean. We suggest that the extensive cooling was caused by northward migration of the southern Subtropical Front, and concomitant northward expansion of cold Southern Ocean waters.</t>
  </si>
  <si>
    <t>[Putnam, Aaron E.; Denton, George H.] Univ Maine, Dept Earth Sci, Orono, ME 04469 USA; [Putnam, Aaron E.; Denton, George H.] Univ Maine, Climate Change Inst, Orono, ME 04469 USA; [Schaefer, Joerg M.; Schwartz, Roseanne; Kaplan, Michael R.] Lamont Doherty Earth Observ, Palisades, NY 10964 USA; [Schaefer, Joerg M.] Columbia Univ, Dept Earth &amp; Environm Sci, New York, NY 10027 USA; [Barrell, David J. A.] GNS Sci, Dunedin 9054, New Zealand; [Andersen, Bjorn G.] Univ Oslo, Dept Geosci, N-0316 Oslo, Norway; [Finkel, Robert C.] Univ Calif Berkeley, Dept Earth &amp; Planetary Sci, Berkeley, CA 94720 USA; [Finkel, Robert C.] Ctr Europeen Rech &amp; Enseignement Geosci Environm, ASTER, F-13100 Aix En Provence, France; [Doughty, Alice M.] Victoria Univ Wellington, Wellington 6140, New Zealand; [Schluechter, Christian] Univ Bern, Inst Geol, CH-3012 Bern, Switzerland</t>
  </si>
  <si>
    <t>University of Maine System; University of Maine Orono; University of Maine System; University of Maine Orono; Columbia University; Columbia University; GNS Science - New Zealand; University of Oslo; University of California System; University of California Berkeley; Victoria University Wellington; University of Bern</t>
  </si>
  <si>
    <t>Putnam, AE (corresponding author), Univ Maine, Dept Earth Sci, Orono, ME 04469 USA.</t>
  </si>
  <si>
    <t>Aaron_Putnam@umit.maine.edu</t>
  </si>
  <si>
    <t>Kaplan, Michael R/D-4720-2011</t>
  </si>
  <si>
    <t>Putnam, Aaron/0000-0002-5358-1473</t>
  </si>
  <si>
    <t>Gary C. Comer Science and Education Foundation; National Oceanographic and Atmospheric Administration; Foundation for Research, Science and Technology [CO5X0701]; Swiss National Fund [200020-105220/1]; National Science Foundation [EAR-0746190, 074571, 0936077, 0823521]; Directorate For Geosciences; Division Of Earth Sciences [0823521] Funding Source: National Science Foundation</t>
  </si>
  <si>
    <t>Gary C. Comer Science and Education Foundation; National Oceanographic and Atmospheric Administration(National Oceanic Atmospheric Admin (NOAA) - USA); Foundation for Research, Science and Technology(New Zealand Foundation for Research, Science and Technology); Swiss National Fund(Swiss National Science Foundation (SNSF)); National Science Foundation(National Science Foundation (NSF)); Directorate For Geosciences; Division Of Earth Sciences(National Science Foundation (NSF)NSF - Directorate for Geosciences (GEO))</t>
  </si>
  <si>
    <t>We thank the Gary C. Comer Science and Education Foundation and the National Oceanographic and Atmospheric Administration for support. D.J.A.B. was supported by Foundation for Research, Science and Technology contract CO5X0701. C. S. was supported by the Swiss National Fund proposal no. 200020-105220/1. This work was partially supported by National Science Foundation awards EAR-0746190 (to R. C. F.), 074571, 0936077, 0823521 (to M. R. K., J.M.S. and G. H. D.). We thank the staff of the Center for Accelerator Mass Spectrometry at Lawrence Livermore National Laboratory for their devoted and meticulous work. R. F. Anderson, W. S. Broecker, R. B. Alley, J. D. Hays, G. R. M. Bromley, B. L. Hall, and U. Ninnemann contributed helpful insights. We thank B. Lemieux-Dudon for providing the most recent ice-core chronologies. H. and R. Ivey of Glentanner Station graciously allowed us access to the Birch Hill moraines. We thank the Department of Conservation-Te Papa Atawhai, te Runanga o Ngai Tahu for access to the Macaulay valley and inner Birch Hill moraines. This is LDEO contribution no. 7396.</t>
  </si>
  <si>
    <t>10.1038/NGEO962</t>
  </si>
  <si>
    <t>WOS:000282413900013</t>
  </si>
  <si>
    <t>Lenné, T; Bryant, G; Hocart, CH; Huang, CX; Ball, MC</t>
  </si>
  <si>
    <t>Lenne, Thomas; Bryant, Gary; Hocart, Charles H.; Huang, Cheng X.; Ball, Marilyn C.</t>
  </si>
  <si>
    <t>Freeze avoidance: a dehydrating moss gathers no ice</t>
  </si>
  <si>
    <t>PLANT CELL AND ENVIRONMENT</t>
  </si>
  <si>
    <t>Cryo-SEM; desiccation; DSC1; freezing; GCMS; moss; sugars</t>
  </si>
  <si>
    <t>PHYSCOMITRELLA-PATENS; DESICCATION TOLERANCE; ANTARCTIC BRYOPHYTES; STRUCTURAL-CHANGES; PHASE-BEHAVIOR; MAIZE ROOTS; IN-SITU; ACCUMULATION; POTASSIUM; LEAVES</t>
  </si>
  <si>
    <t>Using cryo-SEM with EDX fundamental structural and mechanical properties of the moss Ceratodon purpureus (Hedw.) Brid. were studied in relation to tolerance of freezing temperatures. In contrast to more complex plants, no ice accumulated within the moss during the freezing event. External ice induced desiccation with the response being a function of cell type; water-filled hydroid cells cavitated and were embolized at -4 degrees C while parenchyma cells of the inner cortex exhibited cytorrhysis, decreasing to similar to 20% of their original volume at a nadir temperature of -20 degrees C. Chlorophyll fluorescence showed that these winter acclimated mosses displayed no evidence of damage after thawing from -20 degrees C while GCMS showed that sugar concentrations were not sufficient to confer this level of freezing tolerance. In addition, differential scanning calorimetry showed internal ice nucleation occurred in hydrated moss at similar to -12 degrees C while desiccated moss showed no evidence of freezing with lowering of nadir temperature to -20 degrees C. Therefore the rapid dehydration of the moss provides an elegantly simple solution to the problem of freezing; remove that which freezes.</t>
  </si>
  <si>
    <t>[Lenne, Thomas; Ball, Marilyn C.] Australian Natl Univ, Plant Sci Div, Res Sch Biol, Canberra, ACT 0200, Australia; [Hocart, Charles H.] Australian Natl Univ, Mass Spectrometry Facil, Res Sch Biol, Canberra, ACT 0200, Australia; [Huang, Cheng X.] Australian Natl Univ, Ctr Adv Microscopy, Canberra, ACT 0200, Australia; [Bryant, Gary] RMIT Univ, Sch Appl Sci, Melbourne, Vic 3001, Australia</t>
  </si>
  <si>
    <t>Australian National University; Australian National University; Australian National University; Royal Melbourne Institute of Technology (RMIT)</t>
  </si>
  <si>
    <t>Lenné, T (corresponding author), Australian Natl Univ, Plant Sci Div, Res Sch Biol, GPO Box 4, Canberra, ACT 0200, Australia.</t>
  </si>
  <si>
    <t>thomas.lenne@anu.edu.au</t>
  </si>
  <si>
    <t>Ball, Marilyn/D-1180-2009; Hocart, Charles H/F-2630-2011; Bryant, Gary/A-4186-2008</t>
  </si>
  <si>
    <t>Ball, Marilyn/0000-0001-9170-940X; Bryant, Gary/0000-0001-5483-7592; Hocart, Charles/0000-0002-6167-2295</t>
  </si>
  <si>
    <t>Australian Research Council [DP0881009]; Australian Antarctic Science Project [3061, 2780]; Australian Research Council [DP0881009] Funding Source: Australian Research Council</t>
  </si>
  <si>
    <t>Australian Research Council(Australian Research Council); Australian Antarctic Science Project; Australian Research Council(Australian Research Council)</t>
  </si>
  <si>
    <t>This research was supported by Australian Research Council Discovery Grant DP0881009 to MCB and GB and Australian Antarctic Science Project Grants 3061 and 2780 to GB and MCB, respectively. The authors also thank Jack Egerton for technical assistance, Professors Martin Canny and Margaret McCully for thoughtful advice and comments on the work, Dr Chris Cargill from the Australian National Botanic Gardens for advice on moss identification, and anonymous reviewers for constructive comments.</t>
  </si>
  <si>
    <t>0140-7791</t>
  </si>
  <si>
    <t>PLANT CELL ENVIRON</t>
  </si>
  <si>
    <t>Plant Cell Environ.</t>
  </si>
  <si>
    <t>10.1111/j.1365-3040.2010.02178.x</t>
  </si>
  <si>
    <t>Plant Sciences</t>
  </si>
  <si>
    <t>647RZ</t>
  </si>
  <si>
    <t>WOS:000281638000011</t>
  </si>
  <si>
    <t>Souza, BWS; Andrade, FK; Teixeira, DIA; Mansilla, A; Freitas, ALP</t>
  </si>
  <si>
    <t>Souza, B. W. S.; Andrade, F. K.; Teixeira, D. I. A.; Mansilla, A.; Freitas, A. L. P.</t>
  </si>
  <si>
    <t>Haemagglutinin of the antarctic seaweed Georgiella confluens (Reinsch) Kylin: isolation and partial characterization</t>
  </si>
  <si>
    <t>Antarctic; Seaweeds; Haemagglutinin; Georgiella confluens; Rhodophyta</t>
  </si>
  <si>
    <t>MARINE RED ALGA; HYPNEA-MUSCIFORMIS; LECTIN STRUCTURE; PURIFICATION; AGGLUTININ; ERYTHROCYTES; EUCHEUMA; BINDING; TOOLS</t>
  </si>
  <si>
    <t>The marine red alga Georgiella confluens collected from Mackellar Inlet, King George Island, South Shetland Islands, Antarctic, was used in the isolation of a protein with agglutinating activity. The Georgiella confluens haemagglutinin (GCH) was extracted with 20 mM phosphate buffer, pH 7.0, and purified through ion exchange chromatography, followed by affinity chromatography on immobilized porcine stomach mucin. Among the erythrocytes analysed (human A, B and O groups, rabbit and chicken), GCH agglutinated specifically chicken erythrocytes. Sodium dodecyl sulfate-polyacrylamide gel electrophoresis of the haemagglutinin revealed a single band of 21.5 kDa, while by gel filtration on Sephadex G-100 its native molecular mass was 25.5 kDa, suggesting that GCH is a monomeric protein. Haemagglutination studies showed that the GCH activity was stable through temperature variations and did not exhibit divalent cation dependence. Furthermore, the haemagglutinin was inhibited by the complex glycoproteins of porcine stomach mucin and fetuin, whereas the mono-, di-, and trisaccharides tested showed no effect.</t>
  </si>
  <si>
    <t>[Souza, B. W. S.; Andrade, F. K.; Freitas, A. L. P.] Univ Fed Ceara, Dept Bioquim &amp; Biol Mol, Fortaleza, Ceara, Brazil; [Teixeira, D. I. A.] Univ Fed Rio Grande do Norte, Unidade Acad Especializada Ciencias Agr, BR-59072970 Natal, RN, Brazil; [Mansilla, A.] Univ Magallanes, Dept Ciencias &amp; Recursos Nat, Punta Arenas, Chile; [Mansilla, A.] Inst Ecol &amp; Biodiversidad, Santiago, Chile</t>
  </si>
  <si>
    <t>Universidade Federal do Ceara; Universidade Federal do Rio Grande do Norte; Universidad de Magallanes</t>
  </si>
  <si>
    <t>Souza, BWS (corresponding author), Univ Fed Ceara, Dept Bioquim &amp; Biol Mol, Fortaleza, Ceara, Brazil.</t>
  </si>
  <si>
    <t>bartolomeu_s@yahoo.com.br</t>
  </si>
  <si>
    <t>Andrade, Fábia/F-6739-2012; Freitas, Ana L. P./E-2010-2016; SOUZA, BARTOLOMEU WARLENE SILVA/ABE-7277-2020; Souza, Bartolomeu/S-7062-2019; Andrade, Fábia/AAB-7152-2022</t>
  </si>
  <si>
    <t>SOUZA, BARTOLOMEU WARLENE SILVA/0000-0003-4007-2079; Mansilla, Andres/0000-0003-3505-7018</t>
  </si>
  <si>
    <t>Conselho Nacional de Desenvolvimento Cientifico e Tecnologico (CNPq); Programa de Financiamiento Basal (PFB) 23. Chile</t>
  </si>
  <si>
    <t>Conselho Nacional de Desenvolvimento Cientifico e Tecnologico (CNPq)(Conselho Nacional de Desenvolvimento Cientifico e Tecnologico (CNPQ)); Programa de Financiamiento Basal (PFB) 23. Chile(Comision Nacional de Investigacion Cientifica y Tecnologica (CONICYT)CONICYT PIA/BASAL)</t>
  </si>
  <si>
    <t>The authors wish to acknowledge the Programa Antartico Brasileiro (PROANTAR) and Coordenacao de Aperfeicoamento de Pessoal de Nivel Superior (CAPES). Financial support was provided by Conselho Nacional de Desenvolvimento Cientifico e Tecnologico (CNPq) and Programa de Financiamiento Basal (PFB) 23. Chile.</t>
  </si>
  <si>
    <t>10.1007/s00300-010-0818-8</t>
  </si>
  <si>
    <t>649BD</t>
  </si>
  <si>
    <t>WOS:000281740300002</t>
  </si>
  <si>
    <t>Núñez-Pons, L; Forestieri, R; Nieto, RM; Varela, M; Nappo, M; Rodríguez, J; Jiménez, C; Castelluccio, F; Carbone, M; Ramos-Espla, A; Gavagnin, M; Avila, C</t>
  </si>
  <si>
    <t>Nunez-Pons, L.; Forestieri, R.; Nieto, R. M.; Varela, M.; Nappo, M.; Rodriguez, J.; Jimenez, C.; Castelluccio, F.; Carbone, M.; Ramos-Espla, A.; Gavagnin, M.; Avila, C.</t>
  </si>
  <si>
    <t>Chemical defenses of tunicates of the genus Aplidium from the Weddell Sea (Antarctica)</t>
  </si>
  <si>
    <t>Chemical defense; Antarctic tunicates; Indole alkaloids; Deterrent activity; Aplidium species; Odontaster validus</t>
  </si>
  <si>
    <t>PREDATORY REEF FISH; SECONDARY METABOLITES; COLONIAL ASCIDIANS; CARIBBEAN SPONGES; MARINE; ECOLOGY; ALKALOIDS; BIOLOGY; LARVAE; PALATABILITY</t>
  </si>
  <si>
    <t>Predation and competition are important factors structuring Antarctic benthic communities and are expected to promote the production of chemical defenses. Tunicates are subject to little predation, and this is often attributed to chemical compounds, although their defensive activity has been poorly demonstrated against sympatric predators. In fact, these animals, particularly the genus Aplidium, are rich sources of bioactive metabolites. In this study, we report the natural products, distribution and ecological activity of two Aplidium ascidian species from the Weddell Sea (Antarctica). In our investigation, organic extracts obtained from external and internal tissues of specimens of A. falklandicum demonstrated to contain deterrent agents that caused repellency against the Antarctic omnivorous predator, the sea star Odontaster validus. Chemical analysis performed with Antarctic colonial ascidians Aplidium meridianum and Aplidium falklandicum allowed the purification of a group of known bioactive indole alkaloids, meridianins A-G. These isolated compounds proved to be responsible for the deterrent activity.</t>
  </si>
  <si>
    <t>[Nunez-Pons, L.; Nappo, M.; Avila, C.] Univ Barcelona, Fac Biol, Dept Biol Anim Invertebrats, E-08028 Barcelona, Catalunya, Spain; [Forestieri, R.; Nappo, M.; Castelluccio, F.; Carbone, M.; Gavagnin, M.] CNR, Ist Chim Biomol, I-80078 Naples, Italy; [Nieto, R. M.; Rodriguez, J.; Jimenez, C.] Univ A Coruna, Fac Ciencias, Dept Quim Fundamental, La Coruna 15071, Spain; [Varela, M.; Ramos-Espla, A.] Univ Alicante, Dept Ciencias Mar &amp; Biol Aplicada, Alicante 03690, Spain</t>
  </si>
  <si>
    <t>University of Barcelona; Consiglio Nazionale delle Ricerche (CNR); Istituto di Chimica Biomolecolare (ICB-CNR); Universidade da Coruna; Universitat d'Alacant</t>
  </si>
  <si>
    <t>Núñez-Pons, L (corresponding author), Univ Barcelona, Fac Biol, Dept Biol Anim Invertebrats, Av Diagonal 645, E-08028 Barcelona, Catalunya, Spain.</t>
  </si>
  <si>
    <t>laununezpons@ub.edu</t>
  </si>
  <si>
    <t>Avila, Conxita/B-9466-2008; Rodriguez, Jaime/AAY-9780-2021; Jimenez, Carlos/G-9622-2015; Rodriguez, Jaime/G-8984-2015; Gavagnin, Margherita/B-4584-2012; Ramos Espla, Alfonso/P-6885-2014; Nieto, Rosa M./G-8984-2015</t>
  </si>
  <si>
    <t>Avila, Conxita/0000-0002-5489-8376; Rodriguez, Jaime/0000-0001-5348-6970; Jimenez, Carlos/0000-0003-2628-303X; Rodriguez, Jaime/0000-0001-5348-6970; CARBONE, MARIANNA/0000-0003-3729-5714; Ramos Espla, Alfonso/0000-0002-6886-218X; Nieto, Rosa M./0000-0003-2022-184X</t>
  </si>
  <si>
    <t>Ministry of Science and Education of Spain [REN2003-00545, REN2002-12006E ANT, CGL2004-03356/ANT]; Ministry of Education (MEC); PharmaMar S.A.</t>
  </si>
  <si>
    <t>Ministry of Science and Education of Spain(Spanish Government); Ministry of Education (MEC)(Spanish Government); PharmaMar S.A.</t>
  </si>
  <si>
    <t>We wish to thank W. Arntz and the R/V Polarstern crew for their help and support during the ANT XXI/2 cruise, as well as the BIO Hesperides and the BAE Gabriel de Castilla teams during the ECOQUIM cruise. Funding was provided by the Ministry of Science and Education of Spain through the ECOQUIM Projects (REN2003-00545, REN2002-12006E ANT and CGL2004-03356/ANT). Also thanks are due to S. Taboada for his laboratory support, as well as in the Weld work. We are thankful to J. Vazquez, B. Figuerola and D. Melck for helping in the laboratory and in the preparation of the experiments and to F. J. Cristobo, J. L. Moya and M. Ballesteros and the Bentart team for their help in collecting the sea stars in Deception Island during the ECOQUIM 2006 cruise. Thanks are also due to Servizo de Apoio a Investigacion (SAI-UDC) for instrumental support. L. Nunez-Pons was consecutively supported by PharmaMar S.A., an I3P (CSIC) grant and a FPU Fellowship from the Ministry of Education (MEC) during this study. Finally, we wish to thank the reviewers for their helpful comments and the Serveis Linguistics of the UB for reviewing our English.</t>
  </si>
  <si>
    <t>10.1007/s00300-010-0819-7</t>
  </si>
  <si>
    <t>WOS:000281740300003</t>
  </si>
  <si>
    <t>Bilyk, KT; DeVries, AL</t>
  </si>
  <si>
    <t>Bilyk, Kevin T.; DeVries, Arthur L.</t>
  </si>
  <si>
    <t>Delayed onset of adult antifreeze activity in juveniles of the Antarctic icefish Chaenocephalus aceratus</t>
  </si>
  <si>
    <t>Antarctic fish; Notothenioidei; Channichthyidae; Chaenocephalus aceratus; Freeze avoidance; Antifreeze Glycoprotein; Development</t>
  </si>
  <si>
    <t>SOUTH SHETLAND ISLANDS; NOTOTHENIOID FISHES; FREEZING RESISTANCE; MCMURDO SOUND; POLAR FISHES; CHANNICHTHYIDAE; GLYCOPEPTIDES; ADSORPTION; MECHANISM; BUOYANCY</t>
  </si>
  <si>
    <t>Many Antarctic notothenioid species endemic to the Seasonal Pack-ice Zone have converged on adult blood serum freezing points that are several tenths of a degree above the freezing point of seawater. While these fishes share high adult serum freezing points, the development of their freeze avoidance during ontogeny has not been studied. We investigated this in wild caught juveniles of one such species, Chaenocephalus aceratus (family Channichthyidae), using blood serum antifreeze activity as a proxy for their freeze avoidance. Juvenile serum antifreeze activity was significantly below that of adults through the oldest year 2+ specimens collected. This increased at an estimated rate of 0.368 x 10(-3) +/- A 0.405 x 10(-4)A degrees C day(-1) which, if sustained, would leave C. aceratus below their adult serum antifreeze activity levels of 0.57 +/- A 0.08A degrees C until 4.2 years after hatching. Underlying the 2.7-fold increase in their serum antifreeze activity from late year 0+ juveniles to adults was an even greater 10.4-fold increase in the concentration of their serum antifreeze glycopeptides, which increased proportionally across all of their serum AFGP size isoforms. With insufficient antifreeze activity to avoid freezing in the ice-laden surface waters, both adult and juvenile C. aceratus are most likely restricted to the year round ice-free waters where a metastable supercooled state can be maintained.</t>
  </si>
  <si>
    <t>[Bilyk, Kevin T.; DeVries, Arthur L.] Univ Illinois, Dept Anim Biol, Urbana, IL 61801 USA</t>
  </si>
  <si>
    <t>University of Illinois System; University of Illinois Urbana-Champaign</t>
  </si>
  <si>
    <t>Bilyk, KT (corresponding author), Univ Illinois, Dept Anim Biol, 515 Morrill Hall,505 S Goodwin Ave, Urbana, IL 61801 USA.</t>
  </si>
  <si>
    <t>kbilyk@life.uiuc.edu; adevries@illinois.edu</t>
  </si>
  <si>
    <t>US National Science Foundation Office of Polar Programs [NSF OPP-Ant-0231006]</t>
  </si>
  <si>
    <t>US National Science Foundation Office of Polar Programs(National Science Foundation (NSF))</t>
  </si>
  <si>
    <t>The authors would like to thank the crew of the R/V. L.M. Gould and the Raytheon Polar Services Corporation technicians for their assistance in collecting and maintaining specimens. This research was funded by the US National Science Foundation Office of Polar Programs Grant NSF OPP-Ant-0231006 to A. L. DeVries and C.-H. C. Cheng. Additional funding for this research came from the Francis M. and Harlie M. Clark Research Support Grant and the Department of Animal Biology at the University of Illinois Urbana-Champaign to K.T. Bilyk. All experiments performed during this study conform with the current laws of the USA.</t>
  </si>
  <si>
    <t>10.1007/s00300-010-0828-6</t>
  </si>
  <si>
    <t>WOS:000281740300010</t>
  </si>
  <si>
    <t>Huang, J; Sun, LG; Huang, W; Wang, XM; Wang, YH</t>
  </si>
  <si>
    <t>Huang, Jing; Sun, Liguang; Huang, Wen; Wang, Xinming; Wang, Yuhong</t>
  </si>
  <si>
    <t>The ecosystem evolution of penguin colonies in the past 8,500 years on Vestfold Hills, East Antarctica</t>
  </si>
  <si>
    <t>Antarctica; Penguin colony; Ecosystem evolution; Molecular marker; Ornithogenic sediment; Fecal sterol</t>
  </si>
  <si>
    <t>DIATOM ASSEMBLAGES; ICE-SHEET; SALINE LAKES; PRYDZ BAY; ACE LAKE; HOLOCENE; ISLAND; SEA; POPULATIONS; OCCUPATION</t>
  </si>
  <si>
    <t>Penguin colony is one of the Earth's simplest ecosystems. As the seabird with the largest population in Antarctica, penguin is a unique indicator of Antarctic environment and climate changes. In this study, we collected an ornithogenic sediment core from Gardner Island in Vestfold Hills, East Antarctica, reconstructed an 8,500 years variation history of penguin population and vegetation abundance on this island, and examined the evolution of the penguin colony. We used the levels of two molecular markers cholesterol and cholestanol as the proxy indicators of penguin population size. Other molecular markers, including C(24:0) alkenoic acid, C(18) n-alkanol and phytol were used as the proxy indicators of aquatic moss, algae, and general vegetation, respectively. It is shown that the growth of algae was mainly affected by the nutritional supply from penguin droppings, so their abundance was positively linked with penguin population. The growth of aquatic moss, however, was controlled more by the degree of water body transparency than by nutrient availability. Because the pollution of water body increased as penguin population grew, aquatic moss abundance showed a seesaw-like relationship with penguin population. These results suggested that penguins played a dominant role in this simple ecosystem in the Antarctic environment. The reconstructed relationship between penguin population and vegetation abundance may offer new insights to understand ancient Antarctic environment and ecology.</t>
  </si>
  <si>
    <t>[Huang, Jing; Sun, Liguang] Univ Sci &amp; Technol China, Inst Polar Environm, Hefei 230026, Anhui, Peoples R China; [Huang, Jing; Wang, Xinming] Chinese Acad Sci, Guangzhou Inst Geochem, Guangzhou 510640, Guangdong, Peoples R China; [Huang, Wen] Univ Wisconsin, Dept Dairy Sci, Madison, WI 53706 USA; [Wang, Yuhong] NIH, NIH Chem Genom Ctr, Bethesda, MD 20892 USA</t>
  </si>
  <si>
    <t>Chinese Academy of Sciences; University of Science &amp; Technology of China, CAS; Chinese Academy of Sciences; Guangzhou Institute of Geochemistry, CAS; University of Wisconsin System; University of Wisconsin Madison; National Institutes of Health (NIH) - USA; NIH National Center for Advancing Translational Sciences (NCATS)</t>
  </si>
  <si>
    <t>Sun, LG (corresponding author), Univ Sci &amp; Technol China, Inst Polar Environm, Hefei 230026, Anhui, Peoples R China.</t>
  </si>
  <si>
    <t>slg@ustc.edu.cn</t>
  </si>
  <si>
    <t>Wang, Xinming/A-7388-2014; Huang, Wen/B-5005-2011</t>
  </si>
  <si>
    <t>Wang, Xinming/0000-0002-1982-0928;</t>
  </si>
  <si>
    <t>National Natural Science Foundation of China [40730107]; National Science and Technology [2006BAB18B07]; State Key Laboratory of Organic Geochemistry foundation [OGL-200606]; Australia Antarctic Division Science Project [AAD2873]</t>
  </si>
  <si>
    <t>National Natural Science Foundation of China(National Natural Science Foundation of China (NSFC)); National Science and Technology; State Key Laboratory of Organic Geochemistry foundation(Chinese Academy of Sciences); Australia Antarctic Division Science Project</t>
  </si>
  <si>
    <t>We thank the Chinese Arctic and Antarctic Administration, Australian Antarctic Division, CHINARE22 team in Zhongshan Station and the members of Davis Station for their support and assistance in the field working. We thank Prof. Renbin Zhu for sample collection. This study was funded by the National Natural Science Foundation of China (No. 40730107), the National Science and Technology Supporting Program (2006BAB18B07), the State Key Laboratory of Organic Geochemistry foundation (OGL-200606) and the Australia Antarctic Division Science Project (AAD2873).</t>
  </si>
  <si>
    <t>10.1007/s00300-010-0832-x</t>
  </si>
  <si>
    <t>WOS:000281740300011</t>
  </si>
  <si>
    <t>Strunecky, O; Elster, J; Komárek, J</t>
  </si>
  <si>
    <t>Strunecky, Otakar; Elster, Josef; Komarek, Jiri</t>
  </si>
  <si>
    <t>Phylogenetic relationships between geographically separate Phormidium cyanobacteria: is there a link between north and south polar regions?</t>
  </si>
  <si>
    <t>Cyanobacteria; Phormidium; 16s rDNA gene; Arctic; Antarctic; Geographical distribution</t>
  </si>
  <si>
    <t>RIBOSOMAL-RNA; BENTHIC CYANOBACTERIA; DIVERSITY; OSCILLATORIALES; HABITATS; REVISION; CULTURES; STRAINS; ICE</t>
  </si>
  <si>
    <t>We present a phytogeographical comparison between polar (Arctic and Antarctic) and non-polar strains of the cyanobacterial genus Phormidium, which plays a key role in Arctic and Antarctic ecosystems as primary producer. A total of 26 Phormidium strains were studied using a polyphasic approach, 18 from Arctic (Svalbard, Ellesmere Island and Scandinavian Arctic-Abisko) and Antarctic (Antarctic Peninsula-King George and James Ross Island) regions, and 8 from temperate sites (mostly situated in Central Europe). A phylogenetic tree was constructed and compared with similar 16S rRNA sequences retrieved from Genbank. Within the Phormidium autumnale cluster, genetic similarity of 16S rDNA was more related to geographical proximity of strain origin than to morphological similarity. No genetic identity of Phormidium strains from north and south polar regions was found. The cluster Phormidium autumnale apparently belongs to generic entities in which geographical limitation plays a prominent role. However, the cyanobacterial strains found in Europe suggest that the distribution areas of some Phormidium cyanobacteria overlap. The Phormidium autumnale cluster is evidently a very characteristic type and represents an isolated clade within the traditional genus Phormidium. According to morphological features and the structure of trichomes, it is most similar and thus probably belongs to the genus Microcoleus.</t>
  </si>
  <si>
    <t>[Strunecky, Otakar; Elster, Josef; Komarek, Jiri] Acad Sci Czech Republ, Inst Bot, Trebon, Czech Republic; [Strunecky, Otakar; Elster, Josef; Komarek, Jiri] Univ S Bohemia, Fac Sci, Ceske Budejovice, Czech Republic</t>
  </si>
  <si>
    <t>Czech Academy of Sciences; Institute of Botany of the Czech Academy of Sciences; University of South Bohemia Ceske Budejovice</t>
  </si>
  <si>
    <t>Strunecky, O (corresponding author), Acad Sci Czech Republ, Inst Bot, Trebon, Czech Republic.</t>
  </si>
  <si>
    <t>otakar.strunecky@gmail.com; jelster@butbn.cas.cz</t>
  </si>
  <si>
    <t>Komarek, Jiri/H-1597-2014; Strunecky, Otakar/H-1629-2014; strunecky, otakar/M-2643-2019; Elster, Josef/B-1031-2008</t>
  </si>
  <si>
    <t>Strunecky, Otakar/0000-0001-9735-4662; Elster, Josef/0000-0002-4535-5636</t>
  </si>
  <si>
    <t>Ministry of Education of the Czech Republic [Kontakt ME 934, ME 945, INGO LA 341, MEB 080822]</t>
  </si>
  <si>
    <t>Ministry of Education of the Czech Republic(Ministry of Education, Youth &amp; Sports - Czech Republic)</t>
  </si>
  <si>
    <t>We would like to thank the Ministry of Education of the Czech Republic (Kontakt ME 934, ME 945, INGO LA 341 and MEB 080822) for funding our research. We are very grateful to Mrs. Jana Snokhousova for her technical assistance. Finally, we highly acknowledge the insightful comments of the reviewers that have significantly improved our paper.</t>
  </si>
  <si>
    <t>10.1007/s00300-010-0834-8</t>
  </si>
  <si>
    <t>WOS:000281740300013</t>
  </si>
  <si>
    <t>Kikuchi, M; Sakamoto, KQ; Sato, K</t>
  </si>
  <si>
    <t>Kikuchi, Mumi; Sakamoto, Kentaro Q.; Sato, Katsufumi</t>
  </si>
  <si>
    <t>Acquisition of gliding skills by Weddell seal (Leptonychotes weddellii) pups during lactation</t>
  </si>
  <si>
    <t>Data logger; Acceleration; Development; Gliding; Leptonychotes weddellii</t>
  </si>
  <si>
    <t>MUSCLE OXYGEN STORES; AEROBIC DIVE LIMIT; DIVING BEHAVIOR; MIROUNGA-LEONINA; ELEPHANT SEALS; HARBOR SEALS; POSTWEANING FAST; SWIMMING SPEED; BODY-SIZE; DURATION</t>
  </si>
  <si>
    <t>Pinnipeds give birth to their pups ashore or on ice and forage in water. Therefore, neonates initially lack the adaptations to sustain prolonged underwater diving activity. Although the physiological development for breath-holding during diving has been investigated in seal pups, little is known about the concurrent development of behavioral adaptations during lactation. In this study, multisensor data loggers were used to record diving behavior and swimming gaits of pre-weaned Weddell seal (Leptonychotes weddellii) pups. Experiments were conducted in 16 pups at the Syowa Station, Antarctica, from November to December 1999 and 2004. Swimming speeds, dive depths and flipper stroking rates were recorded for each individual for about 24 h. We found that the glide index during ascending was increased with body length, whereas the dominant stroke cycle frequency were not affected by body length, dive depth and descent or ascent phase. All pups had significantly higher stroke rates in descent than in ascent, but there was no difference between swimming speed. As we found a positive relationship between the body length and age, we considered body length as an index of growth. Therefore, we conclude that pups gradually acquire the ability to glide with utilizing positive buoyancy during ascending toward the end of lactation.</t>
  </si>
  <si>
    <t>[Kikuchi, Mumi] Univ Tokyo, Grad Sch Agr &amp; Life Sci, Lab Fisheries Biol, Bunkyo Ku, Tokyo 1138657, Japan; [Sakamoto, Kentaro Q.] Hokkaido Univ, Grad Sch Vet Med, Physiol Lab, Sapporo, Hokkaido 0600818, Japan; [Sato, Katsufumi] Univ Tokyo, Atmosphere &amp; Ocean Res Inst, Int Coastal Res Ctr, Otsuchi, Iwate 0281102, Japan</t>
  </si>
  <si>
    <t>University of Tokyo; Hokkaido University; University of Tokyo</t>
  </si>
  <si>
    <t>Kikuchi, M (corresponding author), Univ Tokyo, Grad Sch Agr &amp; Life Sci, Lab Fisheries Biol, Bunkyo Ku, 1-1-1 Yayoi, Tokyo 1138657, Japan.</t>
  </si>
  <si>
    <t>mumi@aori.u-tokyo.ac.jp</t>
  </si>
  <si>
    <t>Sakamoto, Kentaro/N-7424-2019; Sakamoto, Kentaro/A-4843-2012</t>
  </si>
  <si>
    <t>Sakamoto, Kentaro/0000-0002-8499-799X; Sakamoto, Kentaro/0000-0002-8499-799X</t>
  </si>
  <si>
    <t>Japan Society for the Promotion of Science [19255001]; UTBLS (Bio-Logging Science, University of Tokyo); Japanese Antarctic Research Expedition; Grants-in-Aid for Scientific Research [19255001] Funding Source: KAKEN</t>
  </si>
  <si>
    <t>Japan Society for the Promotion of Science(Ministry of Education, Culture, Sports, Science and Technology, Japan (MEXT)Japan Society for the Promotion of Science); UTBLS (Bio-Logging Science, University of Tokyo); Japanese Antarctic Research Expedition; Grants-in-Aid for Scientific Research(Ministry of Education, Culture, Sports, Science and Technology, Japan (MEXT)Japan Society for the Promotion of ScienceGrants-in-Aid for Scientific Research (KAKENHI))</t>
  </si>
  <si>
    <t>We thank J. Burns for providing the unpublished data regarding the growth of Weddell seal pups. We thank S. Watanabe, Y. Watanabe, Y. Mitani and K. Aoki for advices on the data analysis, N. Miyazaki for helpful comments on the manuscript. We thank two anonymous referees for reviewing the manuscript and helpful suggestions. The experimental protocol was previously approved by the National Institute of Polar Research Ethics Committee for Antarctic Research. This study was conducted under the auspices of Japanese Antarctic Research Expedition (40th and 45th), and was partly supported by grants from the Japan Society for the Promotion of Science (19255001) and UTBLS (Bio-Logging Science, University of Tokyo) led by N. Miyazaki.</t>
  </si>
  <si>
    <t>10.1007/s00300-010-0835-7</t>
  </si>
  <si>
    <t>WOS:000281740300014</t>
  </si>
  <si>
    <t>Roura, R</t>
  </si>
  <si>
    <t>Roura, Ricardo</t>
  </si>
  <si>
    <t>Monitoring the transformation of historic features in Antarctica and Svalbard: local processes and regional contexts</t>
  </si>
  <si>
    <t>POLAR RECORD</t>
  </si>
  <si>
    <t>REPEAT PHOTOGRAPHY; TOURISM; ISLANDS; TIME</t>
  </si>
  <si>
    <t>Historical sites in Antarctica and Svalbard contain the material remains of past activities of exploration and exploitation of these regions. These sites have been subject to transformation by cultural and non-cultural (natural) processes since their abandonment to the present. For research and management purposes it is important to monitor and explain these changes. This article focuses on the transformation of historic features in Antarctica and Svalbard as assessed through repeat photography. Seven historical features were selected representing a range of site types and past and present site functions. Data collection was based on the opportunistic reproduction of photographs of historic features taken up to 20+ years previously. Data analysis was performed using the concepts of site formation processes developed by M. B. Schiffer (1983, 1987). Time-serial changes were observed in the seven photo-couples examined in the present instance. No feature degraded significantly during the monitoring period; rather, several features were restored in different ways. Changes were interpreted to result from a range of cultural processes (including conservation, research, and tourism) and natural processes (mainly wind action). Local changes take place in the context of broader regional developments in Antarctica and Svalbard. Despite the 'time capsule' narratives about some sites, historical sites in the polar regions are dynamic entities that not only reflect the past as it once was but are also a window onto the present.</t>
  </si>
  <si>
    <t>Univ Groningen, Arctic Ctr, NL-9700 AS Groningen, Netherlands</t>
  </si>
  <si>
    <t>University of Groningen</t>
  </si>
  <si>
    <t>Roura, R (corresponding author), Univ Groningen, Arctic Ctr, POB 716, NL-9700 AS Groningen, Netherlands.</t>
  </si>
  <si>
    <t>ricardo.roura@worldonline.nl</t>
  </si>
  <si>
    <t>Instituto Antartico Argentino, Greenpeace; Antarctic and Southern Ocean Coalition, and Gateway Antarctica, University of Canterbury; Groningen Institute of Archaeology, University of Groningen</t>
  </si>
  <si>
    <t>I am grateful to the various institutions and individuals that invited, funded, transported, hosted or otherwise enabled me to travel to the Antarctic and Svalbard repeatedly and to conduct fieldwork there. These include the Instituto Antartico Argentino, Greenpeace, the Antarctic and Southern Ocean Coalition, and Gateway Antarctica, University of Canterbury. Fieldwork in Svalbard was funded by the Groningen Institute of Archaeology, University of Groningen. Particular thanks to Gary Evans, Per Kyrre Reymert, Dr. Michelle Rogan-Finnemore, Dr. Hans-Peter Ulrich, Base Decepcion staff (2001-2002), Oleg Sakharov and Bellingshausen base staff (2005-2006), and Scott base's Antarctic field team (2007-2008). Reaching specific sites was made easier with the assistance or company of Wolfgang Dinter, Wojtek Moskal, and Steffen Vogt. Grete Marstein kindly acted as Norwegian interpreter when interviewing mining veterans.</t>
  </si>
  <si>
    <t>0032-2474</t>
  </si>
  <si>
    <t>POLAR REC</t>
  </si>
  <si>
    <t>POLAR REC.</t>
  </si>
  <si>
    <t>10.1017/S0032247409990441</t>
  </si>
  <si>
    <t>Ecology; Environmental Sciences</t>
  </si>
  <si>
    <t>654WF</t>
  </si>
  <si>
    <t>WOS:000282201100001</t>
  </si>
  <si>
    <t>Hemmings, AD; Stephens, T</t>
  </si>
  <si>
    <t>Hemmings, Alan D.; Stephens, Tim</t>
  </si>
  <si>
    <t>The extended continental shelves of sub-Antarctic Islands: implications for Antarctic governance</t>
  </si>
  <si>
    <t>BOUNDARIES; LAW</t>
  </si>
  <si>
    <t>This article considers the legal and policy issues surrounding the establishment of continental shelves beyond 200 nautical miles (nm) from sub-Antarctic islands. Under the 1982 United Nations Convention on the Law of the Sea (UNCLOS) a coastal state may establish a continental shelf that extends seawards beyond 200 nm where the continental shelf continues, normally to a total distance of no more than 350 nm. To establish such an extended continental shelf (ECS) a coastal state must file a submission of delineation data with the Commission on the Limits of the Continental Shelf (CLCS), a technical body established by UNCLOS. The rights of coastal states present particular difficulties in the Antarctic Treaty area (ATA), due to the general non-recognition of the seven territorial claims and the provisions of article IV of the Antarctic Treaty. Accordingly, Antarctic claimant states are generally adopting a restrained approach to the issue of ECS as appertaining to claimed territories in Antarctica in their submissions to the CLCS. These states appear to recognise that they cannot secure the normal prerogatives of a coastal state from territorial sea baselines within the ATA, at least for the duration of the present Antarctic Treaty system (ATS). A different approach is being taken with respect of sub-Antarctic islands lying north of the ATA. Sovereignty over sub-Antarctic territory north of the ATA is, with the exception of South Georgia and the South Sandwich Islands, not contested. Accordingly, rights in relation to any continental shelf attaching to sub-Antarctic islands may be realised, apparently without challenging the Antarctic modus vivendi. However, the ECS of several sub-Antarctic islands penetrate the ATA. In 2008, the CLCS largely endorsed the 2004 Australian submission that included data on ECS from Australia's sub-Antarctic islands of Macquarie Island and the Heard and McDonald group. The ECS from both groups penetrates south of 60 degrees S into the ATA, in the case of Heard and McDonald covering a huge area. Although the wider dispute regarding sovereignty between the United Kingdom and Argentina adds complexity to the case, the South Sandwich Islands are sufficiently close to the ATA that their continental shelf also penetrates the area. In the event that the CLCS were ever able to make a recommendation on a submission of data relating to the South Sandwich Islands (something that could only occur with the consent of Argentina and the United Kingdom) the result would be a situation similar to that pertaining to the Australian sub-Antarctic islands. The consequence of these developments is that rights to seabed areas within the ATA have been assigned to individual states. On the face of it, this appears to be in conflict with the norm of collective responsibility that was established by the Antarctic Treaty 50 years ago precisely to constrain sovereignty issues in the region. What is suggested by this practice is a difference in the attitude of Antarctic Treaty Consultative Parties (ATCPs) to rights generated from territory within the ATA and rights generated from external territory. Nonetheless, there may be significant implications flowing from the latter for resource issues within the ATA. Minerals exploitation on sub-Antarctic extended continental shelf within the ATA is precluded in the near-term because of cost, the formal prohibition under article 7 of the 1991 Protocol on Environmental Protection to the Antarctic Treaty, and the fact that all sub-Antarctic coastal states are ATCPs. However the situation in regard to other resource activities is less clear. Bioprospecting could proceed subject to coastal state approval pursuant to the provisions of UNCLOS relating to marine scientific research, and there is no mandatory regulation under the ATS. The possibility that a coastal state may seek to realise rights on the ECS in relation to genetic resources may complicate collective ATS approaches and pose wider geopolitical challenges. In the longer term, the fact that some Antarctic states are presently seeking to secure rights that are essentially about ensuring their preclusive access to resources may have significant implications for strategic interests in the greater Antarctic region.</t>
  </si>
  <si>
    <t>[Hemmings, Alan D.] Univ Canterbury, Gateway Antarctica Ctr Antarctic Studies &amp; Res, Christchurch 8020, New Zealand; Univ Sydney, Fac Law, Sydney, NSW 2006, Australia</t>
  </si>
  <si>
    <t>University of Canterbury; University of Sydney</t>
  </si>
  <si>
    <t>Hemmings, AD (corresponding author), Univ Canterbury, Gateway Antarctica Ctr Antarctic Studies &amp; Res, Private Bag 4800, Christchurch 8020, New Zealand.</t>
  </si>
  <si>
    <t>ahe30184@bigpond.net.au; t.stephens@usyd.edu.au</t>
  </si>
  <si>
    <t>Stephens, Tim/J-4115-2019</t>
  </si>
  <si>
    <t>Stephens, Tim/0000-0001-9678-2227</t>
  </si>
  <si>
    <t>1475-3057</t>
  </si>
  <si>
    <t>10.1017/S0032247409990532</t>
  </si>
  <si>
    <t>WOS:000282201100002</t>
  </si>
  <si>
    <t>Gibson, MI</t>
  </si>
  <si>
    <t>Gibson, Matthew I.</t>
  </si>
  <si>
    <t>Slowing the growth of ice with synthetic macromolecules: beyond antifreeze(glyco) proteins</t>
  </si>
  <si>
    <t>POLYMER CHEMISTRY</t>
  </si>
  <si>
    <t>THERMAL HYSTERESIS; POLY(VINYL ALCOHOL); CRYSTAL-GROWTH; RECRYSTALLIZATION INHIBITION; MOLECULAR RECOGNITION; AMMONIUM POLYACRYLATE; ANTARCTIC FISHES; RATIONAL DESIGN; CELL-SURVIVAL; GLYCOPROTEINS</t>
  </si>
  <si>
    <t>Biological antifreezes are a relatively large and diverse class of proteins (and very recently expanded to include lipopolysaccharides) which are capable of interacting with ice crystals in such a manner as to influence and, under the correct conditions, to prevent their growth. These properties allow for the survival of organisms which are either continuously or sporadically exposed to subzero temperatures which would otherwise lead to cryo-injury/death. These proteins have been found in a range of organisms, including plants, bacteria, insects and fish, and the proteins themselves have a diverse range of chemical structures ranging from the highly conserved antifreeze glycoproteins (AFGPs) to the more diverse antifreeze proteins AFPs. Their unique abilities to non-colligatively decrease the freezing point of aqueous solutions, inhibit ice recrystallisation and induce dynamic ice shaping suggest they will find many applications from cell/tissue/organ cryostorage, frozen food preservatives, texture enhancers or even as cryosurgery adjuvants. However, these applications have been limited by a lack of available material and also underlying questions regarding their mode of activity. The aim of this review article is to highlight the potential of polymeric materials to act as synthetic mimics of antifreeze(glyco) proteins, as well as to summarise the current general challenges in designing compounds capable of mimicking AF(G)Ps. This will cover the basic properties and modes of action of AF(G)Ps along with the methods commonly used to evaluate their activity. This section is essential to specifically define the 'antifreeze' terminology in terms of these proteins' unique function and to distinguish them from conventional antifreezes. A detailed evaluation of the processes involved in AF(G)P activity is beyond the scope of this review, but the reader will be pointed towards relevant literature. This will then be placed in the context of modern polymer science, with a focus on the ability of synthetic polymers to display some type of specific antifreeze activity, which will be summarised. Finally, the potential applications of these materials will be highlighted and future avenues for their research and the challenges faced in achieving these goals suggested.</t>
  </si>
  <si>
    <t>Univ Warwick, Dept Chem, Coventry CV4 7AL, W Midlands, England</t>
  </si>
  <si>
    <t>University of Warwick</t>
  </si>
  <si>
    <t>Gibson, MI (corresponding author), Univ Warwick, Dept Chem, Coventry CV4 7AL, W Midlands, England.</t>
  </si>
  <si>
    <t>m.i.gibson@warwick.ac.uk</t>
  </si>
  <si>
    <t>Gibson, Matthew Ian/A-7348-2010; Gibson, Matthew/ABC-6412-2021</t>
  </si>
  <si>
    <t>Gibson, Matthew Ian/0000-0002-8297-1278; Gibson, Matthew/0000-0002-8297-1278</t>
  </si>
  <si>
    <t>Advantage West Midlands (AWM); European Regional Development Fund (ERDF); University of Warwick; Royal Society</t>
  </si>
  <si>
    <t>Advantage West Midlands (AWM); European Regional Development Fund (ERDF)(European Union (EU)); University of Warwick; Royal Society(Royal Society)</t>
  </si>
  <si>
    <t>MIG acknowledges the Birmingham Science City: Innovative Uses for Advanced Materials in the Modern World (West Midlands Centre for Advanced Materials Project 2), with support from Advantage West Midlands (AWM) and part funded by the European Regional Development Fund (ERDF) for an Independent Research Fellowship. MIG is also grateful to the University of Warwick and the Royal Society for funding his ongoing research.</t>
  </si>
  <si>
    <t>1759-9954</t>
  </si>
  <si>
    <t>1759-9962</t>
  </si>
  <si>
    <t>POLYM CHEM-UK</t>
  </si>
  <si>
    <t>Polym. Chem.</t>
  </si>
  <si>
    <t>10.1039/c0py00089b</t>
  </si>
  <si>
    <t>Polymer Science</t>
  </si>
  <si>
    <t>660BH</t>
  </si>
  <si>
    <t>WOS:000282612700001</t>
  </si>
  <si>
    <t>Dragon, AC; Monestiez, P; Bar-Hen, A; Guinet, C</t>
  </si>
  <si>
    <t>Dragon, Anne-Cecile; Monestiez, P.; Bar-Hen, A.; Guinet, C.</t>
  </si>
  <si>
    <t>Linking foraging behaviour to physical oceanographic structures: Southern elephant seals and mesoscale eddies east of Kerguelen Islands</t>
  </si>
  <si>
    <t>PROGRESS IN OCEANOGRAPHY</t>
  </si>
  <si>
    <t>ANTARCTIC POLAR FRONT; MIROUNGA-LEONINA; SATELLITE TELEMETRY; DIVING BEHAVIOR; ANIMAL BEHAVIOR; KING PENGUINS; OCEAN; ECOLOGY; MOVEMENTS; EDDY</t>
  </si>
  <si>
    <t>In the Southern Ocean, mesoscale features, such as fronts and eddies, have been shown to have a significant impact in structuring and enhancing primary productivity. They are therefore likely to influence the spatial structure of prey fields and play a key role in the creation of preferred foraging regions for oceanic top-predators. Optimal foraging theory predicts that predators should adjust their movement behaviour in relation to prey density. While crossing areas with sufficient prey density, we expect predators would change their behaviour by, for instance, decreasing their speed and increasing their turning frequency. Diving predators would as well increase the useful part of their dive i.e. increase bottom-time thereby increasing the fraction of time spent capturing prey. Southern elephant seals from the Kerguelen population have several foraging areas: in Antarctic waters, on the Kerguelen Plateau and in the interfrontal zone between the Subtropical and Polar Fronts. This study investigated how the movement and diving behaviour of 22 seals equipped with satellite-relayed data loggers changed in relation to mesoscale structures typical of the interfrontal zone. We studied the links between oceanographic variables including temperature and sea level anomalies, and diving and movement behaviour such as displacement speed, diving duration and bottom-time. Correlation coefficients between each of the time series were calculated and their significance tested with a parametric bootstrap. We focused on oceanographic changes, both temporal and spatial, occurring during behavioural transitions in order to clarify the connections between the behaviour and the marine environment of the animals. We showed that a majority of seals displayed a specific foraging behaviour related to the presence of both cyclonic and anticyclonic eddies. We characterized mesoscale oceanographic zones as either favourable or unfavourable based on the intensity of foraging activity as identified by the behavioural variables. Our findings highlight the importance of mesoscale features for top-predators' behaviour and introduce a new approach for evaluating the importance to the seals of the origin and intensity of these features. (C) 2010 Elsevier Ltd. All rights reserved.</t>
  </si>
  <si>
    <t>[Dragon, Anne-Cecile; Guinet, C.] Ctr Etud Biol Chize, CEBC CNRS, Niort, France; [Monestiez, P.] INRA, Biostat &amp; Proc Spatiaux, Avignon, France; [Dragon, Anne-Cecile; Bar-Hen, A.] Univ Paris 05, MAP5, UFR Math &amp; Informat, Paris, France</t>
  </si>
  <si>
    <t>Centre National de la Recherche Scientifique (CNRS); INRAE; Universite Paris Cite</t>
  </si>
  <si>
    <t>Dragon, AC (corresponding author), Ctr Etud Biol Chize, CEBC CNRS, Niort, France.</t>
  </si>
  <si>
    <t>acdragon@cebc.cnrs.fr</t>
  </si>
  <si>
    <t>Guinet, Christophe/AAR-8457-2020</t>
  </si>
  <si>
    <t>Monestiez, Pascal/0000-0001-5851-2699</t>
  </si>
  <si>
    <t>IPEV (Institut Polaire Francais); TAAF (Terres Australes et Antarctiques Francaises) [109]; CNES (Centre National d'Etudes Spatiales); group CORIOLIS-MERCATOR</t>
  </si>
  <si>
    <t>IPEV (Institut Polaire Francais); TAAF (Terres Australes et Antarctiques Francaises); CNES (Centre National d'Etudes Spatiales)(Centre National D'etudes Spatiales); group CORIOLIS-MERCATOR</t>
  </si>
  <si>
    <t>This work was carried out in the framework of IPSOS-SEAL (ANR 2008-2011) program. We are indebted to IPEV (Institut Polaire Francais) and TAAF (Terres Australes et Antarctiques Francaises) for financial support of Antarctic research program 109. This study was also supported by the CNES (Centre National d'Etudes Spatiales) and the group CORIOLIS-MERCATOR. We are grateful to Dr. Eileen Hofmann and Dr Ian Perry for correcting and shaping this manuscript. Special thanks go also to two anonymous reviewers, Cedric Cotte and Sophie Bestley for very useful comments and for correction of the English. Finally we would like to thank all the colleagues and volunteers involved in the research on southern elephant seals in Kerguelen.</t>
  </si>
  <si>
    <t>0079-6611</t>
  </si>
  <si>
    <t>1873-4472</t>
  </si>
  <si>
    <t>PROG OCEANOGR</t>
  </si>
  <si>
    <t>Prog. Oceanogr.</t>
  </si>
  <si>
    <t>10.1016/j.pocean.2010.09.025</t>
  </si>
  <si>
    <t>707PO</t>
  </si>
  <si>
    <t>WOS:000286298700006</t>
  </si>
  <si>
    <t>Meredith, MP; Wallace, MI; Stammerjohn, SE; Renfrew, IA; Clarke, A; Venables, HJ; Shoosmith, DR; Souster, T; Leng, MJ</t>
  </si>
  <si>
    <t>Meredith, Michael P.; Wallace, Margaret I.; Stammerjohn, Sharon E.; Renfrew, Ian A.; Clarke, Andrew; Venables, Hugh J.; Shoosmith, Deborah R.; Souster, Terri; Leng, Melanie J.</t>
  </si>
  <si>
    <t>Changes in the freshwater composition of the upper ocean west of the Antarctic Peninsula during the first decade of the 21st century</t>
  </si>
  <si>
    <t>NINO-SOUTHERN-OSCILLATION; SEA-ICE; CONTINENTAL-SHELF; MARGUERITE BAY; CLIMATE-CHANGE; ARCTIC-OCEAN; EXTRATROPICAL CIRCULATION; ANNULAR MODES; MASS-BALANCE; SURFACE</t>
  </si>
  <si>
    <t>In recent decades, the west Antarctic Peninsula (WAP) has warmed more rapidly than anywhere else in the Southern Hemisphere. Associated with this, there has been a marked shortening of the sea ice season, a retreat of the majority of glaciers, and an increase in precipitation. Each of these changes in the freshwater system has the potential to exert significant influence on the ecosystem, via processes such as stabilisation of the upper water column, and supply of micronutrients to the mixed layer. Here we use a time series of hydrographic and stable oxygen isotope (delta O-18) measurements collected at a near-coastal site in Marguerite Bay to quantify the prevalence of meteoric freshwater (glacial melt plus precipitation) separately from sea ice melt. During 2002-2009, meteoric water dominated, with summer water column inventories of order 4-6 m. Summer sea ice melt inventories were lower, ranging from -1 to 0.5 m (where a negative value indicates net sea ice formation from this water). In the near-surface layers, we find highest meteoric water prevalence in February 2006 (similar to 6%) and lowest in October 2007 (similar to 1%), whilst sea ice melt is highest in February 2005 (2%) and lowest in July 2002 (-2%). The ranges in both meteoric water and sea ice melt are significantly larger than derived previously using a subset of the data, reflecting the strong interannual variability present. The largest single determinant of the near-surface freshwater percentages is found to be changes in mixed layer depth. Notably deep layers occurred in the winters of 2003, 2007 and 2008, due to northerly winds associated with El Nino/Southern Oscillation and the Southern Annular Mode. These led to greatly reduced sea ice cover in northern Marguerite Bay, and allowed persistent air-sea heat fluxes and stronger rates of sea ice production, which is a key factor in controlling mixed layer depth. We also discuss the possible role of interannual changes in wind-induced mixing in this context. As climate change at the WAP continues, we expect further changes in each of the components of the freshwater budget, and also changes in the vertical redistribution of this freshwater by oceanographic processes. Our ongoing delta O-18 monitoring will help track these changes, and elucidate their consequences for the operation of the marine ecosystem. (C) 2010 Elsevier Ltd. All rights reserved.</t>
  </si>
  <si>
    <t>[Meredith, Michael P.; Wallace, Margaret I.; Clarke, Andrew; Venables, Hugh J.; Shoosmith, Deborah R.; Souster, Terri] British Antarctic Survey, Cambridge CB3 0ET, England; [Stammerjohn, Sharon E.] Univ Calif Santa Cruz, Ocean Sci Dept, Santa Cruz, CA 95064 USA; [Renfrew, Ian A.] Univ E Anglia, Sch Environm Sci, Norwich NR4 7TJ, Norfolk, England; [Leng, Melanie J.] British Geol Survey, NERC Isotope Geosci Lab, Keyworth NG12 5GG, Notts, England</t>
  </si>
  <si>
    <t>UK Research &amp; Innovation (UKRI); Natural Environment Research Council (NERC); NERC British Antarctic Survey; University of California System; University of California Santa Cruz; University of East Anglia; UK Research &amp; Innovation (UKRI); Natural Environment Research Council (NERC); NERC British Geological Survey</t>
  </si>
  <si>
    <t>Meredith, MP (corresponding author), British Antarctic Survey, Madingley Rd, Cambridge CB3 0ET, England.</t>
  </si>
  <si>
    <t>mmm@bas.ac.uk</t>
  </si>
  <si>
    <t>Renfrew, Ian A/E-4057-2010; Souster, Terri/HJY-6034-2023</t>
  </si>
  <si>
    <t>Souster, Terri/0000-0002-7585-1999; Leng, Melanie/0000-0003-1115-5166; Renfrew, Ian/0000-0001-9379-8215; Meredith, Michael/0000-0002-7342-7756; STAMMERJOHN, SHARON/0000-0002-1697-8244</t>
  </si>
  <si>
    <t>Palmer LTER; NERC [bas0100028, nigl010001] Funding Source: UKRI; Natural Environment Research Council [nigl010001, bas0100028] Funding Source: researchfish; Directorate For Geosciences; Office of Polar Programs (OPP) [0823101] Funding Source: National Science Foundation</t>
  </si>
  <si>
    <t>Palmer LTER;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</si>
  <si>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We thank a long succession of Marine Assistants at Rothera who have undertaken vital fieldwork, often in difficult conditions, to obtain the data and samples used here. Alice Chapman, Jenny Beaumont, Raynor Piper, Andrew Miller, Paul Mann, Helen Rossetti and Alison Massey are all gratefully acknowledged. Much support from Rothera base staff is also gratefully acknowledged, including those who have helped with sampling and boating operations down the years. Carol Arrowsmith is thanked for analysis of the isotope samples. Carlos Moffat and Bob Beardsley are thanked for the schematic of WAP circulation. Sharon Stammerjohn grateful acknowledges support from Palmer LTER. This work is a contribution of the British Antarctic Survey Polar Science for Planet Earth programme.</t>
  </si>
  <si>
    <t>10.1016/j.pocean.2010.09.019</t>
  </si>
  <si>
    <t>WOS:000286298700012</t>
  </si>
  <si>
    <t>Thurman, J; Parry, JD; Hill, PJ; Laybourn-Parry, J</t>
  </si>
  <si>
    <t>Thurman, Jill; Parry, Jacqueline D.; Hill, Philip J.; Laybourn-Parry, Johanna</t>
  </si>
  <si>
    <t>The Filter-Feeding Ciliates Colpidium striatum and Tetrahymena pyriformis Display Selective Feeding Behaviours in the Presence of Mixed, Equally-Sized, Bacterial Prey</t>
  </si>
  <si>
    <t>PROTIST</t>
  </si>
  <si>
    <t>protozoa; clearance-rate; ingestion-rate; selective-index; differential-digestion</t>
  </si>
  <si>
    <t>FRESH-WATER; FAVELLA SP; ESCHERICHIA-COLI; FOOD; RATES; PROTISTS; RESPONSES; GROWTH; SITES</t>
  </si>
  <si>
    <t>This study examined whether two ciliates could discriminate between equally-sized bacterial prey in mixture and if so, how selectivity might benefit the ciliate population. Live Klebsiella aerogenes, K. ozaenae and Escherichia coli, expressing different coloured fluorescent proteins, were cultured in such a way as to provide populations containing equally-sized cells (to prevent size-selective grazing taking place) and these prey were fed to each ciliate in 50:50 mixtures. Colpidium striatum selected K. aerogenes over K. ozaenae which itself was selected over E. coli. Tetrahymena pyriformis showed no selectivity between K. aerogenes and E. coli but K. aerogenes was selected over K. ozaenae while E. coli was not. This apparent selection of K. aerogenes over K. ozaenae was sustained in ciliate populations with different feeding histories and when K. aerogenes comprised only 20% of the prey mixture, suggesting possible optimal foraging behaviour. The metabolic benefits for selecting K. aerogenes were identified as possibly being an increase in cell biovolume and yield for C. striatum and T. pyriformis, respectively. The mechanism by which these ciliates selected specific bacterial cells in mixture is currently unknown but the use of live fluorescent bacteria, in prey mixtures, offers an exciting avenue for further investigation of selective feeding by protozoa. (c) 2010 Elsevier Ltd. All rights reserved.</t>
  </si>
  <si>
    <t>[Thurman, Jill; Parry, Jacqueline D.] Univ Lancaster, Div Biomed &amp; Life Sci, Sch Hlth &amp; Med, Lancaster LA1 4YQ, England; [Hill, Philip J.] Univ Nottingham, Sch Biosci, Loughborough LE12 5RD, Leics, England; [Laybourn-Parry, Johanna] Univ Tasmania, Inst Antarctic &amp; So Ocean Studies, Hobart, Tas 7001, Australia</t>
  </si>
  <si>
    <t>Lancaster University; University of Nottingham; University of Tasmania</t>
  </si>
  <si>
    <t>Parry, JD (corresponding author), Univ Lancaster, Div Biomed &amp; Life Sci, Sch Hlth &amp; Med, Lancaster LA1 4YQ, England.</t>
  </si>
  <si>
    <t>j.parry@lancaster.ac.uk</t>
  </si>
  <si>
    <t>hill, phil/AAQ-1081-2020</t>
  </si>
  <si>
    <t>hill, phil/0000-0002-2250-1397; Parry, Jacqueline Dawn/0000-0001-6950-0706</t>
  </si>
  <si>
    <t>The Leverhulme Trust [F00/185S]</t>
  </si>
  <si>
    <t>The Leverhulme Trust(Leverhulme Trust)</t>
  </si>
  <si>
    <t>This study was funded by The Leverhulme Trust, Grant No. F00/185S. The authors would like to thank Prof S. Molin for provision of Tn7 tagging vectors.</t>
  </si>
  <si>
    <t>ELSEVIER GMBH</t>
  </si>
  <si>
    <t>MUNICH</t>
  </si>
  <si>
    <t>HACKERBRUCKE 6, 80335 MUNICH, GERMANY</t>
  </si>
  <si>
    <t>1434-4610</t>
  </si>
  <si>
    <t>Protist</t>
  </si>
  <si>
    <t>10.1016/j.protis.2010.04.001</t>
  </si>
  <si>
    <t>638LA</t>
  </si>
  <si>
    <t>WOS:000280895200007</t>
  </si>
  <si>
    <t>Karpechko, AY; Gillett, NP; Dall'Amico, M; Gray, LJ</t>
  </si>
  <si>
    <t>Karpechko, Alexey Yu; Gillett, Nathan P.; Dall'Amico, Mauro; Gray, Lesley J.</t>
  </si>
  <si>
    <t>Southern Hemisphere atmospheric circulation response to the El Chichon and Pinatubo eruptions in coupled climate models</t>
  </si>
  <si>
    <t>QUARTERLY JOURNAL OF THE ROYAL METEOROLOGICAL SOCIETY</t>
  </si>
  <si>
    <t>volcanic eruptions; stratosphere; Southern Annular Mode; climate variability</t>
  </si>
  <si>
    <t>STRATOSPHERIC VARIABILITY; VOLCANIC-ERUPTIONS; TRENDS; IMPACT; TEMPERATURE; OSCILLATION; TROPOSPHERE</t>
  </si>
  <si>
    <t>We study the response of the Southern Hemisphere circulation to the 1982 eruption of El Chichon and 1991 eruption of Pinatubo volcanoes in a suite of up-to-date coupled climate models. We find a significant response in austral spring and autumn in the years following the eruptions, which consists of a stronger stratospheric polar vortex and lowered sea-level pressure over the Antarctic, both consistent with the positive phase of the Southern Annular Mode. The seasonality of the response may be explained in terms of zonal flow-planetary wave interactions. This dynamical response is inconsistent with the observational reanalyses in the polar stratosphere in spring, but not in the troposphere where the internal variability is large compared to the magnitude of the response. Copyright (C) 2010 Royal Meteorological Society</t>
  </si>
  <si>
    <t>[Karpechko, Alexey Yu] Finnish Meteorol Inst, Arctic Res Ctr, FI-00101 Helsinki, Finland; [Karpechko, Alexey Yu] Univ E Anglia, Sch Environm Sci, Climat Res Unit, Norwich NR4 7TJ, Norfolk, England; [Gillett, Nathan P.] Environm Canada, Canadian Ctr Climate Modelling &amp; Anal, Victoria, BC, Canada; [Dall'Amico, Mauro] Inst Atmospher Phys, Deutsch Zentrum Luft &amp; Raumfahrt, Oberpfaffenhofen, Germany; [Gray, Lesley J.] Univ Reading, Dept Meteorol, Climate Directorate, Natl Ctr Atmospher Sci, Reading RG6 2AH, Berks, England</t>
  </si>
  <si>
    <t>Finnish Meteorological Institute; University of East Anglia; Environment &amp; Climate Change Canada; Canadian Centre for Climate Modelling &amp; Analysis (CCCma); Helmholtz Association; German Aerospace Centre (DLR); UK Research &amp; Innovation (UKRI); Natural Environment Research Council (NERC); NERC National Centre for Atmospheric Science; University of Reading</t>
  </si>
  <si>
    <t>Karpechko, AY (corresponding author), Finnish Meteorol Inst, Arctic Res Ctr, POB 503, FI-00101 Helsinki, Finland.</t>
  </si>
  <si>
    <t>alexey.karpechko@fmi.fi</t>
  </si>
  <si>
    <t>Gray, Lesley J/D-3610-2009; Karpechko, Alexey/JVN-9414-2024</t>
  </si>
  <si>
    <t>Karpechko, Alexey/0000-0003-0902-0414; Gray, Lesley/0000-0002-7803-9277</t>
  </si>
  <si>
    <t>NERC [NE/E006787/1]; Finnish Academy; Office of Science, US Department of Energy; NERC [NE/E006787/1] Funding Source: UKRI; Natural Environment Research Council [ncas10009, NE/E006787/1, NE/C510383/1] Funding Source: researchfish</t>
  </si>
  <si>
    <t>NERC(UK Research &amp; Innovation (UKRI)Natural Environment Research Council (NERC)); Finnish Academy(Research Council of Finland); Office of Science, US Department of Energy(United States Department of Energy (DOE)); NERC(UK Research &amp; Innovation (UKRI)Natural Environment Research Council (NERC)); Natural Environment Research Council(UK Research &amp; Innovation (UKRI)Natural Environment Research Council (NERC))</t>
  </si>
  <si>
    <t>This work is supported by NERC Project NE/E006787/1. AK was partly supported by the Finnish Academy. We acknowledge the modelling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We thank Gareth Marshall and Stefan Bronnimann whose questions stimulated this study and two anonymous reviewers for useful suggestions.</t>
  </si>
  <si>
    <t>0035-9009</t>
  </si>
  <si>
    <t>1477-870X</t>
  </si>
  <si>
    <t>Q J ROY METEOR SOC</t>
  </si>
  <si>
    <t>Q. J. R. Meteorol. Soc.</t>
  </si>
  <si>
    <t>A</t>
  </si>
  <si>
    <t>10.1002/qj.683</t>
  </si>
  <si>
    <t>678AP</t>
  </si>
  <si>
    <t>WOS:000284039900013</t>
  </si>
  <si>
    <t>Wolff, EW; Chappellaz, J; Blunier, T; Rasmussen, SO; Svensson, A</t>
  </si>
  <si>
    <t>Wolff, E. W.; Chappellaz, J.; Blunier, T.; Rasmussen, S. O.; Svensson, A.</t>
  </si>
  <si>
    <t>Millennial-scale variability during the last glacial: The ice core record</t>
  </si>
  <si>
    <t>ABRUPT CLIMATE-CHANGE; NORTH-ATLANTIC REGION; GREENLAND ICE; ATMOSPHERIC CH4; HIGH-RESOLUTION; OXYGEN-ISOTOPE; ABSOLUTE CALIBRATION; TEMPERATURE-CHANGE; HOLOCENE CLIMATE; RAPID CHANGES</t>
  </si>
  <si>
    <t>The oxygen-isotope records from Greenland ice cores show a very strong, reproducible pattern of alternation between warm Greenland Interstadials (GI) and cold Greenland Stadials (GS) at millennial-scale during the last glacial period. Here we summarise what is known about this variability from ice core records. The typical cycle has a sawtooth pattern, with a very rapid warming event (occurring in a few decades), a slow cooling trend, and then a final fast cooling. 25 such events have been numbered in the last glacial. The recent GICC05 age scale provides the best available age scale that can be directly applied to this stratigraphy, and we summarise the timing of the warming events, and the length and strength of each event. The Greenland stratigraphy can be transferred to other records if we make assumptions about the contemporaneous nature of rapid events in different archives. Other parameters, such as the snow accumulation rate, and the concentration of terrestrial dust and sea salt recorded in the Greenland cores, also show a strong contrasting pattern between GI and GS. Methane concentrations are generally high during GI and lower during GS, with the increase from GS to GI occurring within a century. Antarctic ice cores show a different pattern: each GI has an Antarctic counterpart, but Antarctica appears to warm while Greenland is in a GS, and cool during GI. These changes are consistent with a mechanism involving ocean heat transport, but the rapid nature of warmings poses a challenge for modellers, while the rapid methane changes pose questions about the pattern of land biosphere emissions during the glacial that are also relevant for understanding glacial-interglacial methane variability. (C) 2009 Elsevier Ltd. All rights reserved.</t>
  </si>
  <si>
    <t>[Wolff, E. W.] British Antarctic Survey, Cambridge CB3 0ET, England; [Chappellaz, J.] Univ Grenoble, CNRS, Lab Glaciol &amp; Geophys Environm, F-38402 St Martin Dheres, France; [Blunier, T.; Rasmussen, S. O.; Svensson, A.] Univ Copenhagen, Niels Bohr Inst, DK-2100 Copenhagen, Denmark</t>
  </si>
  <si>
    <t>UK Research &amp; Innovation (UKRI); Natural Environment Research Council (NERC); NERC British Antarctic Survey; Centre National de la Recherche Scientifique (CNRS); Communaute Universite Grenoble Alpes; Universite Grenoble Alpes (UGA); University of Copenhagen; Niels Bohr Institute</t>
  </si>
  <si>
    <t>Wolff, EW (corresponding author), British Antarctic Survey, Madingley Rd, Cambridge CB3 0ET, England.</t>
  </si>
  <si>
    <t>ewwo@bas.ac.uk</t>
  </si>
  <si>
    <t>Rasmussen, Sune Olander/AAA-3190-2021; Chappellaz, Jérôme A./A-4872-2011; Rasmussen, Sune/B-5560-2008; Wolff, Eric W/D-7925-2014; Svensson, Anders/A-2643-2010; Blunier, Thomas/M-4609-2014</t>
  </si>
  <si>
    <t>Rasmussen, Sune Olander/0000-0002-4177-3611; Wolff, Eric W/0000-0002-5914-8531; Svensson, Anders/0000-0002-4364-6085; Blunier, Thomas/0000-0002-6065-7747</t>
  </si>
  <si>
    <t>NERC [NE/E007600/1]; QUEST/INSU-DESIRE; BAS; ANR; NERC [bas0100024, NE/E007600/1, quest010001] Funding Source: UKRI; Natural Environment Research Council [NE/E007600/1, bas0100024, quest010001] Funding Source: researchfish</t>
  </si>
  <si>
    <t>NERC(UK Research &amp; Innovation (UKRI)Natural Environment Research Council (NERC)); QUEST/INSU-DESIRE; BAS; ANR(Agence Nationale de la Recherche (ANR)); NERC(UK Research &amp; Innovation (UKRI)Natural Environment Research Council (NERC)); Natural Environment Research Council(UK Research &amp; Innovation (UKRI)Natural Environment Research Council (NERC))</t>
  </si>
  <si>
    <t>This paper was conceived and developed at workshops sponsored by the UK QUEST (Quantifying Uncertainty in the Earth System) programme of the Natural Environment Research Council in support of the QUEST/INSU project DESIRE (Dynamics of the Earth System and the Ice-core Record, NERC grant NE/E007600/1) and is a contribution to the ongoing work of the QUEST Working Group on Abrupt Climate Change. EWW and JC were funded by QUEST/INSU-DESIRE and by the BAS core project CACHE-DRAM (EWW) and the ANR project IMPACT-BOREAL (JC). We thank Sandy Harrison, Jean Jouzel, Maria Fernanda Sanchez Goni, Jeff Severinghaus and Renato Spahni for helpful comments.</t>
  </si>
  <si>
    <t>21-22</t>
  </si>
  <si>
    <t>10.1016/j.quascirev.2009.10.013</t>
  </si>
  <si>
    <t>662ZA</t>
  </si>
  <si>
    <t>WOS:000282851600002</t>
  </si>
  <si>
    <t>Jiménez-Moreno, G; Fauquette, S; Suc, JP</t>
  </si>
  <si>
    <t>Jimenez-Moreno, Gonzalo; Fauquette, Severine; Suc, Jean-Pierre</t>
  </si>
  <si>
    <t>Miocene to Pliocene vegetation reconstruction and climate estimates in the Iberian Peninsula from pollen data</t>
  </si>
  <si>
    <t>REVIEW OF PALAEOBOTANY AND PALYNOLOGY</t>
  </si>
  <si>
    <t>Miocene; Pliocene; Iberian Peninsula; pollen; vegetation; climate change</t>
  </si>
  <si>
    <t>MIDDLE MIOCENE; MEDITERRANEAN REGION; PALYNOLOGICAL EVIDENCE; LACUSTRINE DEPOSITS; MARINE-SEDIMENTS; PANNONIAN BASIN; EVOLUTION; PALEOCLIMATE; NORTHERN; EUROPE</t>
  </si>
  <si>
    <t>Pollen analysis of Miocene and Pliocene sediments from the Iberian Peninsula shows a progressive reduction in plant diversity through time caused by the disappearance of thermophilous and high-water requirement plants. In addition, an increase in warm-temperate (mesothermic), seasonal-adapted Mediterranean taxa, high-elevation conifers and herbs (mainly Artemisia) occurred during the Middle and Late Miocene and Pliocene. This has mainly been interpreted as a response of the vegetation to global and regional processes, including climate cooling related to the development of the East Antarctic Ice Sheet and then the onset of the Arctic Ice Sheet, uplift of regional mountains related to the Alpine uplift and the progressive movement of Eurasia towards northern latitudes as a result of the northwards subduction of Africa. The development of steppe-like vegetation in southern Iberia is ancient and probably started during the Oligocene. The onset of a contrasted seasonality in temperature during the Mid-Pliocene superimposed on the pre-existing seasonality in precipitation, the annual length of which increased southward. The Mediterranean climatic rhythm (summer drought) began about 3.4 Ma and caused the individualization of modern Mediterranean ecosystems. Quaternary-type Mediterranean climatic fluctuations started at 2.6 Ma (Gelasian) resulting in repeated steppe vs. forest alternations. A latitudinal climatic gradient between the southern and the northern parts of the Iberian Peninsula existed since the Middle Miocene. (c) 2009 Elsevier B.V. All rights reserved.</t>
  </si>
  <si>
    <t>[Jimenez-Moreno, Gonzalo] Univ Granada, Dept Estratig &amp; Paleontol, Granada 18002, Spain; [Fauquette, Severine] Univ Montpellier 2, CNRS, UMR 5554, Inst Sci Evoult Montpellier,Equipe Paleoenvironm, F-34095 Montpellier 05, France; [Suc, Jean-Pierre] Univ Lyon 1, CNRS, UMR 5125, Lab PaleoEnvironm &amp; PaleobioSphere, F-69622 Villeurbanne, France</t>
  </si>
  <si>
    <t>University of Granada; Centre National de la Recherche Scientifique (CNRS); Institut de Recherche pour le Developpement (IRD); Universite de Montpellier; CNRS - Institute of Ecology &amp; Environment (INEE); Universite Claude Bernard Lyon 1; Centre National de la Recherche Scientifique (CNRS)</t>
  </si>
  <si>
    <t>Jiménez-Moreno, G (corresponding author), Univ Granada, Dept Estratig &amp; Paleontol, Fuente Nueva S-N, Granada 18002, Spain.</t>
  </si>
  <si>
    <t>gonzaloj@ugr.es</t>
  </si>
  <si>
    <t>Fauquette, Séverine/A-2601-2009; Jiménez-Moreno, Gonzalo/K-6753-2017; Fauquette, Severine/M-3686-2019</t>
  </si>
  <si>
    <t>Jiménez-Moreno, Gonzalo/0000-0001-7185-8686; Fauquette, Severine/0000-0003-0516-7734</t>
  </si>
  <si>
    <t>Universidad de Granada</t>
  </si>
  <si>
    <t>GJ.-M.'s research was funded by a research contract from the Universidad de Granada. This paper benefited from the constructive reviews of two anonymous reviewers. This paper is an ISEM contribution no. 2009-053.</t>
  </si>
  <si>
    <t>0034-6667</t>
  </si>
  <si>
    <t>1879-0615</t>
  </si>
  <si>
    <t>REV PALAEOBOT PALYNO</t>
  </si>
  <si>
    <t>Rev. Palaeobot. Palynology</t>
  </si>
  <si>
    <t>10.1016/j.revpalbo.2009.08.001</t>
  </si>
  <si>
    <t>Plant Sciences; Paleontology</t>
  </si>
  <si>
    <t>699JE</t>
  </si>
  <si>
    <t>WOS:000285658900008</t>
  </si>
  <si>
    <t>Howkins, A</t>
  </si>
  <si>
    <t>Howkins, Adrian</t>
  </si>
  <si>
    <t>ANTARCTICA: A CONTINENT FOR ENVIRONMENTAL HISTORY</t>
  </si>
  <si>
    <t>REVISTA ESTUDIOS HEMISFERICOS Y POLARES</t>
  </si>
  <si>
    <t>Environmental History; Antarctica; 1959 Antarctic Treaty</t>
  </si>
  <si>
    <t>This paper asks two questions. What can the history of Antarctica contribute to the field of environmental history? And what can the field of environmental history offer our understanding of Antarctic history? Thinking about the environmental history of Antarctica as both strange and familiar, the paper argues that the relative simplicity of Antarctica's history offers environmental historians an opportunity to think carefully about the theory and practice of their discipline. In turn, the paper argues that the field of environmental history has much to offer our understanding of Antarctic history, using the origins of the 1959 Antarctic Treaty as a brief example.</t>
  </si>
  <si>
    <t>[Howkins, Adrian] Colorado State Univ, Dept Hist, Ft Collins, CO 80523 USA</t>
  </si>
  <si>
    <t>Colorado State University</t>
  </si>
  <si>
    <t>Howkins, A (corresponding author), Colorado State Univ, Dept Hist, Ft Collins, CO 80523 USA.</t>
  </si>
  <si>
    <t>howkins@mail.colostate.edu</t>
  </si>
  <si>
    <t>CENTRO ESTUDIOS HEMISFERICOS &amp; POLARES</t>
  </si>
  <si>
    <t>VINA DEL MAR</t>
  </si>
  <si>
    <t>CALLE ROMA, 116, CALETA ABARCA, VINA DEL MAR, 2580060, CHILE</t>
  </si>
  <si>
    <t>0718-9230</t>
  </si>
  <si>
    <t>REV ESTUD HEMISFERIC</t>
  </si>
  <si>
    <t>Rev. Estud. Hemisfericos Polares</t>
  </si>
  <si>
    <t>Area Studies</t>
  </si>
  <si>
    <t>V36FY</t>
  </si>
  <si>
    <t>WOS:000215955300001</t>
  </si>
  <si>
    <t>Cortés, JI</t>
  </si>
  <si>
    <t>Iglesias Cortes, Jorge</t>
  </si>
  <si>
    <t>THE ANTARCTIC SYSTEM IN THE 21ST CENTURY: SOME IDEAS</t>
  </si>
  <si>
    <t>Spanish</t>
  </si>
  <si>
    <t>[Iglesias Cortes, Jorge] Minist Relac Exteriores Chile, Santiago, Chile</t>
  </si>
  <si>
    <t>Cortés, JI (corresponding author), Minist Relac Exteriores Chile, Santiago, Chile.</t>
  </si>
  <si>
    <t>jicartago@yahoo.com</t>
  </si>
  <si>
    <t>WOS:000215955300002</t>
  </si>
  <si>
    <t>Lüedecke, C</t>
  </si>
  <si>
    <t>Luedecke, Cornelia</t>
  </si>
  <si>
    <t>GORGEOUS LANDSCAPES AND WILDLIFE: THE IMPORTANCE AND DANGER OF ANTARCTIC TOURISM</t>
  </si>
  <si>
    <t>Antarctica; Antarctic Tourism; Antarctic enviroment</t>
  </si>
  <si>
    <t>This article provides an overview of current trends in Antarctic tourism, highlighting the procedures adopted to minimize the risk of environmental degradation. Attention is paid to the variety of cruises that tourists can enjoy, the shifting national demographics of the industry, and the limited nature of search-and-rescue operations. The Antarctic Treaty's Protocol on Environmental Protection (1999) is discussed with emphasis on its applicability to Gentoo penguin colonies. The roles of the International Association of Antarctic Tour Operators (IAATO) and International Polar Heritage Committee (IPHC) are also analyzed at length. Twenty photographs have been included of the various sites and activities mentioned in the text.</t>
  </si>
  <si>
    <t>[Luedecke, Cornelia] Inst Geschichte Naturwissensch Math &amp; Tech, Hamburg, Germany</t>
  </si>
  <si>
    <t>Lüedecke, C (corresponding author), Inst Geschichte Naturwissensch Math &amp; Tech, Hamburg, Germany.</t>
  </si>
  <si>
    <t>C.Luedecke@uni-muenchen.de</t>
  </si>
  <si>
    <t>WOS:000215955300003</t>
  </si>
  <si>
    <t>Bakunov, NA; Bol'shiyanov, DY; Makarov, AS</t>
  </si>
  <si>
    <t>Bakunov, N. A.; Bol'shiyanov, D. Yu; Makarov, A. S.</t>
  </si>
  <si>
    <t>Global 90Sr runoff from Eastern Fennoscandia catchments and water purification estimates</t>
  </si>
  <si>
    <t>RUSSIAN METEOROLOGY AND HYDROLOGY</t>
  </si>
  <si>
    <t>Sr-90 runoff amounted to 0.22-0.67% of its budget in the catchment; the value is lower for high-latitude rivers running in the zone of frozen and seasonally frozen grounds. The ecological half-period of a decrease in the Sr-90 concentration in the river water of Eastern Fennoscandia amounted to 5.9-11.5 years in 1979-1985. The lake waters (Lake Ladoga and Lake Paijanne) were renewed approximately 4-5 times faster than the 90Sr content decreased in these lakes.</t>
  </si>
  <si>
    <t>[Bakunov, N. A.; Bol'shiyanov, D. Yu; Makarov, A. S.] Arctic &amp; Antarctic Res Inst, St Petersburg 199397, Russia</t>
  </si>
  <si>
    <t>Arctic &amp; Antarctic Research Institute</t>
  </si>
  <si>
    <t>Bakunov, NA (corresponding author), Arctic &amp; Antarctic Res Inst, Ul Beringa 38, St Petersburg 199397, Russia.</t>
  </si>
  <si>
    <t>Makarov, Andrei/F-3285-2019; Bakunov, Nikolay/AAB-4832-2019</t>
  </si>
  <si>
    <t>Russian Foundation for Basic Research [08-05-00963a]</t>
  </si>
  <si>
    <t>Russian Foundation for Basic Research(Russian Foundation for Basic Research (RFBR)Spanish Government)</t>
  </si>
  <si>
    <t>The work was supported by the Russian Foundation for Basic Research (grant 08-05-00963a).</t>
  </si>
  <si>
    <t>ALLERTON PRESS INC</t>
  </si>
  <si>
    <t>18 WEST 27TH ST, NEW YORK, NY 10001 USA</t>
  </si>
  <si>
    <t>1068-3739</t>
  </si>
  <si>
    <t>RUSS METEOROL HYDRO+</t>
  </si>
  <si>
    <t>Russ. Meteorol. Hydrol.</t>
  </si>
  <si>
    <t>10.3103/S1068373910100043</t>
  </si>
  <si>
    <t>695FX</t>
  </si>
  <si>
    <t>WOS:000285357100004</t>
  </si>
  <si>
    <t>Cranston, PS; Hardy, NB; Morse, GE; Puslednik, L; McCluen, SR</t>
  </si>
  <si>
    <t>Cranston, Peter S.; Hardy, Nate B.; Morse, Geoffrey E.; Puslednik, Louise; McCluen, Scott R.</t>
  </si>
  <si>
    <t>When molecules and morphology concur: the 'Gondwanan' midges (Diptera: Chironomidae)</t>
  </si>
  <si>
    <t>SYSTEMATIC ENTOMOLOGY</t>
  </si>
  <si>
    <t>APHROTENIINAE DIPTERA; ARCHAEOCHLUS BRUNDIN; TERRESTRIAL FAUNA; PHYLOGENY; BIOGEOGRAPHY; BLOCKS; TREE</t>
  </si>
  <si>
    <t>A phylogeny of the Chironomidae subfamily Podonominae, significant in the history of phylogenetic biogeography, is estimated from an analysis of four genes. Fragments of two ribosomal genes (18S and 28S), one nuclear protein-coding gene (CAD), and one mitochondrial protein-coding gene (COI) were sequenced from specimens representing 13 of 15 genera, and analysed using mixed model Bayesian and maximum likelihood inference methods. Podonominae is monophyletic and sister to Tanypodinae - the shared development of the larval ligula is synapomorphic and diagnostic. Tribe Podonomini is monophyletic with the inclusion of Trichotanypus; tribe Boreochlini is a grade. Monophyly is confirmed for the genera Podonomus Philippi, Podonomopsis Brundin, Podochlus Brundin, Archaeochlus Brundin and Austrochlus Cranston, Edward &amp; Cook: Parochlus Enderlein becomes monophyletic through the inclusion of Zelandochlus Brundin (n.syn.) with its type species, P. latipalpis (Brundin) n.comb. The 'mandibulate' Archaeochlus plus Austrochlus is monophyletic with nonmandibulate Afrochlus weakly supported as a member of, or sister to, the African Archaeochlus. Subtending this group is Lasiodiamesa, although it associates in some analyses with the sister group Tanypodinae. Generic relationships coincide with those proposed based on morphology, particularly as understood via all life history stages of some problematic (autapomorphic, adult-based) taxa. Divergence time analysis (beast) allows inference of Mesozoic diversification of higher taxa in Podonominae, of appropriate timing for fragmentation of Gondwana, post-African divergence, to have caused vicariance. Shallower nodes (within genera) imply both younger vicariance involving Antarctica and some recent dispersal, including southern to northern hemisphere movement in the New World. New Zealand taxa test controversial biogeographical relationships and show proximity to southern South America without direct Australian sister taxon pairs: dating implies persistence of midges through the 'Oligocene' bottleneck.</t>
  </si>
  <si>
    <t>[Cranston, Peter S.; Hardy, Nate B.; Morse, Geoffrey E.; Puslednik, Louise; McCluen, Scott R.] Univ Calif Davis, Dept Entomol, Davis, CA 95616 USA</t>
  </si>
  <si>
    <t>University of California System; University of California Davis</t>
  </si>
  <si>
    <t>Cranston, PS (corresponding author), Univ Calif Davis, Dept Entomol, Davis, CA 95616 USA.</t>
  </si>
  <si>
    <t>pscranston@ucdavis.edu</t>
  </si>
  <si>
    <t>Puslednik, Louise/GLT-7606-2022; Puslednik, Louise/KHX-4991-2024</t>
  </si>
  <si>
    <t>Puslednik, Louise/0000-0002-2589-1298</t>
  </si>
  <si>
    <t>Australian Biological Resource Study; Direct For Biological Sciences; Division Of Environmental Biology [0933218] Funding Source: National Science Foundation</t>
  </si>
  <si>
    <t>Australian Biological Resource Study; Direct For Biological Sciences; Division Of Environmental Biology(National Science Foundation (NSF)NSF - Directorate for Biological Sciences (BIO))</t>
  </si>
  <si>
    <t>For field work assistance we thank Andrew Baker, Andy Cranston, Don Edward, Penny Gullan, Matt Krosch and Brendan McKie, in many southern hemisphere locations. For providing valuable specimens, Chris Madden, Adelaide, Australia and Greg Wilcock, Fox Glacier, New Zealand, and especially from the northern hemisphere, B. J. Chrestian, EcoAnalysts, Moscow, ID, U. S. A.; Peter Convey, British Antarctic Survey; Austin (Brady) Richards, California State University, Chico, CA, U. S. A.; Elisabeth Stur, Museum of Natural History and Archaeology, Trondheim, Norway; Wilco Vereberk, Radboud University of Nijmegen, The Netherlands and Endre Willassen, Bergen, Norway. We acknowledge all agencies, too numerous and acronym-changing to mention in detail, who permitted collection of aquatic midges in Argentina, Australia, Chile, Namibia, New Zealand and South Africa (Western Cape, Eastern Cape) starting from 1987. Art Borkent identified the outgroup Ceratopogonidae - thanks. We thank Matt Bertone, Torbjorn Ekrem, Jon Martin, Martin Spies and Shaun Winterton for insightful comments on the manuscript. This project was funded initially by the Australian Biological Resource Study and subsequently by the generous support given to the Entomology Department, University of California, Davis by Evert Schlinger for the endowed chair in Systematic Entomology held by the first author. And a final thank you to Don Edward and Jon Martin, who provided much initial impetus, and to Lyn Cook, University of Queensland, who showed it could be done.</t>
  </si>
  <si>
    <t>0307-6970</t>
  </si>
  <si>
    <t>1365-3113</t>
  </si>
  <si>
    <t>SYST ENTOMOL</t>
  </si>
  <si>
    <t>Syst. Entomol.</t>
  </si>
  <si>
    <t>10.1111/j.1365-3113.2010.00531.x</t>
  </si>
  <si>
    <t>Evolutionary Biology; Entomology</t>
  </si>
  <si>
    <t>651BZ</t>
  </si>
  <si>
    <t>WOS:000281900900004</t>
  </si>
  <si>
    <t>Mohrbeck, I; Arbizu, PM; Glatzel, T</t>
  </si>
  <si>
    <t>Mohrbeck, Inga; Arbizu, Pedro Martinez; Glatzel, Thomas</t>
  </si>
  <si>
    <t>Tantulocarida (Crustacea) from the Southern Ocean deep sea, and the description of three new species of Tantulacus Huys, Andersen &amp; Kristensen, 1992</t>
  </si>
  <si>
    <t>SYSTEMATIC PARASITOLOGY</t>
  </si>
  <si>
    <t>MICRODAJUS-LANGI GREVE; LIFE-CYCLE; 1ST RECORD; SP-NOV; GEN; MAXILLOPODA; DEOTERTHRIDAE; COPEPODA; BASIPODELLIDAE; HARPACTICOIDA</t>
  </si>
  <si>
    <t>During the expedition ANT XIX/3 meiofauna samples were collected from the German research vessel Polarstern near the Shackleton Fracture Zone. During sorting of the samples 86 tantulus larvae were found. Extensive examination of the larvae revealed a high diversity of tantulocaridans in the Southern Ocean deep sea (33 species). A remarkable proportion of these were new species of Tantulacus Huys, Andersen &amp; Kristensen, 1992. The present paper reports the discovery of three new Antarctic tantulocarids which are referred to Tantulacus. The affiliation of T. longispinosus n. sp., T. karolae n. sp. and T. dieteri n. sp. to Tantulacus is straightforward: all representatives of the Tantulocarida are characterised by the presence of 1-2 slender setae on the endopod of the second to fifth thoracopods, but in none of the hitherto described genera, other than Tantulacus, are these elements modified. Tantulacus hoegi Huys, Andersen &amp; Kristensen, 1992 and the three new species share the possession of a distal rigid spine on the endopod of the second to fifth thoracopods as a synapomorphy and thus can be readily distinguished from other tantulocaridans. This is the first record of free-living sediment-inhabiting tantulus larvae from this area, although this probably reflects the degree of undersampling.</t>
  </si>
  <si>
    <t>[Mohrbeck, Inga; Arbizu, Pedro Martinez] Dept Deutsch Zentrum Marine Biodiversitatsforschu, D-26382 Wilhelmshaven, Germany; Carl von Ossietzky Univ Oldenburg, Inst Biol &amp; Umweltwissensch, D-26129 Oldenburg, Germany</t>
  </si>
  <si>
    <t>Carl von Ossietzky Universitat Oldenburg</t>
  </si>
  <si>
    <t>Mohrbeck, I (corresponding author), Dept Deutsch Zentrum Marine Biodiversitatsforschu, D-26382 Wilhelmshaven, Germany.</t>
  </si>
  <si>
    <t>imohrbeck@senckenberg.de; pmartinez@senckenberg.de; thomas.glatzel@uni-oldenburg.de</t>
  </si>
  <si>
    <t>Martinez-Arbizu, Pedro/0000-0002-0891-1154</t>
  </si>
  <si>
    <t>0165-5752</t>
  </si>
  <si>
    <t>1573-5192</t>
  </si>
  <si>
    <t>SYST PARASITOL</t>
  </si>
  <si>
    <t>Syst. Parasitol.</t>
  </si>
  <si>
    <t>10.1007/s11230-010-9260-0</t>
  </si>
  <si>
    <t>Parasitology</t>
  </si>
  <si>
    <t>652EC</t>
  </si>
  <si>
    <t>WOS:000281983300003</t>
  </si>
  <si>
    <t>Paeth, H; Pollinger, F</t>
  </si>
  <si>
    <t>Paeth, Heiko; Pollinger, Felix</t>
  </si>
  <si>
    <t>Enhanced evidence in climate models for changes in extratropical atmospheric circulation</t>
  </si>
  <si>
    <t>NORTH-ATLANTIC OSCILLATION; SOUTHERN-HEMISPHERE; CHANGE-SIGNALS; ARCTIC OSCILLATION; BAYESIAN-APPROACH; WINTER CLIMATE; TRENDS; TEMPERATURES; UNCERTAINTY; VARIABILITY</t>
  </si>
  <si>
    <t>We investigate changes in extratropical atmospheric circulation as derived from the most recent multi-model ensemble of global climate projections. This internationally coordinated systematic data base allows for an accurate assessment of climate change signals against the background of model uncertainty. The multi-model mean time series of the northern-hemisphere (NAM) and southern-hemisphere (SAM) annular modes and of the North Atlantic Oscillation (NAO) are in line with the observed positive trends during the second half of the 20th century and project a further strengthening until the end of the 21st century. For SAM and NAM the simulated changes are unambiguously related to anthropogenic forcing and outperform the level of model uncertainty. This result may imply an enhanced probability for some severe regional impacts of climate change, in particular over extratropical land masses. The climate change signals are noticeably weaker under the B1 mitigation scenario than under the A2 business-as-usual scenario. Ozone forcing has a significant impact on the amplitude of future circulation changes, whereas no systematic effect is found with respect to the models' top-of-the-atmosphere.</t>
  </si>
  <si>
    <t>[Paeth, Heiko; Pollinger, Felix] Univ Wurzburg, Inst Geog, D-97074 Wurzburg, Germany</t>
  </si>
  <si>
    <t>University of Wurzburg</t>
  </si>
  <si>
    <t>Paeth, H (corresponding author), Univ Wurzburg, Inst Geog, D-97074 Wurzburg, Germany.</t>
  </si>
  <si>
    <t>heiko.paeth@uni-wuerzburg.de</t>
  </si>
  <si>
    <t>Pollinger, Felix/0000-0002-9519-2433</t>
  </si>
  <si>
    <t>Office of Science, U.S. Department of Energy</t>
  </si>
  <si>
    <t>Office of Science, U.S. Department of Energy(United States Department of Energy (DOE))</t>
  </si>
  <si>
    <t>The authors thank the Hadley Centre for providing the HadSLPr data set and the British Antarctic Survey for making available the station-based SAM index. Furthermore, the authors acknowledge the modelling groups, the Program for Climate Model Diagnosis and Intercomparison (PCMDI) and the WCRP's Working Group on Coupled Modelling (WGCM) for their roles in making available the WCRP CMIP3 multi-model dataset. Support of this data set is provided by the Office of Science, U.S. Department of Energy. Finally, the authors are grateful for the helpful and constructive comments by two anonymous reviewers.</t>
  </si>
  <si>
    <t>10.1111/j.1600-0870.2010.00455.x</t>
  </si>
  <si>
    <t>WOS:000282182300005</t>
  </si>
  <si>
    <t>Zattin, M; Talarico, FM; Sandroni, S</t>
  </si>
  <si>
    <t>Zattin, Massimiliano; Talarico, Franco M.; Sandroni, Sonia</t>
  </si>
  <si>
    <t>Integrated provenance and detrital thermochronology studies on the ANDRILL AND-2A drill core: Late Oligocene-Early Miocene exhumation of the Transantarctic Mountains (southern Victoria Land, Antarctica)</t>
  </si>
  <si>
    <t>TERRA NOVA</t>
  </si>
  <si>
    <t>GLACIER AREA; ROSS SEA; MCMURDO SOUND; GEOCHRONOLOGY; CONSTRAINTS; TECTONICS; EVOLUTION; GEOLOGY; REGION; ROCKS</t>
  </si>
  <si>
    <t>P&gt;Detrital apatite fission-track data combined with provenance analysis of gravel-fraction detritus are used in this study to investigate the Neogene exhumation of the West Antarctic Rift System. Samples have been collected from the upper 1000 m of the ANDRILL AND-2A drill core, which documents the Miocene history of the Victoria Land Basin. Most samples have apatites with fission-track ages between 23 and 36 Ma and gravel clasts derived from the Erebus Volcanic Province and the Transantarctic Mountains exposed along the southern Victoria Land coast. These results indicate the existence of a so far undetected Oligocene/Early Miocene exhumation phase in the region between the Blue-Koettlitz and Skelton-Mulock glaciers, suggesting the importance of fluctuation of local glaciers in the Royal Society Range and/or expansions into the McMurdo Sound of an ice sheet mainly sourced by larger outlet glaciers located further south.</t>
  </si>
  <si>
    <t>[Zattin, Massimiliano] Univ Padua, Dipartimento Geosci, I-35137 Padua, Italy; [Talarico, Franco M.] Univ Siena, Dept Earth Sci, I-53100 Siena, Italy; [Sandroni, Sonia] Univ Siena, Museo Nazl Antartide, I-53100 Siena, Italy</t>
  </si>
  <si>
    <t>University of Padua; University of Siena; University of Siena</t>
  </si>
  <si>
    <t>Zattin, M (corresponding author), Univ Padua, Dipartimento Geosci, Via Giotto 1, I-35137 Padua, Italy.</t>
  </si>
  <si>
    <t>massimiliano.zattin@unipd.it</t>
  </si>
  <si>
    <t>Zattin, Massimiliano/A-8943-2012; Sandroni, Sonia/C-7188-2008; talarico, franco/G-9472-2012</t>
  </si>
  <si>
    <t>Sandroni, Sonia/0000-0002-7941-7145; talarico, franco/0000-0002-7254-4301; Zattin, Massimiliano/0000-0002-2265-3921</t>
  </si>
  <si>
    <t>Italian Programma Nazionale di Ricerche in Antartide</t>
  </si>
  <si>
    <t>Italian Programma Nazionale di Ricerche in Antartide(Ministry of Education, Universities and Research (MIUR))</t>
  </si>
  <si>
    <t>The ANDRILL project is a multinational collaboration between the Antarctic Programmes of Germany, Italy, New Zealand and the United States. We would like to thank the whole ANDRILL-SMS Science Team for their contribution while on the ice. This research was carried out with the financial support of the Italian Programma Nazionale di Ricerche in Antartide.</t>
  </si>
  <si>
    <t>0954-4879</t>
  </si>
  <si>
    <t>1365-3121</t>
  </si>
  <si>
    <t>Terr. Nova</t>
  </si>
  <si>
    <t>10.1111/j.1365-3121.2010.00958.x</t>
  </si>
  <si>
    <t>647SD</t>
  </si>
  <si>
    <t>WOS:000281638400007</t>
  </si>
  <si>
    <t>Lev, NP; Yuriy, KK; Vladimir, NZ; Valeriy, PP; Nikolay, MO</t>
  </si>
  <si>
    <t>Lev, Popov N.; Yuriy, Krakovetsky K.; Vladimir, Zakharenko N.; Valeriy, Parnachev P.; Nikolay, Odintsov M.</t>
  </si>
  <si>
    <t>ON REVEALING GEOLOGICAL STRUCTURES BY THE DISTANT METHOD OF IONOSPHERE-TELLURIC PROFILING (BY EXAMPLE OF NORTHERN DISTRICTS OF SIBERIA).</t>
  </si>
  <si>
    <t>TOMSK STATE UNIVERSITY JOURNAL</t>
  </si>
  <si>
    <t>Russian</t>
  </si>
  <si>
    <t>polar lights; terrogenic effects; geological structures; shelf; Norilsky district; Eastern Siberia</t>
  </si>
  <si>
    <t>Authors suggest a new geophysical method of study of the Earth's crust structures. The method is based on the interaction of electromagnetic parameters of the Earth's crust, atmosphere, ionosphere and magnetosphere (terrogenic effect). It was shown that all geosphere covers are links of one multiparametric system with interactive relations. Experimental investigations were fulfilled in the northern districts of Siberia. Data of Russian observatories net and materials of the World Centre of Data B-2 were also used. Maps of the polar lights frequency, projected at the Earth's surface, were made. Zones of the anomalously increased frequency of polar lights were distinguished at these maps. One of the possible reasons in the appearance of these zones is the anisotropy of physical properties of the Earth's surface. The centre of the first anomaly coincides with the Norilsko-Talnachsky sulphide deposit. The second anomalous zone is similar, according to the spatial arrangement in ground coordinates, to the Trans-Asia lineament, which goes from islands of the Northern Land through the Taimir folded region, YeniseiKhatangsky depression within the Siberian platform up to the Baikal. The third group of anomalies traces the joining borders of the Siberian platform with the West-Siberian plate and Yenisei-Khatangsky depression. Zones of anomalous distribution of the polar lights appearance and frequency trace the joining boundaries of large-scale blocks of the Earth's crust. These observations are confirmed by materials of cosmic photo deciphering, deep seismic probing and by data of surface geological investigations. It was determined that the positive anomaly of the polar lights frequency is conditioned by electro-conducting deep structure of the Earth's crust; the mechanism of terrogene effect's formation at the investigated area is inductive. The revealed terrogene effect is proposed to use for the solution of regional geology problems: distant investigations of the global tectonics elements, regional structures, deep seated fractures, concealed under volcanogenic-sedimentary rocks (including traps), under glacial covers, especially in regions of the Arctic and the Antarctic, difficult to access, as well as at the shelves of high-latitudinal seas.</t>
  </si>
  <si>
    <t>[Lev, Popov N.; Yuriy, Krakovetsky K.; Vladimir, Zakharenko N.; Valeriy, Parnachev P.; Nikolay, Odintsov M.] Tomsk State Univ, Tomsk, Russia</t>
  </si>
  <si>
    <t>Tomsk State University</t>
  </si>
  <si>
    <t>Lev, NP (corresponding author), Tomsk State Univ, Tomsk, Russia.</t>
  </si>
  <si>
    <t>dingeo@ggf.tsu.ru; krasnoo@mail.ru; dingeo@ggf.tsu.ru</t>
  </si>
  <si>
    <t>TOMSK STATE UNIV</t>
  </si>
  <si>
    <t>TOMSK</t>
  </si>
  <si>
    <t>LENIN AVE, 36, TOMSK, 634050, RUSSIA</t>
  </si>
  <si>
    <t>1561-7793</t>
  </si>
  <si>
    <t>1561-803X</t>
  </si>
  <si>
    <t>TOMSK STATE UNIV J</t>
  </si>
  <si>
    <t>Tomsk State Univ. J.</t>
  </si>
  <si>
    <t>+</t>
  </si>
  <si>
    <t>V8B1H</t>
  </si>
  <si>
    <t>WOS:000421474800043</t>
  </si>
  <si>
    <t>Andriolo, A; da Rocha, JM; Zerbini, AN; Simoes-Lopes, PC; Moreno, IB; Lucena, A; Danilewicz, D; Bassoi, M</t>
  </si>
  <si>
    <t>Andriolo, Artur; da Rocha, Jesuina M.; Zerbini, Alexandre N.; Simoes-Lopes, Paulo C.; Moreno, Ignacio B.; Lucena, Alineide; Danilewicz, Daniel; Bassoi, Manuela</t>
  </si>
  <si>
    <t>Distribution and relative abundance of large whales in a former whaling ground off eastern South America</t>
  </si>
  <si>
    <t>ZOOLOGIA</t>
  </si>
  <si>
    <t>Bryde's whale; minke whale; sei whale; sperm whale; South Atlantic</t>
  </si>
  <si>
    <t>HUMPBACK WHALES</t>
  </si>
  <si>
    <t>Ship-based sighting surveys for cetaceans were conducted in the former whaling ground off the northeastern coast of Brazil. The cruises took place in winter and spring of 1998-2001 with the objectives of investigating current distribution and abundance of cetaceans, particularly large whale species taken during whaling. In 1998 the survey were conducted between the parallels 5 degrees 30'W and 9 degrees S and the 200 m isobath and the meridian 033 degrees W. A total of about 3,100 nm were surveyed between 1998 and 2001 Surveys were conducted using line transect methods from about 5-10 degrees S, and from the coast to 33 degrees W. A total of 151 sightings (203 individuals) of large whales were recorded on effort. The Antarctic minke whale Balaenoptera bonaerensis (Burmeister, 1867) was the most frequently sighted species (97 groups/132 individuals; Sighting Rate [SR] = 0.031 groups/nm), being recorded only in offshore waters. Density gradually increased from August to October. Minke whales were distributed throughout the area, both to the north and the south of former whaling ground. Sighting data indicate this is the most abundant species, particularly in the area beyond the continental shelf break. Breeding behavior was observed for Antarctic minke whales, but few groups containing calves were recorded (4.3% of the groups sighted on effort). Three other large whale species were recorded in low numbers: the Bryde's whale Balaenoptera edeni (Anderson, 1879)(1), the sei whale, B. borealis (Lesson, 1828), and the sperm, Physeter macrocephalus (Linnaeus, 1758). Sei, Bryde and sperm whales were regularly caught during whaling operations, but are rare in the area, suggesting they were depleted by whaling and have yet to recover to their pre-explotation abundance. In contrast, minke whales are abundant in this area, suggesting that either they were not substantially depleted, or that they have recovered rapidly. Blue whale, Balaenoptera musculus (Linnaeus, 1758), and fin whale, B. physalus (Linnaeus, 1758), not recorded on our surveys, have always been extremely rare in the area.</t>
  </si>
  <si>
    <t>[Andriolo, Artur] Univ Fed Juiz de Fora, Inst Ciencias Biol, Dept Zool, BR-36036330 Juiz De Fora, MG, Brazil; [da Rocha, Jesuina M.] Inst Aqualie, Jacarepagua, RJ, Brazil; [Zerbini, Alexandre N.] NOAA Fisheries, Alaska Fisheries Sci Ctr, Seattle, WA 98115 USA; [Simoes-Lopes, Paulo C.] Univ Fed Santa Catarina, Dept Biol &amp; Zool, LAMAQ, Florianopolis, SC, Brazil; [Moreno, Ignacio B.] Univ Fed Rio Grande do Sul, Dept Zool, Lab Sistemat &amp; Ecol Aves &amp; Mamiferos, BR-91501970 Porto Alegre, RS, Brazil; [Lucena, Alineide] Inst Brasileiro Meio Ambiente &amp; Recursos Nat Reno, BR-11920000 Iguape, SP, Brazil; [Danilewicz, Daniel] Grp Estudos Mamiferos Aquat Rio Grande Sul, BR-90440150 Porto Alegre, RS, Brazil; [Bassoi, Manuela] Univ Fed Rio de Janeiro, Dept Zool, BR-21941590 Rio De Janeiro, Brazil</t>
  </si>
  <si>
    <t>Universidade Federal de Juiz de Fora; National Oceanic Atmospheric Admin (NOAA) - USA; Universidade Federal de Santa Catarina (UFSC); Universidade Federal do Rio Grande do Sul; Universidade Federal do Rio de Janeiro</t>
  </si>
  <si>
    <t>Andriolo, A (corresponding author), Univ Fed Juiz de Fora, Inst Ciencias Biol, Dept Zool, Campus Univ, BR-36036330 Juiz De Fora, MG, Brazil.</t>
  </si>
  <si>
    <t>artur.andriolo@ufjf.edu.br</t>
  </si>
  <si>
    <t>Simões-Lopes, P. C./I-9501-2012; Moreno, Ignacio b/I-3235-2012; Danilewicz, Daniel/O-5024-2014; Zerbini, Alexandre/G-4138-2012; Simões-Lopes, P. C./AAC-8562-2020; Zerbini, Alexandre/ABH-3916-2020; Andriolo, Artur/K-5624-2013</t>
  </si>
  <si>
    <t>Simões-Lopes, P. C./0000-0002-7338-3669; Zerbini, Alexandre/0000-0002-9776-6605; Benites Moreno, Ignacio/0000-0001-9854-6033</t>
  </si>
  <si>
    <t>IBAMA; Ministry of the Environment; Brazilian Navy; National Marine Mammal Laboratory; Cetacean Society International; Conselho Nacional de Desenvolvimento Cientifico e Tecnologico [200285/98-0, 302749/2002-0]; CNPq [140660/2004-6]</t>
  </si>
  <si>
    <t>IBAMA; Ministry of the Environment(Ministry of the Environment, Japan); Brazilian Navy; National Marine Mammal Laboratory; Cetacean Society International; Conselho Nacional de Desenvolvimento Cientifico e Tecnologico(Conselho Nacional de Desenvolvimento Cientifico e Tecnologico (CNPQ)); CNPq(Conselho Nacional de Desenvolvimento Cientifico e Tecnologico (CNPQ))</t>
  </si>
  <si>
    <t>The authors are greatly indebted to the IBAMA's Directors for Ecosystems, Ricardo Soavinski and Luis M. Haddad, to the Chief of the IBAMA's Wildlife Division, Maria I. Bampi, to Fernando Dal'ava, and to the Secretaries of CIRM, Rear-Admirals A.C. da Camara Brandao and L.A. Monclaro de Malafaia. Without their effort, encouragement, and support, this cruise would never be conducted. We would also like to thank Commanders Fernando B. de Oliveira (SECIRM), Altineu P. Miguens (Programa REVIZEE, Ministry of the Environment) and J.C. Feijo (EMA) for their interest and help during the preparation of this cruise. The III Naval District in Natal, the Northeastern Naval Company and the Navy's Directory for Hydrography and Navigation (DHN) provided logistical support. The hospitality and interest of the three ships' (Rbam Alte. Guilhem's, NE Alte. Graca Aranha's and NH 'Sirius') crew, in particular Captains Jose R. de Oliveira (CC), Wesley Cavalheiro (CF), Olavo Barroca Jr (CF); Executive Officer Luiz Torres (CC) and Jose Antonio Mesquita (CC), were greatly appreciated. We also welcome the support from the CIRM's staff and from the IBAMA's staff at Alagoas, Bahia, Pernambuco, Rio Grande do Norte and Sao Paulo. Financial support has been provided by IBAMA, Ministry of the Environment,the Brazilian Navy, the National Marine Mammal Laboratory and Cetacean Society International. A. Zerbini (processo 200285/98-0) and P.C. Simoes-Lopes (302749/2002-0) have been supported by Conselho Nacional de Desenvolvimento Cientifico e Tecnologico. I. Moreno received a scholarship from CNPq (grant #140660/2004-6). We are greatly indebted to the reviewers, they really worked on the manuscript improving its quality. We also thank Salvatore Siciliano, Janice Waite, and Glenn R. VanBlaricon for field participation. Artur Andriolo, Jesuina M. da Rocha, Alexandre N. Zerbini, Paulo C. Simoes-Lopes, and Daniel Danilewicz are members of the Instituto Aqualie, RJ.</t>
  </si>
  <si>
    <t>SOC BRASILEIRA ZOOLOGIA, UNIV FEDERAL PARANA</t>
  </si>
  <si>
    <t>CURITIBA</t>
  </si>
  <si>
    <t>CAIXA POSTAL 19020, CURITIBA, PARANA 81531-980, BRAZIL</t>
  </si>
  <si>
    <t>1984-4689</t>
  </si>
  <si>
    <t>ZOOLOGIA-CURITIBA</t>
  </si>
  <si>
    <t>Zoologia</t>
  </si>
  <si>
    <t>10.1590/S1984-46702010000500011</t>
  </si>
  <si>
    <t>699LX</t>
  </si>
  <si>
    <t>Green Published, gold</t>
  </si>
  <si>
    <t>WOS:000285666000011</t>
  </si>
  <si>
    <t>Mah, C; Nizinski, M; Lundsten, L</t>
  </si>
  <si>
    <t>Mah, Christopher; Nizinski, Martha; Lundsten, Lonny</t>
  </si>
  <si>
    <t>Phylogenetic revision of the Hippasterinae (Goniasteridae; Asteroidea): systematics of deep sea corallivores, including one new genus and three new species</t>
  </si>
  <si>
    <t>ZOOLOGICAL JOURNAL OF THE LINNEAN SOCIETY</t>
  </si>
  <si>
    <t>Arctic; deep-sea coral; deep-sea echinoderm; Evoplosoma; feeding biology; Hippasteria; onshore-offshore; phylogeny; taxonomy</t>
  </si>
  <si>
    <t>CORAL LOPHELIA-PERTUSA; FAUNA; ECHINODERMATA; CALIFORNIA; GULF; BIOGEOGRAPHY; HABITAT; ASSOCIATIONS; COMMUNITIES; PATTERNS</t>
  </si>
  <si>
    <t>The Hippasterinae is a subfamily within the Goniasteridae, consisting of five genera and 26 species, which occur in cold-water settings ranging from subtidal to abyssal depths. All known genera were included in a cladistic analysis resulting in two most parsimonious trees, supporting the Hippasterinae as monophyletic. Our review supports Sthenaster emmae gen. et sp. nov. as a new genus and species from the tropical Atlantic and two new Evoplosoma species, Evoplosoma claguei sp. nov. and Evoplosoma voratus sp. nov. from seamounts in the North Pacific. Hippasteria caribaea is reassigned to the genus Gilbertaster, which previously contained a single Pacific species. Our analysis supports Evoplosoma as a derived deep water lineage relative to its continental-shelf, shallow water sister taxa. The genus Hippasteria contains approximately 15 widely distributed, but similar-looking species, which occur in the northern and southern hemispheres. Except for Gilbertaster, at least one species in each genus has been observed or is inferred to prey on deep-sea corals, suggesting that this lineage is important to the conservation of deep-sea coral habitats. The Hippasterinae shares several morphological similarities with Circeaster and Calliaster, suggesting that they may be related. c 2010 The Linnean Society of London, Zoological Journal of the Linnean Society, 2010, 160, 266- 301. doi: 10.1111/ j. 1096-3642.2010.00638.x</t>
  </si>
  <si>
    <t>[Mah, Christopher] Natl Museum Nat Hist, Smithsonian Inst Invertebrate Zool, Washington, DC 20013 USA; [Nizinski, Martha] Natl Museum Nat Hist, Natl Marine Fisheries Serv, Natl Systemat Lab, Washington, DC 20013 USA; [Lundsten, Lonny] Monterey Bay Aquarium Res Inst, Video Lab, Moss Landing, CA 95039 USA</t>
  </si>
  <si>
    <t>Smithsonian Institution; Smithsonian National Museum of Natural History; Smithsonian Institution; Smithsonian National Museum of Natural History; National Oceanic Atmospheric Admin (NOAA) - USA; Monterey Bay Aquarium Research Institute</t>
  </si>
  <si>
    <t>Mah, C (corresponding author), Natl Museum Nat Hist, Smithsonian Inst Invertebrate Zool, MRC 163,POB 37012, Washington, DC 20013 USA.</t>
  </si>
  <si>
    <t>mahch@si.edu</t>
  </si>
  <si>
    <t>Lundsten, Lonny/0000-0002-7464-7443</t>
  </si>
  <si>
    <t>NOAA Office of Ocean Exploration; NMNH; NSF [0631245]; Directorate For Geosciences; Division Of Polar Programs [0631245] Funding Source: National Science Foundation</t>
  </si>
  <si>
    <t>NOAA Office of Ocean Exploration(National Oceanic Atmospheric Admin (NOAA) - USA); NMNH; NSF(National Science Foundation (NSF)); Directorate For Geosciences; Division Of Polar Programs(National Science Foundation (NSF)NSF - Directorate for Geosciences (GEO))</t>
  </si>
  <si>
    <t>The authors of this study are indebted to Cynthia Gust Ahearn (deceased), collection manager for the NMNH Echinodermata Collection, and Cheryl Ames (UNCW, National Systematics Laboratory, NMFS) for curatorial assistance. Steve Cairns, curator of Coelenterates, NMNH identified the gorgonian spicules. Dave Pawson, Paul Greenhall, and Linda Ward (NMNH) provided additional logistical and technical support. Mary Catherine Boyett (MCZ) prepared the loan of type material from MCZ. David Clague and James Barry (MBARI) made recent collections available. Support for sampling off the south-eastern coast of the US was provided by grants from NOAA Office of Ocean Exploration (S.W. Ross, lead Investigator). The science party, the crew of the R/V Seward Johnson, and the pilots of the Johnson Sea Link are greatly acknowledged for assistance with collection of western Atlantic material. We thank the crew of the R/V Western Flyer and the pilots of the ROV Tiburon for their assistance with Pacific collections as well as the David and Lucile Packard Foundation for support of MBARI. Michael Carlson prepared the map for Atlantic collections in Figure 1. We also thank Christopher Kelley, Hawaiian Undersea Research Laboratory, for making in situ observations available to us. Daniel Blake, University of Illinois at Urbana Champaign, Andy Gale, University of Portsmouth, and an anonymous reviewer provided useful comments that improved the manuscript. C. Mah was supported by the United States Antarctic Research Program at the NMNH and NSF OPP Postdoctoral Fellows grant # 0631245.</t>
  </si>
  <si>
    <t>0024-4082</t>
  </si>
  <si>
    <t>1096-3642</t>
  </si>
  <si>
    <t>ZOOL J LINN SOC-LOND</t>
  </si>
  <si>
    <t>Zool. J. Linn. Soc.</t>
  </si>
  <si>
    <t>10.1111/j.1096-3642.2010.00638.x</t>
  </si>
  <si>
    <t>656HY</t>
  </si>
  <si>
    <t>WOS:000282321100003</t>
  </si>
  <si>
    <t>Lartaud, F; Chauvaud, L; Richard, J; Toulot, A; Bollinger, C; Testut, L; Paulet, YM</t>
  </si>
  <si>
    <t>Lartaud, Franck; Chauvaud, Laurent; Richard, Joelle; Toulot, Aurore; Bollinger, Claire; Testut, Laurent; Paulet, Yves-Marie</t>
  </si>
  <si>
    <t>Experimental growth pattern calibration of Antarctic scallop shells (Adamussium colbecki, Smith 1902) to provide a biogenic archive of high-resolution records of environmental and climatic changes</t>
  </si>
  <si>
    <t>JOURNAL OF EXPERIMENTAL MARINE BIOLOGY AND ECOLOGY</t>
  </si>
  <si>
    <t>Adamussium colbecki; Antarctic scallop; Calcein marking; Growth pattern; LA-ICP-MS</t>
  </si>
  <si>
    <t>ARAGONITIC BIVALVE SHELLS; STABLE-ISOTOPE VARIATION; MOLLUSK CHIONE-CORTEZI; GULF-OF-CALIFORNIA; MYTILUS-EDULIS; SR/CA RATIOS; MERCENARIA-MERCENARIA; CALCIFICATION RATE; TRACE-ELEMENTS; DELTA O-18</t>
  </si>
  <si>
    <t>To determine the potential of Antarctic bivalve shells as biomonitors for environmental and climatic variations in polar marine areas, we developed a growth model for juvenile Adamussium colbecki Smith, 1902 based on the use of in situ temporal calcein markings to calibrate growth patterns in the external striae formation. To minimize scallop stress caused by excessive handling, in situ benthic chambers were used for the marking experiment, during an exposure time of 6 h. Once marked, scallops remained on site in a benthic cage and were collected 18, 26, and 41 days later. Apart from a few specimens affected by possible calcein toxicity effects, the detectable mark in all shells revealed a higher austral summer growth rate for A. colbecki compared to other Antarctic bivalves. Using calcein labeling, we identified a near 14-day periodicity in the striae formation associated with the fortnightly seawater level regime. Striae counting and increment width measurements showed an annual cycle, with no clear cessation of growth in juvenile specimens, allowing age determination. Because of the relatively high growth rate for a polar species and easily recognizable sclerochronological calendar in the shell striae formation, A colbecki is an appropriate species for high-resolution (infra-monthly) geochemical sampling. Comparison between LA-ICP-MS analyses (Li, B, Mg, Mn, Co, Sr, Ba, Pb) from one shell and hydrological parameters (sea level, temperature, salinity) measured in seawater suggests, however, that more work is needed to calibrate the trace element proxies. Nevertheless, the shell of the Antarctic scallop A colbecki has tremendous potential for recording environmental conditions from time periods covering months to a few years in polar waters, notably the ice melting date. (C) 2010 Elsevier B.V. All rights reserved.</t>
  </si>
  <si>
    <t>[Lartaud, Franck] Univ Paris 06, CNRS, Observ Oceanol Banyuls, Lab Ecogeochim Environm Benth LECOB,FRE 3350, F-66650 Banyuls Sur Mer, France; [Lartaud, Franck; Chauvaud, Laurent; Toulot, Aurore; Paulet, Yves-Marie] IUEM UBO, CNRS, Lab Sci Environm Marin LEMAR, UMR 6539, F-29280 Plouzane, France; [Richard, Joelle] British Antarctic Survey, Cambridge CB3 0ET, England; [Bollinger, Claire] IUEM UBO, CNRS, UMR 6538, Lab Domaines Ocean, F-29280 Plouzane, France; [Testut, Laurent] LEGOS OMP, F-31400 Toulouse, France; [Lartaud, Franck] Univ Paris 06, CNRS, UMR 7193, iSTeP,Lab Biomineralisat &amp; Environm Sedimentaires, F-75252 Paris 05, France</t>
  </si>
  <si>
    <t>Sorbonne Universite; Centre National de la Recherche Scientifique (CNRS); Centre National de la Recherche Scientifique (CNRS); Ifremer; Institut de Recherche pour le Developpement (IRD); CNRS - Institute of Ecology &amp; Environment (INEE); Universite de Bretagne Occidentale; UK Research &amp; Innovation (UKRI); Natural Environment Research Council (NERC); NERC British Antarctic Survey; Universite de Bretagne Occidentale; Centre National de la Recherche Scientifique (CNRS); CNRS - National Institute for Earth Sciences &amp; Astronomy (INSU); Universite de Toulouse; Universite Toulouse III - Paul Sabatier; Centre National de la Recherche Scientifique (CNRS); Institut de Recherche pour le Developpement (IRD); Laboratoire d'Etudes en Geophysique et oceanographie spatiales; Sorbonne Universite; Centre National de la Recherche Scientifique (CNRS); CNRS - National Institute for Earth Sciences &amp; Astronomy (INSU)</t>
  </si>
  <si>
    <t>Lartaud, F (corresponding author), Univ Paris 06, CNRS, Observ Oceanol Banyuls, Lab Ecogeochim Environm Benth LECOB,FRE 3350, Ave Fontaule, F-66650 Banyuls Sur Mer, France.</t>
  </si>
  <si>
    <t>franck.lartaud@obs-banyuls.fr</t>
  </si>
  <si>
    <t>Lartaud, Franck/A-8215-2010; Paulet, Yves-Marie/D-4742-2012</t>
  </si>
  <si>
    <t>Lartaud, Franck/0000-0001-7130-2944; Testut, Laurent/0000-0002-3969-2919</t>
  </si>
  <si>
    <t>IUEM; European Institute for Marine Studies (Brest, France); ANR-Blanc (Agence Nationale de la Recherche); Conseil General du Finistere; Natural Environment Research Council [bas0100025] Funding Source: researchfish; NERC [bas0100025] Funding Source: UKRI</t>
  </si>
  <si>
    <t>IUEM; European Institute for Marine Studies (Brest, France); ANR-Blanc (Agence Nationale de la Recherche)(Agence Nationale de la Recherche (ANR)); Conseil General du Finistere(Region Bretagne); Natural Environment Research Council(UK Research &amp; Innovation (UKRI)Natural Environment Research Council (NERC)); NERC(UK Research &amp; Innovation (UKRI)Natural Environment Research Council (NERC))</t>
  </si>
  <si>
    <t>The authors would like to thank all of the scientists at the French Antarctic station Dumont d'Urville and Erwan Amice for their assistance during the dives. This work could not have been accomplished without the hydrographic data from the ROSAME network (Reseau d'Observation Sub-antarctique et Antarctique du niveau de la MEr). We are also grateful to Eric Dabas and Andre Ogor for their help in the use of sclerochronological analysis tools from the LASAA, and the two anonymous reviewers whose comments greatly improved this manuscript. This study was supported financially by the MACARBI (Monitoring environnemental en Antarctique base sur l'etude des structures CARbonatees de Bivalves) project of the IUEM, the European Institute for Marine Studies (Brest, France), by the French program ANR-Blanc (Agence Nationale de la Recherche - CHIVAS project), and by the Conseil General du Finistere. We also thank Jean-Luc Dianville and Manuel Cabrere, Aqualung Corp., Carros France, for their valuable technical assistance (SCUBA diving). [RH]</t>
  </si>
  <si>
    <t>0022-0981</t>
  </si>
  <si>
    <t>1879-1697</t>
  </si>
  <si>
    <t>J EXP MAR BIOL ECOL</t>
  </si>
  <si>
    <t>J. Exp. Mar. Biol. Ecol.</t>
  </si>
  <si>
    <t>SEP 30</t>
  </si>
  <si>
    <t>1-2</t>
  </si>
  <si>
    <t>10.1016/j.jembe.2010.07.016</t>
  </si>
  <si>
    <t>Ecology; Marine &amp; Freshwater Biology</t>
  </si>
  <si>
    <t>Environmental Sciences &amp; Ecology; Marine &amp; Freshwater Biology</t>
  </si>
  <si>
    <t>657ER</t>
  </si>
  <si>
    <t>WOS:000282396500020</t>
  </si>
  <si>
    <t>Ptitsyn, A; Schlater, A; Kanatous, S</t>
  </si>
  <si>
    <t>Ptitsyn, Andrey; Schlater, Amber; Kanatous, Shane</t>
  </si>
  <si>
    <t>Transformation of metabolism with age and lifestyle in Antarctic seals: a case study of systems biology approach to cross-species microarray experiment</t>
  </si>
  <si>
    <t>BMC SYSTEMS BIOLOGY</t>
  </si>
  <si>
    <t>CDNA MICROARRAY; GENE-EXPRESSION; HYBRIDIZATION; DOLPHIN</t>
  </si>
  <si>
    <t>Background: The metabolic transformation that changes Weddell seal pups born on land into aquatic animals is not only interesting for the study of general biology, but it also provides a model for the acquired and congenital muscle disorders which are associated with oxygen metabolism in skeletal muscle. However, the analysis of gene expression in seals is hampered by the lack of specific microarrays and the very limited annotation of known Weddell seal (Leptonychotes weddellii) genes. Results: Muscle samples from newborn, juvenile, and adult Weddell seals were collected during an Antarctic expedition. Extracted RNA was hybridized on Affymetrix Human Expression chips. Preliminary studies showed a detectable signal from at least 7000 probe sets present in all samples and replicates. Relative expression levels for these genes was used for further analysis of the biological pathways implicated in the metabolism transformation which occurs in the transition from newborn, to juvenile, to adult seals. Cytoskeletal remodeling, WNT signaling, FAK signaling, hypoxia-induced HIF1 activation, and insulin regulation were identified as being among the most important biological pathways involved in transformation. Conclusion: In spite of certain losses in specificity and sensitivity, the cross-species application of gene expression microarrays is capable of solving challenging puzzles in biology. A Systems Biology approach based on gene interaction patterns can compensate adequately for the lack of species-specific genomics information.</t>
  </si>
  <si>
    <t>[Schlater, Amber; Kanatous, Shane] Colorado State Univ, Dept Biol, Ft Collins, CO 80523 USA; [Ptitsyn, Andrey] Colorado State Univ, Ctr Bioinformat, Ft Collins, CO 80523 USA</t>
  </si>
  <si>
    <t>Colorado State University; Colorado State University</t>
  </si>
  <si>
    <t>Kanatous, S (corresponding author), Colorado State Univ, Dept Biol, Ft Collins, CO 80523 USA.</t>
  </si>
  <si>
    <t>shane.kanatous@colostate.edu</t>
  </si>
  <si>
    <t>Ptitsyn, Andrey/0000-0003-1196-8757</t>
  </si>
  <si>
    <t>NSF [OPP-0440713]</t>
  </si>
  <si>
    <t>Erin Petrilli Microarray Facility Colorado State University, Field teams: Rebecca R. Watson, Thomas J. Hawke, Stephen J. Trumble, Allyson Hindle, Joseph W. Davis, Shawn R Noren, Linnea E. Pearson and all the personnel at Raytheon Polar services for their outstanding support. This work was partially supported by NSF Office of Polar Programs grants (OPP-0440713).</t>
  </si>
  <si>
    <t>1752-0509</t>
  </si>
  <si>
    <t>BMC SYST BIOL</t>
  </si>
  <si>
    <t>BMC Syst. Biol.</t>
  </si>
  <si>
    <t>SEP 29</t>
  </si>
  <si>
    <t>10.1186/1752-0509-4-133</t>
  </si>
  <si>
    <t>Mathematical &amp; Computational Biology</t>
  </si>
  <si>
    <t>668YH</t>
  </si>
  <si>
    <t>WOS:000283311700001</t>
  </si>
  <si>
    <t>Sigmond, M; Fyfe, JC</t>
  </si>
  <si>
    <t>Sigmond, M.; Fyfe, J. C.</t>
  </si>
  <si>
    <t>Has the ozone hole contributed to increased Antarctic sea ice extent?</t>
  </si>
  <si>
    <t>ATMOSPHERE</t>
  </si>
  <si>
    <t>Since the 1970s sea ice extent has decreased dramatically in the Northern Hemisphere and increased slightly in the Southern Hemisphere, a difference that is potentially explained by ozone depletion in the Southern Hemisphere stratosphere. In this study we consider the impact of stratospheric ozone depletion on Antarctic sea ice extent using a climate model forced with observed stratospheric ozone depletion from 1979 to 2005. Contrary to expectations, our model simulates a year-round decrease in Antarctic sea ice due to stratospheric ozone depletion. The largest percentage sea ice decrease in our model occurs in the austral summer near the coast of Antarctica, due to a mechanism involving offshore Ekman sea ice transport. The largest absolute decrease is simulated in the austral winter away from the coast of Antarctica, in response to an ocean warming that is consistent with a poleward shift of the large-scale pattern of sea surface temperature. Our model results strongly suggest that processes not linked to stratospheric ozone depletion must be invoked to explain the observed increase in Antarctic sea ice extent. Citation: Sigmond, M., and J. C. Fyfe (2010), Has the ozone hole contributed to increased Antarctic sea ice extent?, Geophys. Res. Lett., 37, L18502, doi:10.1029/2010GL044301.</t>
  </si>
  <si>
    <t>[Sigmond, M.] Univ Toronto, Dept Phys, Toronto, ON M5S 1A7, Canada; [Fyfe, J. C.] Univ Victoria, Canadian Ctr Climate Modelling &amp; Anal, Environm Canada, Victoria, BC V8W 3V6, Canada</t>
  </si>
  <si>
    <t>University of Toronto; Environment &amp; Climate Change Canada; Canadian Centre for Climate Modelling &amp; Analysis (CCCma); University of Victoria</t>
  </si>
  <si>
    <t>Sigmond, M (corresponding author), Univ Toronto, Dept Phys, 60 St George St, Toronto, ON M5S 1A7, Canada.</t>
  </si>
  <si>
    <t>sigmond@atmosp.physics.utoronto.ca</t>
  </si>
  <si>
    <t>Sigmond, Michael/K-3169-2012; Sigmond, Michael/Q-7202-2019</t>
  </si>
  <si>
    <t>Sigmond, Michael/0000-0003-2191-9756</t>
  </si>
  <si>
    <t>Canadian Foundation for Climate and Atmospheric Sciences</t>
  </si>
  <si>
    <t>MS is a member of the CSPARC network, and gratefully acknowledges the support of the Canadian Foundation for Climate and Atmospheric Sciences. We thank Greg Flato, Bill Merryfield, Nathan Gillett, Marc D'Orgeville and two anonymous reviewers for their insightful comments.</t>
  </si>
  <si>
    <t>L18502</t>
  </si>
  <si>
    <t>10.1029/2010GL044301</t>
  </si>
  <si>
    <t>657SF</t>
  </si>
  <si>
    <t>WOS:000282431900002</t>
  </si>
  <si>
    <t>Kissel, C; Laj, C; Kienast, M; Bolliet, T; Holbourn, A; Hill, P; Kuhnt, W; Braconnot, P</t>
  </si>
  <si>
    <t>Kissel, Catherine; Laj, Carlo; Kienast, Markus; Bolliet, Timothe; Holbourn, Ann; Hill, Paul; Kuhnt, Wolfgang; Braconnot, Pascale</t>
  </si>
  <si>
    <t>Monsoon variability and deep oceanic circulation in the western equatorial Pacific over the last climatic cycle: Insights from sedimentary magnetic properties and sortable silt</t>
  </si>
  <si>
    <t>PALEOCEANOGRAPHY</t>
  </si>
  <si>
    <t>GRAIN-SIZE; WATER; CORE; MINDANAO; SOUTH; FLOW</t>
  </si>
  <si>
    <t>Magnetic and grain size properties of a sediment core located in the western equatorial Pacific, off the southeastern tip of the Philippine island of Mindanao, are presented in an effort to reconstruct past changes in the East Asian Monsoon and deep ocean circulation during the last 160 kyrs. The sedimentary concentration of magnetic particles, interpreted to reflect past changes in runoff from Mindanao, varies almost in antiphase with Northern Hemisphere insolation. This suggests that precipitation was lower in the western equatorial Pacific region during boreal insolation maxima and thus corroborates model results showing opposing trends in precipitation between land and the marine realm there. Variations in the grain size distribution of the inorganic sediment fraction, as recorded by both the sortable silt mean size and the magnetic grain size, provide a monitor of changes in sediment reworking by bottom currents. The close correlation of this proxy of bottom current strength and the benthic delta O-18 record from the same site implies a tight coupling between deep water flow, most likely Antarctic Intermediate Water (AAIW), and global climate.</t>
  </si>
  <si>
    <t>[Kissel, Catherine; Laj, Carlo; Braconnot, Pascale] CEA CNRS UVSQ, Lab Sci Climat &amp; Environm, F-91198 Gif Sur Yvette, France; [Bolliet, Timothe; Holbourn, Ann; Kuhnt, Wolfgang] Univ Kiel, Inst Geowissensch, D-24118 Kiel, Germany; [Kienast, Markus; Hill, Paul] Dalhousie Univ, Dept Oceanog, Halifax, NS B3H 4R2, Canada</t>
  </si>
  <si>
    <t>CEA; Centre National de la Recherche Scientifique (CNRS); Universite Paris Saclay; University of Kiel; Dalhousie University</t>
  </si>
  <si>
    <t>Kissel, C (corresponding author), CEA CNRS UVSQ, Lab Sci Climat &amp; Environm, Ave Terrasse, F-91198 Gif Sur Yvette, France.</t>
  </si>
  <si>
    <t>Catherine.Kissel@lsce.ipsl.fr</t>
  </si>
  <si>
    <t>Catherine, Kissel/0000-0002-2572-2742; Holbourn, Ann/0000-0002-3167-0862; Hill, Paul/0000-0001-6904-9310</t>
  </si>
  <si>
    <t>French Atomic Energy Commission; Centre National de la Recherche Scientifique; NSERC Canada; Canadian Institute for Advanced Research (CIFAR); German Research Foundation (DFG) [Ku649/26-1]</t>
  </si>
  <si>
    <t>French Atomic Energy Commission(French Atomic Energy Commission); Centre National de la Recherche Scientifique(Centre National de la Recherche Scientifique (CNRS)); NSERC Canada(Natural Sciences and Engineering Research Council of Canada (NSERC)); Canadian Institute for Advanced Research (CIFAR)(Canadian Institute for Advanced Research (CIFAR)); German Research Foundation (DFG)(German Research Foundation (DFG))</t>
  </si>
  <si>
    <t>We are very grateful to the crew of the R. V. Marion Dufresne, who helped us a lot during the cruise under the command of Captain J. P. Hedrich. We also thank all the team from the French Polar Institute (IPEV). This cruise is part of the IMAGES program. We are grateful to Camille Wandres (LSCE), who helped with the measurements of the magnetic properties, and to Aurelie Van Toer (LSCE) for her participation to the sortable silt measurements. A. Hill and A. Roy (Dalhousie University) helped with the grain size analyses. U. Rohl and colleagues at Marum (Bremen University) gave valuable advice for using their Avaatech XRF scanner. Ph. Robion (Universite de Cergy) helped with the statistical treatment of the magnetic anisotropy data. We are grateful to L. Vigliotti and an anonymous reviewer for their advices to improve the manuscript. Funds for laboratory analyses in France were provided by the French Atomic Energy Commission and the Centre National de la Recherche Scientifique. Analytical work at Dalhousie was funded by NSERC Canada and the Canadian Institute for Advanced Research (CIFAR). In Germany, analyses were funded by the German Research Foundation (DFG) through the grant Ku649/26-1. This is LSCE contribution 4201.</t>
  </si>
  <si>
    <t>0883-8305</t>
  </si>
  <si>
    <t>1944-9186</t>
  </si>
  <si>
    <t>Paleoceanography</t>
  </si>
  <si>
    <t>PA3215</t>
  </si>
  <si>
    <t>10.1029/2010PA001980</t>
  </si>
  <si>
    <t>Geosciences, Multidisciplinary; Oceanography; Paleontology</t>
  </si>
  <si>
    <t>Geology; Oceanography; Paleontology</t>
  </si>
  <si>
    <t>657TK</t>
  </si>
  <si>
    <t>WOS:000282435700001</t>
  </si>
  <si>
    <t>Irvine, PJ; Ridgwell, A; Lunt, DJ</t>
  </si>
  <si>
    <t>Irvine, Peter J.; Ridgwell, Andy; Lunt, Daniel J.</t>
  </si>
  <si>
    <t>Assessing the regional disparities in geoengineering impacts</t>
  </si>
  <si>
    <t>STRATOSPHERIC SULFUR INJECTIONS; CLIMATE; EARTH</t>
  </si>
  <si>
    <t>Solar Radiation Management (SRM) Geoengineering may ameliorate many consequences of global warming but also has the potential to drive regional climates outside the envelope of greenhouse-gas induced warming, creating 'novel' conditions, and could affect precipitation in some regions disproportionably. Here, using a fully coupled climate model we explore some new methodologies for assessing regional disparities in geoengineering impacts. Taking a 4 x CO2 climate and an idealized 'sunshade' SRM strategy, we consider different fractions of the maximum theoretical, 4 x CO2-cancelling global mean cooling. Whilst regional predictions in particularly relatively low resolution global climate models must be treated with caution, our simulations indicate that it might be possible to identify a level of SRM geoengineering capable of meeting multiple targets, such as maintaining a stable mass balance of the Greenland ice sheet and cooling global climate, but without reducing global precipitation below pre-industrial or exposing significant fractions of the Earth to 'novel' climate conditions. Citation: Irvine, P. J., A. Ridgwell, and D. J. Lunt (2010), Assessing the regional disparities in geoengineering impacts, Geophys. Res. Lett., 37, L18702, doi:10.1029/2010GL044447.</t>
  </si>
  <si>
    <t>[Irvine, Peter J.; Ridgwell, Andy; Lunt, Daniel J.] Univ Bristol, Bristol Res Initiat Dynam Global Environm, Sch Geog Sci, Bristol BS8 1SS, Avon, England; [Lunt, Daniel J.] British Antarctic Survey, Cambridge CB3 0ET, England</t>
  </si>
  <si>
    <t>University of Bristol; UK Research &amp; Innovation (UKRI); Natural Environment Research Council (NERC); NERC British Antarctic Survey</t>
  </si>
  <si>
    <t>Irvine, PJ (corresponding author), Univ Bristol, Bristol Res Initiat Dynam Global Environm, Sch Geog Sci, Bristol BS8 1SS, Avon, England.</t>
  </si>
  <si>
    <t>Ridgwell, Andy/AAD-9487-2021; Irvine, Peter/E-4799-2012; Lunt, Daniel/G-9451-2011</t>
  </si>
  <si>
    <t>Ridgwell, Andy/0000-0003-2333-0128; Irvine, Peter/0000-0002-5469-1543; Lunt, Daniel/0000-0003-3585-6928</t>
  </si>
  <si>
    <t>NERC; Royal Society; British Antarctic Survey; RCUK; NERC [bas0100026] Funding Source: UKRI; Natural Environment Research Council [bas0100026] Funding Source: researchfish</t>
  </si>
  <si>
    <t>NERC(UK Research &amp; Innovation (UKRI)Natural Environment Research Council (NERC)); Royal Society(Royal Society); British Antarctic Survey; RCUK(UK Research &amp; Innovation (UKRI)); NERC(UK Research &amp; Innovation (UKRI)Natural Environment Research Council (NERC)); Natural Environment Research Council(UK Research &amp; Innovation (UKRI)Natural Environment Research Council (NERC))</t>
  </si>
  <si>
    <t>P.I. is funded on a NERC Ph.D. studentship. A.R. acknowledges support from The Royal Society in the form of a university research fellowship. D.L. acknowledges funding from the British Antarctic Survey and from the RCUK in the form of a research fellowship.</t>
  </si>
  <si>
    <t>SEP 28</t>
  </si>
  <si>
    <t>L18702</t>
  </si>
  <si>
    <t>10.1029/2010GL044447</t>
  </si>
  <si>
    <t>657RZ</t>
  </si>
  <si>
    <t>WOS:000282431300006</t>
  </si>
  <si>
    <t>Kunasek, SA; Alexander, B; Steig, EJ; Sofen, ED; Jackson, TL; Thiemens, MH; McConnell, JR; Gleason, DJ; Amos, HM</t>
  </si>
  <si>
    <t>Kunasek, S. A.; Alexander, B.; Steig, E. J.; Sofen, E. D.; Jackson, T. L.; Thiemens, M. H.; McConnell, J. R.; Gleason, D. J.; Amos, H. M.</t>
  </si>
  <si>
    <t>Sulfate sources and oxidation chemistry over the past 230 years from sulfur and oxygen isotopes of sulfate in a West Antarctic ice core</t>
  </si>
  <si>
    <t>DRONNING MAUD LAND; TROPOSPHERIC OZONE; ATMOSPHERIC SULFUR; SNOW CHEMISTRY; AEROSOL; SEA; FRACTIONATION; PREINDUSTRIAL; COASTAL; METHANESULFONATE</t>
  </si>
  <si>
    <t>The sulfur and oxygen isotopic composition of sulfate in polar ice cores provides information about atmospheric sulfate sources and formation pathways, which have been impacted regionally by human activity over the past several centuries. We present decadal scale mean ice core measurements of Delta O-17, delta S-34, Delta S-33, and Delta S-36 of sulfate over the past 230 years from the West Antarctic Ice Sheet (WAIS) Divide deep ice core drill site (WDC05-A). The low mean delta S-34 of non-sea-salt sulfate at WAIS Divide (6.0 +/- 0.2 parts per thousand) relative to East Antarctic coastal and plateau sites may reflect a combination of stronger influence of volcanogenic and/or stratospheric sulfate with low delta S-34 and the influence of frost flowers on the sea-salt sulfate-to-sodium ratio. Delta S-33 and Delta S-36 measurements are all within analytical uncertainty of zero but do not contradict a contribution of stratospheric sources to background sulfate deposition at WAIS Divide. Delta O-17 of non-sea-salt sulfate shows a small but significant increase between the late 1700s (1.8 parts per thousand +/- 0.2 parts per thousand) and late 1800s (2.6 parts per thousand +/- 0.2 parts per thousand), but the influence of stratospheric scale volcanic events on Delta O-17 in the early 1800s remains uncertain. An isotope mass balance model shows that the lack of change in Delta O-17 of non-sea-salt sulfate from the mid-1800s to early 2000s (2.4 parts per thousand-2.6 parts per thousand +/- 0.2 parts per thousand) is consistent with previous atmospheric chemistry model estimates indicating preindustrial to industrial increases in O-3 as high as 50% and decreases in OH of 20% in the southern polar troposphere, as long as H2O2 concentrations also increase by over 50%.</t>
  </si>
  <si>
    <t>[Kunasek, S. A.; Steig, E. J.; Gleason, D. J.] Univ Washington, Dept Earth &amp; Space Sci, Seattle, WA 98195 USA; [Alexander, B.; Sofen, E. D.; Amos, H. M.] Univ Washington, Dept Atmospher Sci, Seattle, WA 98195 USA; [Jackson, T. L.; Thiemens, M. H.] Univ Calif San Diego, Dept Chem &amp; Biochem, La Jolla, CA 92093 USA; [McConnell, J. R.] Desert Res Inst, Reno, NV 89512 USA</t>
  </si>
  <si>
    <t>University of Washington; University of Washington Seattle; University of Washington; University of Washington Seattle; University of California System; University of California San Diego; Nevada System of Higher Education (NSHE); Desert Research Institute NSHE</t>
  </si>
  <si>
    <t>Kunasek, SA (corresponding author), Univ Washington, Dept Earth &amp; Space Sci, Johnson Hall Rm 070,Box 351310,4000 15th Ave NE, Seattle, WA 98195 USA.</t>
  </si>
  <si>
    <t>Alexander, Becky/N-7048-2013; /G-9088-2015</t>
  </si>
  <si>
    <t>Alexander, Becky/0000-0001-9915-4621; Sofen, Eric/0000-0002-4495-2148; /0000-0002-8191-5549</t>
  </si>
  <si>
    <t>NSF [OPP-0538049, 0538520, 0538427, 0440817, 0230396]; Directorate For Geosciences; Division Of Polar Programs [0440817] Funding Source: National Science Foundation; Directorate For Geosciences; Division Of Polar Programs [0230396] Funding Source: National Science Foundation; Office of Polar Programs (OPP); Directorate For Geosciences [0944348, 0538520, 0538427, 0839093] Funding Source: National Science Foundation</t>
  </si>
  <si>
    <t>NSF(National Science Foundation (NSF)); Directorate For Geosciences; Division Of Polar Programs(National Science Foundation (NSF)NSF - Directorate for Geosciences (GEO)); Directorate For Geosciences; Division Of Polar Programs(National Science Foundation (NSF)NSF - Directorate for Geosciences (GEO)); Office of Polar Programs (OPP); Directorate For Geosciences(National Science Foundation (NSF)NSF - Directorate for Geosciences (GEO))</t>
  </si>
  <si>
    <t>We acknowledge financial support from NSF awards OPP-0538049, 0538520, and 0538427. We thank Michael Town, Joel Savarino, Samuel Morin, and Jessica Lundin for assistance interpreting the isotopic records, Peter Neff for assistance with ice core processing at the University of Washington, and Ross Edwards, Ryan Banta, and Tommy Cox for laboratory assistance at the Desert Research Institute in Reno, Nevada. We appreciate the support of the WAIS Divide Science Coordination Office at the Desert Research Institute for the collection and distribution of the WAIS Divide ice core and related tasks (Kendrick Taylor, NSF grants 0440817 and 0230396). We also acknowledge additional support provided by the NSF Office of Polar Programs, including: the Ice Drilling Program Office and Ice Drilling Design and Operations group for coring activities; Raytheon Polar Services for logistics support in Antarctica; the 109th New York Air National Guard for airlift in Antarctica; and the National Ice Core Laboratory for archiving the core and organizing core processing.</t>
  </si>
  <si>
    <t>D18313</t>
  </si>
  <si>
    <t>10.1029/2010JD013846</t>
  </si>
  <si>
    <t>658RJ</t>
  </si>
  <si>
    <t>WOS:000282506800007</t>
  </si>
  <si>
    <t>Li, FY; Ginoux, P; Ramaswamy, V</t>
  </si>
  <si>
    <t>Li, Fuyu; Ginoux, Paul; Ramaswamy, V.</t>
  </si>
  <si>
    <t>Transport of Patagonian dust to Antarctica</t>
  </si>
  <si>
    <t>ICE CORES; DOME-C; CLIMATE; VOSTOK</t>
  </si>
  <si>
    <t>The transport of Patagonian dust to Antarctica is investigated by using the Geophysical Fluid Dynamics Laboratory Atmospheric Model with online aerosol, in combination with trajectory analysis and satellite observations. The southern coastal region of northern Patagonia and the San Julian's Great depression are identified as major sources in Patagonia. Trajectory analysis indicates that only 13%-20% of air masses from Patagonia reach Antarctica within 10 days, with 1/4 and 3/4 going to West and East Antarctica, respectively. Almost twice as many trajectories from the San Julian's Great Depression reach Antarctica compared to the more northern Patagonian source. It takes similar to 7 days for Patagonian dust to be transported to East Antarctica, and 4-5 days to West Antarctica. The transport to East Antarctica is driven by the low-pressure systems moving eastward in the subpolar low-pressure zone, whereas a dust event going directly southward to West Antarctica typically happens when a high-pressure system blocks the depressions moving through the Drake Passage. Demonstrating these features, respectively, by following the journey of two typical dust plumes from Patagonia to East and West Antarctica, this study clarifies how climatic factors may affect the amount of dust reaching the Antarctic surface.</t>
  </si>
  <si>
    <t>[Ginoux, Paul; Ramaswamy, V.] NOAA, Geophys Fluid Dynam Lab, Princeton, NJ 08540 USA; [Li, Fuyu] Princeton Univ, Program Atmospher &amp; Ocean Sci, Princeton, NJ 08544 USA</t>
  </si>
  <si>
    <t>National Oceanic Atmospheric Admin (NOAA) - USA; National Oceanic Atmospheric Admin (NOAA) - USA; Princeton University</t>
  </si>
  <si>
    <t>Li, FY (corresponding author), Univ Calif Berkeley, Lawrence Berkeley Lab, 1 Cyclotron Rd,Mail Stop 90R1116, Berkeley, CA 94720 USA.</t>
  </si>
  <si>
    <t>fli@lbl.gov</t>
  </si>
  <si>
    <t>Ginoux, Paul/C-2326-2008; Li, Fuyu/B-9055-2013; Ramaswamy, Venkatachalam/AAJ-6265-2021</t>
  </si>
  <si>
    <t>Ramaswamy, Venkatachalam/0000-0002-1984-6423; Ginoux, Paul/0000-0003-3642-2988</t>
  </si>
  <si>
    <t>NASA [NESSF07]</t>
  </si>
  <si>
    <t>This work is supported by NASA Earth and Space Science Fellowship (NESSF07). The authors gratefully acknowledge the NOAA Air Resources Laboratory (ARL) for the provision of HYSPLIT and/or the READY Web site (http://www.arl.noaa.gov/ready.html) used in this publication. We thank the reviewers who helped to improve the quality of this paper. We acknowledge the mission scientists and principal investigators who provided the satellite data used in this research effort. CALIPSO data were obtained from the NASA Langley Research Center Atmospheric Science Data Center (ASDC) via online Web orders. MODIS and OMI data were obtained from the Goddard Earth Sciences Data and Information Services Center.</t>
  </si>
  <si>
    <t>D18217</t>
  </si>
  <si>
    <t>10.1029/2009JD012356</t>
  </si>
  <si>
    <t>WOS:000282506800001</t>
  </si>
  <si>
    <t>Kosch, MJ; Anderson, C; Yiu, HCI; Kellerman, AC; Makarevich, RA; Aruliah, A; Conde, M; Griffin, E; Davies, T; McWhirter, I; Dyson, PL</t>
  </si>
  <si>
    <t>Kosch, M. J.; Anderson, C.; Yiu, H. -C. I.; Kellerman, A. C.; Makarevich, R. A.; Aruliah, A.; Conde, M.; Griffin, E.; Davies, T.; McWhirter, I.; Dyson, P. L.</t>
  </si>
  <si>
    <t>First observations of simultaneous interhemispheric conjugate high-latitude thermospheric winds</t>
  </si>
  <si>
    <t>JOURNAL OF GEOPHYSICAL RESEARCH-SPACE PHYSICS</t>
  </si>
  <si>
    <t>INTERPLANETARY MAGNETIC-FIELD; FABRY-PEROT SPECTROMETER; HF RADAR OBSERVATIONS; IONOSPHERIC CONVECTION; DYNAMICS EXPLORER-2; POLAR THERMOSPHERE; SOUTHERN HEMISPHERES; NEUTRAL CIRCULATION; SPATIAL STRUCTURE; B-Y</t>
  </si>
  <si>
    <t>We report the first observations of simultaneous high-latitude interhemispheric F region neutral wind fields by combining the 630 nm optical measurements from two scanning Doppler imagers (SDIs) and three Fabry-Perot interferometers (FPIs) for a period exceeding 5 h. From the Southern Hemisphere, a SDI at Mawson and a FPI at Davis, both in Antarctica, are geomagnetically mapped onto the Northern Hemisphere. These data are combined in the Northern Hemisphere with a SDI at Longyearbyen, Svalbard, and two FPIs near Kiruna in Sweden and Sodankyla in Finland. Geomagnetic conditions were moderate (Kp = 3(-)-3(+)) and steady although the interplanetary magnetic field B-z component did change polarity several times. There is good agreement between the conjugate 630 nm optical intensities and wind vectors where the two SDIs' fields of view overlap. All wind field vectors are overlaid onto the northern Super Dual Auroral Radar Network ion convection contours. Qualitatively, the agreement between neutral and ion flow is remarkably good throughout the study interval, even down to mesoscale spatial size.</t>
  </si>
  <si>
    <t>[Kosch, M. J.] Univ Lancaster, Dept Commun Syst, Lancaster LA1 4WA, England; [Anderson, C.; Kellerman, A. C.; Makarevich, R. A.; Davies, T.; Dyson, P. L.] La Trobe Univ, Dept Phys, Melbourne, Vic 3086, Australia; [Yiu, H. -C. I.; Aruliah, A.; Griffin, E.; McWhirter, I.] Univ London Univ Coll, Dept Phys &amp; Astron, London WC1E 6BT, England; [Conde, M.] Univ Alaska, Inst Geophys, Fairbanks, AK 99775 USA</t>
  </si>
  <si>
    <t>Lancaster University; La Trobe University; University of London; University College London; University of Alaska System; University of Alaska Fairbanks</t>
  </si>
  <si>
    <t>Kosch, MJ (corresponding author), Univ Lancaster, Dept Commun Syst, Infolab 21, Lancaster LA1 4WA, England.</t>
  </si>
  <si>
    <t>m.kosch@lancaster.ac.uk</t>
  </si>
  <si>
    <t>Makarevich, Roman/H-4542-2013; Kellerman, Adam/AEX-6248-2022</t>
  </si>
  <si>
    <t>Kellerman, Adam/0000-0002-2315-936X; Kosch, Michael Jurgen/0000-0003-2846-3915</t>
  </si>
  <si>
    <t>Australian Research Council [DP0557369]; Australian Antarctic Science Program; La Trobe University Institute of Advanced Study; STFC [PP/C50165X/1]; Science and Technology Facilities Council [ST/F003005/1, PP/E007929/1] Funding Source: researchfish; STFC [ST/F003005/1, PP/E007929/1] Funding Source: UKRI; Australian Research Council [DP0557369] Funding Source: Australian Research Council</t>
  </si>
  <si>
    <t>Australian Research Council(Australian Research Council); Australian Antarctic Science Program; La Trobe University Institute of Advanced Study; STFC(UK Research &amp; Innovation (UKRI)Science &amp; Technology Facilities Council (STFC)); Science and Technology Facilities Council(UK Research &amp; Innovation (UKRI)Science &amp; Technology Facilities Council (STFC)); STFC(UK Research &amp; Innovation (UKRI)Science &amp; Technology Facilities Council (STFC)); Australian Research Council(Australian Research Council)</t>
  </si>
  <si>
    <t>Operation of the SuperDARN radars in the northern hemisphere is supported by the national funding agencies of Canada, France, Japan, the United Kingdom, and the United States. C. Down is thanked for his assistance in producing the SuperDARN convection plots. The SPDF/Modelweb, available at http://modelweb.gsfc.nasa.gov/models/cgm/cgm.html, was used to generate the conjugate mapping, geomagnetic coordinates, and magnetic local times. The OVATION tool, available at http://sd-www.jhuapl.edu/Aurora/ovation/guidelines.html and developed by Johns Hopkins University/Applied Physics Laboratory, was used to determine open-closed field line boundary. IMF data are supported by the NASA/ACE program. This research was also supported by the Australian Research Council's Discovery Project DP0557369 and by the Australian Antarctic Science Program. M.J.K. was the recipient of a La Trobe University Institute of Advanced Study Distinguished Visiting Fellowship. The Longyearbyen SDI was funded by the STFC grant PP/C50165X/1.</t>
  </si>
  <si>
    <t>2169-9380</t>
  </si>
  <si>
    <t>2169-9402</t>
  </si>
  <si>
    <t>J GEOPHYS RES-SPACE</t>
  </si>
  <si>
    <t>J. Geophys. Res-Space Phys.</t>
  </si>
  <si>
    <t>A09328</t>
  </si>
  <si>
    <t>10.1029/2009JA015178</t>
  </si>
  <si>
    <t>658TT</t>
  </si>
  <si>
    <t>WOS:000282513000006</t>
  </si>
  <si>
    <t>Champlot, S; Berthelot, C; Pruvost, M; Bennett, EA; Grange, T; Geigl, EM</t>
  </si>
  <si>
    <t>Champlot, Sophie; Berthelot, Camille; Pruvost, Melanie; Bennett, E. Andrew; Grange, Thierry; Geigl, Eva-Maria</t>
  </si>
  <si>
    <t>An Efficient Multistrategy DNA Decontamination Procedure of PCR Reagents for Hypersensitive PCR Applications</t>
  </si>
  <si>
    <t>PLOS ONE</t>
  </si>
  <si>
    <t>REAL-TIME PCR; CHAIN-REACTION REAGENTS; CONTAMINATING DNA; FALSE-POSITIVES; SINGLE-STRAND; RIBOSOMAL DNA; POLYMERASE; AMPLIFICATION; IRRADIATION; SEQUENCE</t>
  </si>
  <si>
    <t>Background: PCR amplification of minute quantities of degraded DNA for ancient DNA research, forensic analyses, wildlife studies and ultrasensitive diagnostics is often hampered by contamination problems. The extent of these problems is inversely related to DNA concentration and target fragment size and concern (i) sample contamination, (ii) laboratory surface contamination, (iii) carry-over contamination, and (iv) contamination of reagents. Methodology/Principal Findings: Here we performed a quantitative evaluation of current decontamination methods for these last three sources of contamination, and developed a new procedure to eliminate contaminating DNA contained in PCR reagents. We observed that most current decontamination methods are either not efficient enough to degrade short contaminating DNA molecules, rendered inefficient by the reagents themselves, or interfere with the PCR when used at doses high enough to eliminate these molecules. We also show that efficient reagent decontamination can be achieved by using a combination of treatments adapted to different reagent categories. Our procedure involves c-and UV-irradiation and treatment with a mutant recombinant heat-labile double-strand specific DNase from the Antarctic shrimp Pandalus borealis. Optimal performance of these treatments is achieved in narrow experimental conditions that have been precisely analyzed and defined herein. Conclusions/Significance: There is not a single decontamination method valid for all possible contamination sources occurring in PCR reagents and in the molecular biology laboratory and most common decontamination methods are not efficient enough to decontaminate short DNA fragments of low concentration. We developed a versatile multistrategy decontamination procedure for PCR reagents. We demonstrate that this procedure allows efficient reagent decontamination while preserving the efficiency of PCR amplification of minute quantities of DNA.</t>
  </si>
  <si>
    <t>[Champlot, Sophie; Berthelot, Camille; Pruvost, Melanie; Bennett, E. Andrew; Grange, Thierry; Geigl, Eva-Maria] Univ Paris 07, Inst Jacques Monod, UMR7592, CNRS, F-75251 Paris, France</t>
  </si>
  <si>
    <t>Universite Paris Cite; Centre National de la Recherche Scientifique (CNRS); CNRS - National Institute for Biology (INSB)</t>
  </si>
  <si>
    <t>Champlot, S (corresponding author), Univ Paris 07, Inst Jacques Monod, UMR7592, CNRS, F-75251 Paris, France.</t>
  </si>
  <si>
    <t>geigl.eva-maria@ijm.univ-paris-diderot.fr</t>
  </si>
  <si>
    <t>Berthelot, Camille/K-5570-2017</t>
  </si>
  <si>
    <t>Berthelot, Camille/0000-0001-5054-2690; Geigl, Eva-Maria/0000-0001-6376-2094; Pruvost, Melanie/0000-0001-7824-2155; Grange, Thierry/0000-0001-8700-3092; Bennett, E. Andrew/0000-0003-3827-0711</t>
  </si>
  <si>
    <t>Centre National de Recherche Scientifique (CNRS) France; French National Research Agency (ANR) [ANR-GAN1-004]</t>
  </si>
  <si>
    <t>Centre National de Recherche Scientifique (CNRS) France(Centre National de la Recherche Scientifique (CNRS)); French National Research Agency (ANR)(Agence Nationale de la Recherche (ANR)Norwegian Agency for Development Cooperation - NORAD)</t>
  </si>
  <si>
    <t>This work was funded by the Centre National de Recherche Scientifique (CNRS) France and the French National Research Agency (ANR), Project ANR-GAN1-004.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</si>
  <si>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</si>
  <si>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</si>
  <si>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</si>
  <si>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</si>
  <si>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</si>
  <si>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e13042</t>
  </si>
  <si>
    <t>10.1371/journal.pone.0013042</t>
  </si>
  <si>
    <t>654ZQ</t>
  </si>
  <si>
    <t>WOS:000282210700018</t>
  </si>
  <si>
    <t>Min, K; Lee, J; Keika, K</t>
  </si>
  <si>
    <t>Min, Kyungguk; Lee, Jeongwoo; Keika, Kunihiro</t>
  </si>
  <si>
    <t>Chorus wave generation near the dawnside magnetopause due to drift shell splitting of substorm-injected electrons</t>
  </si>
  <si>
    <t>ENERGETIC PARTICLES; MAGNETOSPHERE; EMISSIONS; EVENTS</t>
  </si>
  <si>
    <t>We study the relationship between the electron injection and the chorus waves during a substorm event on 23 March 2007. The chorus waves were detected at high geomagnetic latitude (similar to 70 degrees S) Antarctic observatories in the range of 0600-0900 h in magnetic local time (MLT). Electrons drifting from the injection event were measured by two LANL spacecraft at 0300 and 0900 MLT. The mapping of auroral brightening areas to the magnetic equator shows that the injection occurred in an MLT range of 2200-2400. This estimate is consistent with observations by the THEMIS A, B, and D spacecraft ( which were located at 2100 MLT and did not observe electron injections). Our backward model tracing from the magnetic equator near the dawnside magnetopause ( which magnetically connects to the Antarctic observatories) also supports the deduced injection region. Since chorus waves are believed to be generated through the electron cyclotron instability by an anisotropic temperature distribution, we examine, by performing forward model tracing, whether the electrons injected during this substorm form a pancake-like pitch angle distribution when they arrive near the dawn-side magnetopause. We find that the onset time of the modeled pitch angle anisotropy is consistent with that of the observed chorus waves. We conclude that the development of the anisotropy is due to particle drift shell splitting.</t>
  </si>
  <si>
    <t>[Min, Kyungguk; Lee, Jeongwoo; Keika, Kunihiro] New Jersey Inst Technol, Dept Phys, Ctr Solar &amp; Terr Res, Newark, NJ 07102 USA</t>
  </si>
  <si>
    <t>New Jersey Institute of Technology</t>
  </si>
  <si>
    <t>Min, K (corresponding author), New Jersey Inst Technol, Dept Phys, Ctr Solar &amp; Terr Res, Newark, NJ 07102 USA.</t>
  </si>
  <si>
    <t>km224@njit.edu</t>
  </si>
  <si>
    <t>MIN, KYUNGGUK/0000-0002-2095-8529; Keika, Kunihiro/0000-0003-0265-4318</t>
  </si>
  <si>
    <t>NASA [NAS5-02099, NAS5-01072]; NSF [NSF-ANT-083995]; Office of Polar Programs (OPP); Directorate For Geosciences [0839995] Funding Source: National Science Foundation</t>
  </si>
  <si>
    <t>NASA(National Aeronautics &amp; Space Administration (NASA)); NSF(National Science Foundation (NSF)); Office of Polar Programs (OPP); Directorate For Geosciences(National Science Foundation (NSF)NSF - Directorate for Geosciences (GEO))</t>
  </si>
  <si>
    <t>We thank Mei-Ching Fok, Janet Kozyra, Louis J. Lanzerotti, Marc R. Lessard, Wen Li, Shinichi Ohtani, and David G. Sibeck for useful discussions. We thank M. Spasojevic of Stanford University for providing us the VLF data from AGO and G. Parks, the principal investigator of POLAR/UVI, for the auroral images. We would like to thank Dot DeLapp of Los Alamos National Laboratory for providing LANL geosynchronous observations. GOES data were available via CDAWeb. We acknowledge the CIS instrument team, the FGM instrument team and ESA Cluster Active Archive for making Cluster data available. We acknowledge NASA contract NAS5-02099 and V. Angelopoulos for use of data from the THEMIS Mission. Space physics research in NJIT has been funded by NASA grant NAS5-01072. JL was also supported by NSF grant NSF-ANT-083995.</t>
  </si>
  <si>
    <t>SEP 25</t>
  </si>
  <si>
    <t>A00I02</t>
  </si>
  <si>
    <t>10.1029/2010JA015474</t>
  </si>
  <si>
    <t>656JQ</t>
  </si>
  <si>
    <t>WOS:000282327500007</t>
  </si>
  <si>
    <t>Woodworth, PL; Pugh, DT; Bingley, RM</t>
  </si>
  <si>
    <t>Woodworth, P. L.; Pugh, D. T.; Bingley, R. M.</t>
  </si>
  <si>
    <t>Long-term and recent changes in sea level in the Falkland Islands</t>
  </si>
  <si>
    <t>EXTRATROPICAL CIRCULATION; VM2 MODEL; SURFACE; ALTIMETER; HISTORY</t>
  </si>
  <si>
    <t>Mean sea level measurements made at Port Louis in the Falkland Islands in 1981-1982, 1984, and 2009, together with values from the nearby permanent tide gauge at Port Stanley, have been compared to measurements made at Port Louis in 1842 by James Clark Ross. The long-term rate of change of sea level is estimated to have been +0.75 +/- 0.35 mm/yr between 1842 and the early 1980s, after correction for air pressure effects and for vertical land movement due to glacial isostatic adjustment (GIA). The 2009 Port Louis data set is of particular importance due to the availability of simultaneous information from Port Stanley. The data set has been employed in two ways, by providing a short recent estimate of mean sea level itself, and by enabling the effective combination of measurements at the two sites. The rate of sea level rise observed since 1992, when the modern Stanley gauge was installed, has been larger at 2.51 +/- 0.58 mm/yr, after correction for air pressure and GIA. This rate compares to a value of 2.79 +/- 0.42 mm/yr obtained from satellite altimetry in the region over the same period. Such a relatively recent acceleration in the rate of sea level rise is consistent with findings from other locations in the Southern Hemisphere and globally.</t>
  </si>
  <si>
    <t>[Woodworth, P. L.; Pugh, D. T.] Natl Oceanog Ctr, Liverpool L3 5DA, Merseyside, England; [Bingley, R. M.] Univ Nottingham, Inst Engn Surveying &amp; Space Geodesy, Nottingham NG7 2RD, England</t>
  </si>
  <si>
    <t>NERC National Oceanography Centre; University of Nottingham</t>
  </si>
  <si>
    <t>Woodworth, PL (corresponding author), Natl Oceanog Ctr, Joseph Proudman Bldg,6 Brownlow St, Liverpool L3 5DA, Merseyside, England.</t>
  </si>
  <si>
    <t>Bingley, Richard/0000-0003-1325-3376; Woodworth, Philip/0000-0002-6681-239X</t>
  </si>
  <si>
    <t>UK Natural Environment Research Council; Shackleton Fund; NERC [pol010001, noc010002] Funding Source: UKRI; Natural Environment Research Council [pol010001, noc010002] Funding Source: researchfish</t>
  </si>
  <si>
    <t>UK Natural Environment Research Council(UK Research &amp; Innovation (UKRI)Natural Environment Research Council (NERC)); Shackleton Fund; NERC(UK Research &amp; Innovation (UKRI)Natural Environment Research Council (NERC)); Natural Environment Research Council(UK Research &amp; Innovation (UKRI)Natural Environment Research Council (NERC))</t>
  </si>
  <si>
    <t>Our fieldwork would not have been possible without many kinds of help from Peter Foden and Jeff Pugh of the POL Ocean Engineering and Technology Group. They provided most of our equipment including one of the tide gauges used at Port Louis. We are very grateful to Ross Chalenor and colleagues at the Falkland Islands Public Works Department who assisted us in many ways. Peter and Melanie Gilding and George and Jenny Patterson-Smith were excellent hosts during our visits to Port Louis. We thank Paul Hughes (John Moores University Liverpool) who discovered the Ross high and low water records in the Wren Library. Ian Vassie (formerly of POL) made first analyses of the 1984 Port Louis data set. Mark Tamisiea and Angela Hibbert (POL), Mike Meredith and Pauline Sackett (British Antarctic Survey), Steve Nerem (University of Colorado), Mike Bevis (Ohio State University), Liz Kent (National Oceanography Centre Southampton), David Parker (Met Office), Richard Peltier (University of Toronto), Catia Domingues (Commonwealth Scientific and Industrial Research Organisation, Australia), and John Hunter (University of Tasmania) also provided help and advice. This work was funded by the UK Natural Environment Research Council and supported by a grant from the Shackleton Fund to D.T.P., who also acknowledges that his attention was first drawn to the existence of the Ross benchmarks at Port Louis by the late Sir George Deacon.</t>
  </si>
  <si>
    <t>SEP 24</t>
  </si>
  <si>
    <t>C09025</t>
  </si>
  <si>
    <t>10.1029/2010JC006113</t>
  </si>
  <si>
    <t>656IZ</t>
  </si>
  <si>
    <t>WOS:000282325500001</t>
  </si>
  <si>
    <t>Stokstad, E</t>
  </si>
  <si>
    <t>Stokstad, Erik</t>
  </si>
  <si>
    <t>FISHERIES Behind the Eco-Label, a Debate Over Antarctic Toothfish</t>
  </si>
  <si>
    <t>SCIENCE</t>
  </si>
  <si>
    <t>AMER ASSOC ADVANCEMENT SCIENCE</t>
  </si>
  <si>
    <t>1200 NEW YORK AVE, NW, WASHINGTON, DC 20005 USA</t>
  </si>
  <si>
    <t>0036-8075</t>
  </si>
  <si>
    <t>Science</t>
  </si>
  <si>
    <t>10.1126/science.329.5999.1596</t>
  </si>
  <si>
    <t>653NK</t>
  </si>
  <si>
    <t>WOS:000282098100012</t>
  </si>
  <si>
    <t>Wadham, JL; Tranter, M; Skidmore, M; Hodson, AJ; Priscu, J; Lyons, WB; Sharp, M; Wynn, P; Jackson, M</t>
  </si>
  <si>
    <t>Wadham, J. L.; Tranter, M.; Skidmore, M.; Hodson, A. J.; Priscu, J.; Lyons, W. B.; Sharp, M.; Wynn, P.; Jackson, M.</t>
  </si>
  <si>
    <t>Biogeochemical weathering under ice: Size matters</t>
  </si>
  <si>
    <t>HAUT-GLACIER-DAROLLA; SUBGLACIAL LAKE VOSTOK; CHEMICAL DENUDATION; BENEATH; SHEET; ANTARCTICA; STREAMS; RATES; CYCLE; BASE</t>
  </si>
  <si>
    <t>The basal regions of continental ice sheets are gaps in our current understanding of the Earth's biosphere and biogeochemical cycles. We draw on existing and new chemical data sets for subglacial meltwaters to provide the first comprehensive assessment of sub-ice sheet biogeochemical weathering. We show that size of the ice mass is a critical control on the balance of chemical weathering processes and that microbial activity is ubiquitous in driving dissolution. Carbonate dissolution fueled by sulfide oxidation and microbial CO2 dominate beneath small valley glaciers. Prolonged meltwater residence times and greater isolation characteristic of ice sheets lead to the development of anoxia and enhanced silicate dissolution due to calcite saturation. We show that sub-ice sheet environments are highly geochemically reactive and should be considered in regional and global solute budgets. For example, calculated solute fluxes from Antarctica (72-130 t yr(-1)) are the same order of magnitude as those from some of the world's largest rivers and rates of chemical weathering (10-17 t km(-2) yr(-1)) are high for the annual specific discharge (2.3-4.1 x 10(-3) m). Our model of chemical weathering dynamics provides important information on subglacial biodiversity and global biogeochemical cycles and may be used to design strategies for the first sampling of Antarctic Subglacial Lakes and other sub-ice sheet environments for the next decade.</t>
  </si>
  <si>
    <t>[Wadham, J. L.; Tranter, M.] Univ Bristol, Sch Geog Sci, Bristol Glaciol Ctr, Bristol BS8 1SS, Avon, England; [Skidmore, M.] Montana State Univ, Dept Earth Sci, Bozeman, MT 59717 USA; [Hodson, A. J.] Univ Sheffield, Dept Geog, Sheffield S10 2TN, S Yorkshire, England; [Priscu, J.] Montana State Univ, Dept Land Resources &amp; Environm Sci, Bozeman, MT 59717 USA; [Lyons, W. B.] Ohio State Univ, Byrd Polar Ctr, Columbus, OH 43210 USA; [Sharp, M.] Univ Alberta, Dept Earth &amp; Atmospher Sci, Edmonton, AB, Canada; [Wynn, P.] Univ Lancaster, Lancaster Environm Ctr, Lancaster LA1 4YQ, England; [Jackson, M.] Norwegian Water Resources &amp; Energy Directorate, Hydrol Dept, Glacier &amp; Environm Hydrol Sect, N-0301 Oslo, Norway</t>
  </si>
  <si>
    <t>University of Bristol; Montana State University System; Montana State University Bozeman; University of Sheffield; Montana State University System; Montana State University Bozeman; University System of Ohio; Ohio State University; University of Alberta; Lancaster University; Norwegian Water Resources &amp; Energy Directorate</t>
  </si>
  <si>
    <t>Wadham, JL (corresponding author), Univ Bristol, Sch Geog Sci, Bristol Glaciol Ctr, Bristol BS8 1SS, Avon, England.</t>
  </si>
  <si>
    <t>j.l.wadham@bris.ac.uk</t>
  </si>
  <si>
    <t>Wadham, Jemma L/G-3138-2014; Wadham, Jemma L/A-8352-2012; Jackson, Miriam/M-1898-2018; Skidmore, Mark L/I-4317-2018; Tranter, Martyn/E-3722-2010</t>
  </si>
  <si>
    <t>Jackson, Miriam/0000-0003-3719-6716; Hodson, Andrew/0000-0002-1255-7987; Wynn, Peter Michael/0000-0002-1221-5530; Tranter, Martyn/0000-0003-2071-3094</t>
  </si>
  <si>
    <t>Natural Environment Research Council, United Kingdom; National Science Foundation, Arlington, VA; Royal Society; Leverhulme Trust; European Union, Brussels, Belgium; NERC [NE/E004016/1] Funding Source: UKRI; Natural Environment Research Council [NE/E004016/1, ceh010010] Funding Source: researchfish; Division Of Polar Programs; Directorate For Geosciences [0838933] Funding Source: National Science Foundation; Division Of Polar Programs; Directorate For Geosciences [0839075] Funding Source: National Science Foundation</t>
  </si>
  <si>
    <t>Natural Environment Research Council, United Kingdom(UK Research &amp; Innovation (UKRI)Natural Environment Research Council (NERC)); National Science Foundation, Arlington, VA(National Science Foundation (NSF)); Royal Society(Royal Society); Leverhulme Trust(Leverhulme Trust); European Union, Brussels, Belgium(European Union (EU)); NERC(UK Research &amp; Innovation (UKRI)Natural Environment Research Council (NERC)); Natural Environment Research Council(UK Research &amp; Innovation (UKRI)Natural Environment Research Council (NERC)); Division Of Polar Programs; Directorate For Geosciences(National Science Foundation (NSF)NSF - Directorate for Geosciences (GEO)); Division Of Polar Programs; Directorate For Geosciences(National Science Foundation (NSF)NSF - Directorate for Geosciences (GEO))</t>
  </si>
  <si>
    <t>This paper was written by J. L. Wadham while on a Phillip Leverhulme Award fellowship. Data have been compiled from 15 years of international research, funded by a variety of sources, including Natural Environment Research Council, United Kingdom; the National Science Foundation, Arlington, VA; the Royal Society; Leverhulme Trust; and the European Union, Brussels, Belgium.</t>
  </si>
  <si>
    <t>SEP 23</t>
  </si>
  <si>
    <t>GB3025</t>
  </si>
  <si>
    <t>10.1029/2009GB003688</t>
  </si>
  <si>
    <t>656HR</t>
  </si>
  <si>
    <t>WOS:000282320200001</t>
  </si>
  <si>
    <t>Faul, KL; Delaney, ML</t>
  </si>
  <si>
    <t>Faul, K. L.; Delaney, M. L.</t>
  </si>
  <si>
    <t>A comparison of early Paleogene export productivity and organic carbon burial flux for Maud Rise, Weddell Sea, and Kerguelen Plateau, south Indian Ocean</t>
  </si>
  <si>
    <t>EOCENE-OLIGOCENE PALEOCEANOGRAPHY; AUTHIGENIC APATITE FORMATION; MIDDLE EOCENE; CONTINENTAL-MARGIN; ATLANTIC SECTOR; DIOXIDE CONCENTRATIONS; ANTARCTIC OCEAN; ATMOSPHERIC CO2; CLIMATE-CHANGE; PACIFIC-OCEAN</t>
  </si>
  <si>
    <t>Marine biological productivity has been invoked as a possible climate driver during the early Paleogene through its potential influence on atmospheric carbon dioxide concentrations. However, the relationship of export productivity (the flux of organic carbon (C) from the surface ocean to the deep ocean) to organic C burial flux (the flux of organic C from the deep ocean that is buried in marine sediments) is not well understood. We examine the various components involved with atmosphere-to-ocean C transfer by reconstructing early Paleogene carbonate and silica production (using carbonate and silica mass accumulation rates (MARs)); export productivity (using biogenic barium (bio-Ba) MARs); organic C burial flux (using reactive phosphorus (P) MARs); redox conditions (using uranium and manganese contents); and the fraction of organic C buried relative to export productivity (using reactive P to bio-Ba ratios). Our investigations concentrate on Paleocene/Eocene sections of Sites 689/690 from Maud Rise and Site 738 from Kerguelen Plateau. In both regions, export productivity, organic C burial flux, and the fraction of organic C buried relative to export productivity decreased from the Paleocene/early Eocene to the middle Eocene. A shift is indicated from an early Paleogene two-gyre circulation in which nutrients were not efficiently recycled to the surface via upwelling in these regions, to a circulation more like the present day with efficient recycling of nutrients to the surface ocean. Export productivity was enhanced for Kerguelen Plateau relative to Maud Rise throughout the early Paleogene, possibly due to internal waves generated by the plateau regardless of gyre circulation.</t>
  </si>
  <si>
    <t>[Faul, K. L.] Mills Coll, Environm Sci Program, Oakland, CA 94613 USA; [Faul, K. L.] Mills Coll, Dept Chem &amp; Phys, Oakland, CA 94613 USA; [Delaney, M. L.] Univ Calif Santa Cruz, Ocean Sci Dept, Santa Cruz, CA 95064 USA; [Delaney, M. L.] Univ Calif Santa Cruz, Inst Marine Sci, Santa Cruz, CA 95064 USA</t>
  </si>
  <si>
    <t>University of California System; University of California Santa Cruz; University of California System; University of California Santa Cruz</t>
  </si>
  <si>
    <t>Faul, KL (corresponding author), Mills Coll, Environm Sci Program, 5000 MacArthur Blvd, Oakland, CA 94613 USA.</t>
  </si>
  <si>
    <t>U.S. National Science Foundation (NSF); U.S. Science Support Program (USSSP); Mustard Seed Foundation; NSF [OCE 9819114]</t>
  </si>
  <si>
    <t>U.S. National Science Foundation (NSF)(National Science Foundation (NSF)); U.S. Science Support Program (USSSP); Mustard Seed Foundation; NSF(National Science Foundation (NSF))</t>
  </si>
  <si>
    <t>We thank L. D. Anderson, C. Chun, and S. Bohaty for helpful discussions. We thank R. Franks and the IMS Marine Analytical Laboratory for laboratory support and D. Gille for making the carbonate measurements. This manuscript was greatly improved by reviews and comments from M. Huber, G. Dickens, L. Kump, R. Zahn, and one anonymous reviewer. This research used samples and/or data provided by the Ocean Drilling Program (ODP). The ODP was sponsored by the U.S. National Science Foundation (NSF) and participating countries under management of Joint Oceanographic Institutions (JOI), Inc. The U.S. Science Support Program (USSSP) provided funding for this research. KLF was also supported by a Harvey Fellowship from the Mustard Seed Foundation and by NSF OCE 9819114 (MLD).</t>
  </si>
  <si>
    <t>PA3214</t>
  </si>
  <si>
    <t>10.1029/2009PA001916</t>
  </si>
  <si>
    <t>656JR</t>
  </si>
  <si>
    <t>WOS:000282327800001</t>
  </si>
  <si>
    <t>Helm, KP; Bindoff, NL; Church, JA</t>
  </si>
  <si>
    <t>Helm, Kieran P.; Bindoff, Nathaniel L.; Church, John A.</t>
  </si>
  <si>
    <t>Changes in the global hydrological-cycle inferred from ocean salinity</t>
  </si>
  <si>
    <t>NORTH-ATLANTIC; DECADAL CHANGES; PACIFIC; CLIMATE</t>
  </si>
  <si>
    <t>Using global datasets of in situ observations, we calculate salinity changes on ocean-density surfaces between 1970 and 2005. This reveals a global pattern of increased salinities near the upper-ocean salinity-maximum layer (average depth of similar to 100 m) and decreased salinities near the intermediate salinity minimum (average depth of similar to 700 m). The salinity changes imply a 3 +/- 2% decrease in precipitation-minus evaporation (P-E) over the mid and low latitude oceans in both hemispheres, a 7 +/- 4% increase in the Northern Hemisphere high latitudes, and a 16 +/- 6% increase in the Southern Ocean since 1970. This pattern of increased precipitation at high latitudes and decreased precipitation in the subtropics is reflected in both land records and in the short satellite records. The quantification of the atmospheric signal of climate change on ocean salinity supports model projections, and extends the growing evidence for an acceleration of the Earth's water cycle. Citation: Helm, K. P., N. L. Bindoff, and J. A. Church (2010), Changes in the global hydrological-cycle inferred from ocean salinity, Geophys. Res. Lett., 37, L18701, doi: 10.1029/2010GL044222.</t>
  </si>
  <si>
    <t>[Helm, Kieran P.; Bindoff, Nathaniel L.] Univ Tasmania, Inst Marine &amp; Antarctic Studies, Hobart, Tas 7001, Australia; [Helm, Kieran P.; Bindoff, Nathaniel L.; Church, John A.] Antarctic Climate &amp; Ecosyst Cooperat Res Ctr, Sandy Bay, Tas, Australia; [Bindoff, Nathaniel L.; Church, John A.] CSIRO Marine &amp; Atmospher Res, Hobart, Tas 7001, Australia</t>
  </si>
  <si>
    <t>University of Tasmania; Antarctic Climate &amp; Ecosystems Cooperative Research Centre (ACE CRC); Commonwealth Scientific &amp; Industrial Research Organisation (CSIRO)</t>
  </si>
  <si>
    <t>Helm, KP (corresponding author), Univ Tasmania, Inst Marine &amp; Antarctic Studies, Hobart, Tas 7001, Australia.</t>
  </si>
  <si>
    <t>n.bindoff@utas.edu.au</t>
  </si>
  <si>
    <t>Church, John A/A-1541-2012; Bindoff, Nathaniel Lee/IVV-0333-2023; Bindoff, Nathaniel Lee/C-8050-2011</t>
  </si>
  <si>
    <t>Church, John A/0000-0002-7037-8194; Bindoff, Nathaniel Lee/0000-0001-5662-9519; Bindoff, Nathaniel Lee/0000-0001-5662-9519</t>
  </si>
  <si>
    <t>Antarctic Climate and Ecosystems Cooperative Research Centre</t>
  </si>
  <si>
    <t>Antarctic Climate and Ecosystems Cooperative Research Centre(Australian GovernmentDepartment of Industry, Innovation and ScienceCooperative Research Centres (CRC) Programme)</t>
  </si>
  <si>
    <t>This paper is a contribution to the CSIRO Climate Change Research Program and was supported by the Australian Governments Cooperative Research Centres Programme through the Antarctic Climate and Ecosystems Cooperative Research Centre.</t>
  </si>
  <si>
    <t>SEP 22</t>
  </si>
  <si>
    <t>L18701</t>
  </si>
  <si>
    <t>10.1029/2010GL044222</t>
  </si>
  <si>
    <t>656HB</t>
  </si>
  <si>
    <t>WOS:000282318200006</t>
  </si>
  <si>
    <t>Takahashi, Y; Yoshida, A; Sato, M; Adachi, T; Kondo, S; Hsu, RR; Su, HT; Chen, AB; Mende, SB; Frey, HU; Lee, LC</t>
  </si>
  <si>
    <t>Takahashi, Y.; Yoshida, A.; Sato, M.; Adachi, T.; Kondo, S.; Hsu, R. -R.; Su, H. -T.; Chen, A. B.; Mende, S. B.; Frey, H. U.; Lee, L. -C.</t>
  </si>
  <si>
    <t>Absolute optical energy of sprites and its relationship to charge moment of parent lightning discharge based on measurement by ISUAL/AP</t>
  </si>
  <si>
    <t>TRANSIENT LUMINOUS EVENTS</t>
  </si>
  <si>
    <t>Although the Quasi-electrostatic (QE) model has been considered a basic mechanism for describing sprite generation, the relationship between sprite luminosity and the charge moment change (CMC) value, caused by the sprites' parent lightning has not been examined quantitatively. CMC value represents the energy of cloud-to-ground discharge (CG) and the electric field intensity above the thunderstorm. We focused on the data obtained in 2004, in which both ISUAL on board the FORMOSAT-2 satellite and the Tohoku ELF network were operated throughout one year. We could estimate the absolute luminous intensity of sprites free from atmospheric influence with the ISUAL/Array Photometer (AP) and investigated its relationship to the charge moment of parent lightning. Absolute optical energies emitted from sprites were estimated for 14 streamer-type sprites for the first time. The averages of the time-integrated optical energies are 176 kJ and 119 kJ for the N2 1PG and N2 2PG bands, respectively. Furthermore, the optical energies and the charge moments of their parent lightning estimated with ELF data show a high correlation (correlation coefficient = 0.93), that is consistent, qualitatively, with the QE model. This relationship predicts that the 50% occurrence probability is located at similar to 600 C km, which coincides with previous statistical studies.</t>
  </si>
  <si>
    <t>[Takahashi, Y.; Sato, M.] Hokkaido Univ, Dept Cosmosci, Sapporo, Hokkaido 0602763, Japan; [Yoshida, A.; Kondo, S.] Tohoku Univ, Dept Geophys, Sendai, Miyagi 9808578, Japan; [Adachi, T.] Kyoto Univ, Res Inst Sustainable Humanosphere, Kyoto 6110011, Japan; [Hsu, R. -R.; Su, H. -T.; Chen, A. B.] Natl Cheng Kung Univ, Dept Phys, Tainan 70101, Taiwan; [Mende, S. B.; Frey, H. U.] Univ Calif Berkeley, Space Sci Lab, Berkeley, CA 94720 USA; [Lee, L. -C.] Natl Cent Univ, Inst Space Sci, Jhongli 32001, Taiwan</t>
  </si>
  <si>
    <t>Hokkaido University; Tohoku University; Kyoto University; National Cheng Kung University; University of California System; University of California Berkeley; National Central University</t>
  </si>
  <si>
    <t>Takahashi, Y (corresponding author), Hokkaido Univ, Dept Cosmosci, Sapporo, Hokkaido 0602763, Japan.</t>
  </si>
  <si>
    <t>yukihiro@ep.sci.hokudai.ac.jp</t>
  </si>
  <si>
    <t>Adachi, Toru/AFQ-3773-2022; Lee, Lou-Chuang/I-2588-2013; SATO, Mitsuteru/A-5254-2012</t>
  </si>
  <si>
    <t>Adachi, Toru/0000-0003-0325-1844; Lee, Lou-Chuang/0000-0003-4012-991X; Frey, Harald/0000-0001-8955-3282</t>
  </si>
  <si>
    <t>Ministry of Education, Culture, Sports, Science and Technology, Japan [19002002]; Grants-in-Aid for Scientific Research [19002002] Funding Source: KAKEN</t>
  </si>
  <si>
    <t>Ministry of Education, Culture, Sports, Science and Technology, Japan(Ministry of Education, Culture, Sports, Science and Technology, Japan (MEXT)); Grants-in-Aid for Scientific Research(Ministry of Education, Culture, Sports, Science and Technology, Japan (MEXT)Japan Society for the Promotion of ScienceGrants-in-Aid for Scientific Research (KAKENHI))</t>
  </si>
  <si>
    <t>Satellite optical data are provided by ISUAL project promoted by Taiwan. We wish to thank the party of Japanese Antarctic Research Expedition (JARE) for its continuous support of ELF observations at Syowa station in the Antarctic. This study is supported by grant-in-aid 19002002 of Ministry of Education, Culture, Sports, Science and Technology, Japan.</t>
  </si>
  <si>
    <t>A00E55</t>
  </si>
  <si>
    <t>10.1029/2009JA014814</t>
  </si>
  <si>
    <t>656JN</t>
  </si>
  <si>
    <t>WOS:000282327100002</t>
  </si>
  <si>
    <t>Christoffersen, P; Tulaczyk, S; Behar, A</t>
  </si>
  <si>
    <t>Christoffersen, Poul; Tulaczyk, Slawek; Behar, Alberto</t>
  </si>
  <si>
    <t>Basal ice sequences in Antarctic ice stream: Exposure of past hydrologic conditions and a principal mode of sediment transfer</t>
  </si>
  <si>
    <t>PLEISTOCENE-HOLOCENE RETREAT; LAST GLACIAL MAXIMUM; ROSS SEA; WEST ANTARCTICA; SUBGLACIAL SEDIMENTS; DEBRIS ENTRAINMENT; CONTINENTAL-SHELF; FREEZE-ON; TILL DEFORMATION; GROUNDING-LINE</t>
  </si>
  <si>
    <t>The brightness distribution of sequentially extracted borehole camera imagery shows two distinct sequences of basal ice in Kamb Ice Stream. The upper sequence (7.3 m) comprises clear ice and layers with dispersed and stratified debris. The lower sequence (8.2 m) consists of accretion ice with alternating layers of stratified and solid debris. The two sequences have volumetric debris contents of about 5% and 20%, respectively. We infer that the upper sequence formed in a tributary where subglacial meltwater was abundant and that the lower sequence formed on the Siple Coast plain where basal freezing currently dominates the basal thermal regime. The basal ice layer contains the equivalent of 2.1 +/- 0.4 m of frozen sediment. The high volume of sediment is a result of debris-rich layers interpreted to have formed by accretion in the stagnant phase of ice stream on/off cycles. Fast ice streaming punctuated by entrainment of debris during stagnation episodes is consistent with inferred past flow of adjacent ice streams and geologic features in the Ross Sea. Our results show that sediment wedges near grounding lines may form by melt out of basal ice debris. This is different from previous studies where it was assumed that sediment transfer occurs through sediment deformation within layers of subglacial till. Cumulative freezing in recurring ice stream cycles shows that entrainment of sediment by basal freeze-on is an important erosion mechanism and that high sediment fluxes can occur when ice streams override Coulomb-plastic substrates.</t>
  </si>
  <si>
    <t>[Christoffersen, Poul] Univ Cambridge, Scott Polar Res Inst, Cambridge CB2 1ER, England; [Behar, Alberto] CALTECH, Jet Prop Lab, Pasadena, CA 91109 USA; [Tulaczyk, Slawek] Univ Calif Santa Cruz, Dept Earth &amp; Planetary Sci, Santa Cruz, CA 95064 USA</t>
  </si>
  <si>
    <t>University of Cambridge; California Institute of Technology; National Aeronautics &amp; Space Administration (NASA); NASA Jet Propulsion Laboratory (JPL); University of California System; University of California Santa Cruz</t>
  </si>
  <si>
    <t>Christoffersen, P (corresponding author), Univ Cambridge, Scott Polar Res Inst, Cambridge CB2 1ER, England.</t>
  </si>
  <si>
    <t>pc350@cam.ac.uk</t>
  </si>
  <si>
    <t>Christoffersen, Poul/W-3708-2019; Tulaczyk, Slawek/O-7375-2018</t>
  </si>
  <si>
    <t>Christoffersen, Poul/0000-0003-2643-8724; Tulaczyk, Slawek/0000-0002-9711-4332</t>
  </si>
  <si>
    <t>Natural Environment Research Council (NERC); National Science Foundation Office of Polar Programs (NSF-OPP); NASA; NERC [NE/E006256/1] Funding Source: UKRI; Natural Environment Research Council [NE/E006256/1] Funding Source: researchfish</t>
  </si>
  <si>
    <t>Natural Environment Research Council (NERC)(UK Research &amp; Innovation (UKRI)Natural Environment Research Council (NERC)); National Science Foundation Office of Polar Programs (NSF-OPP)(National Science Foundation (NSF)); NASA(National Aeronautics &amp; Space Administration (NASA)); NERC(UK Research &amp; Innovation (UKRI)Natural Environment Research Council (NERC)); Natural Environment Research Council(UK Research &amp; Innovation (UKRI)Natural Environment Research Council (NERC))</t>
  </si>
  <si>
    <t>Support for this study was provided by grants to Poul Christoffersen and Slawek Tulaczyk from the Natural Environment Research Council (NERC) and the National Science Foundation Office of Polar Programs (NSF-OPP). Alberto Behar performed his contribution at the Jet Propulsion Laboratory, California Institute of Technology, under contract with NASA. Acquisition of borehole imagery took place as part of a larger study funded by NSF OPP grants to Barclay Kamb and Hermann Engelhardt. We are grateful to both of them for their kind support. Editorial comments from Bryn Hubbard and reviews by Denis Samyn, Michael Hambrey, Simon Cook, and one anonymous person were helpful.</t>
  </si>
  <si>
    <t>SEP 21</t>
  </si>
  <si>
    <t>F03034</t>
  </si>
  <si>
    <t>10.1029/2009JF001430</t>
  </si>
  <si>
    <t>656IK</t>
  </si>
  <si>
    <t>WOS:000282322700001</t>
  </si>
  <si>
    <t>Goodge, JW; Finn, CA</t>
  </si>
  <si>
    <t>Goodge, John W.; Finn, Carol A.</t>
  </si>
  <si>
    <t>Glimpses of East Antarctica: Aeromagnetic and satellite magnetic view from the central Transantarctic Mountains of East Antarctica</t>
  </si>
  <si>
    <t>JOURNAL OF GEOPHYSICAL RESEARCH-SOLID EARTH</t>
  </si>
  <si>
    <t>EARLY PALEOZOIC SUBDUCTION; VICTORIA-LAND; ROSS OROGEN; UPPER-MANTLE; NEOPROTEROZOIC BASIN; LITHOSPHERIC MANTLE; TECTONIC FRAMEWORK; BEARDMORE GROUP; PASSIVE-MARGIN; GLACIER AREA</t>
  </si>
  <si>
    <t>Aeromagnetic and satellite magnetic data provide glimpses of the crustal architecture within the Ross Sea sector of the enigmatic, ice-covered East Antarctic shield critical for understanding both global tectonic and climate history. In the central Transantarctic Mountains (CTAM), exposures of Precambrian basement, coupled with new high-resolution magnetic data, other recent aeromagnetic transects, and satellite magnetic and seismic tomography data, show that the shield in this region comprises an Archean craton modified both by Proterozoic magmatism and early Paleozoic orogenic basement reactivation. CTAM basement structures linked to the Ross Orogeny are imaged 50-100 km farther west than previously mapped, bounded by inboard upper crustal Proterozoic granites of the Nimrod igneous province. Magnetic contrasts between craton and rift margin sediments define the Neoproterozoic rift margin, likely reactivated during Ross orogenesis and Jurassic extension. Interpretation of satellite magnetic and aeromagnetic patterns suggests that the Neoproterozoic rift margin of East Antarctica is offset by transfer zones to form a stepwise series of salients tracing from the CTAM northward through the western margin of the Wilkes Subglacial Basin to the coast at Terre Adelie. Thinned Precambrian crust inferred to lie east of the rift margin cannot be imaged magnetically because of modification by Neoproterozoic and younger tectonic events.</t>
  </si>
  <si>
    <t>[Goodge, John W.] Univ Minnesota, Dept Geol Sci, Duluth, MN 55812 USA; [Finn, Carol A.] US Geol Survey, Denver Fed Ctr, Denver, CO 80225 USA</t>
  </si>
  <si>
    <t>University of Minnesota System; University of Minnesota Duluth; United States Department of the Interior; United States Geological Survey</t>
  </si>
  <si>
    <t>Goodge, JW (corresponding author), Univ Minnesota, Dept Geol Sci, 1114 Kirby Dr, Duluth, MN 55812 USA.</t>
  </si>
  <si>
    <t>jgoodge@d.umn.edu; cfinn@usgs.gov</t>
  </si>
  <si>
    <t>Finn, Carol A/HKN-9277-2023; Goodge, John/GQI-3878-2022</t>
  </si>
  <si>
    <t>Finn, Carol A/0000-0002-6178-0405; Goodge, John/0000-0003-2578-3147</t>
  </si>
  <si>
    <t>National Science Foundation [0232042, 0350039]; U.S. Geological Survey; Division Of Polar Programs; Directorate For Geosciences [0232042, 0350039] Funding Source: National Science Foundation</t>
  </si>
  <si>
    <t>National Science Foundation(National Science Foundation (NSF)); U.S. Geological Survey(United States Geological Survey); Division Of Polar Programs; Directorate For Geosciences(National Science Foundation (NSF)NSF - Directorate for Geosciences (GEO))</t>
  </si>
  <si>
    <t>This work was supported by awards from the National Science Foundation to Finn (0232042) and Goodge (0350039) and by the U.S. Geological Survey (Finn). The U.S. Antarctic Program and the Bundesanstalt fur Geowissenschaften und Rohstoffe in Germany provided operational support in the field. In particular, we are grateful for the cooperation of Detlef Damaske in leading the BGR collaboration and for his help with data acquisition, processing, and interpretation. We thank the aircrews of Petroleum Helicopters International, Inc., and Kenn Borek Air, Ltd., for excellent flight operations. We also thank the field team of Eric Anderson, Jared Abraham, Felix Goldmann, Heinz-Dieter Moller, Norbert Roland, Peter Braddock, and Michael Rieser for their dogged support in the field and data processing. Fausto Ferraccioli and an anonymous reviewer provided many constructive comments that helped to clarify presentation and interpretation of the data; we thank them for thorough and thoughtful reviews.</t>
  </si>
  <si>
    <t>2169-9313</t>
  </si>
  <si>
    <t>2169-9356</t>
  </si>
  <si>
    <t>J GEOPHYS RES-SOL EA</t>
  </si>
  <si>
    <t>J. Geophys. Res.-Solid Earth</t>
  </si>
  <si>
    <t>B09103</t>
  </si>
  <si>
    <t>10.1029/2009JB006890</t>
  </si>
  <si>
    <t>656JF</t>
  </si>
  <si>
    <t>WOS:000282326200002</t>
  </si>
  <si>
    <t>Wilmes, B; Hartung, A; Lalk, M; Liebeke, M; Schweder, T; Neubauer, P</t>
  </si>
  <si>
    <t>Wilmes, Boris; Hartung, Angelika; Lalk, Michael; Liebeke, Manuel; Schweder, Thomas; Neubauer, Peter</t>
  </si>
  <si>
    <t>Fed-batch process for the psychrotolerant marine bacterium Pseudoalteromonas haloplanktis</t>
  </si>
  <si>
    <t>MICROBIAL CELL FACTORIES</t>
  </si>
  <si>
    <t>RECOMBINANT PROTEIN SECRETION; ANTARCTIC BACTERIUM; EXPRESSION; SYSTEM; COLD; GROWTH</t>
  </si>
  <si>
    <t>Background: Pseudoalteromonas haloplanktis is a cold-adapted gamma-proteobacterium isolated from Antarctic sea ice. It is characterized by remarkably high growth rates at low temperatures. P. haloplanktis is one of the model organisms of cold-adapted bacteria and has been suggested as an alternative host for the soluble overproduction of heterologous proteins which tend to form inclusion bodies in established expression hosts. Despite the progress in establishing P. haloplanktis as an alternative expression host the cell densities obtained with this organism, which is unable to use glucose as a carbon source, are still low. Here we present the first fed-batch cultivation strategy for this auspicious alternative expression host. Results: The key for the fed-batch cultivation of P. haloplanktis was the replacement of peptone by casamino acids, which have a much higher solubility and allow a better growth control. In contrast to the peptone medium, on which P. haloplanktis showed different growth phases, on a casamino acids-containing, phosphate-buffered medium P. haloplanktis grew exponentially with a constant growth rate until the stationary phase. A fed-batch process was established by feeding of casamino acids with a constant rate resulting in a cell dry weight of about 11 g l(-1) (OD540 = 28) which is a twofold increase of the highest densities which have been obtained with P. haloplanktis so far and an eightfold increase of the density obtained in standard shake flask cultures. The cell density was limited in the fed-batch cultivation by the relatively low solubility of casamino acids (about 100 g l(-1)), which was proven by pulse addition of casamino acid powder which increased the cell density to about 20 g l(-1) (OD540 = 55). Conclusion: The growth of P. haloplanktis to higher cell densities on complex medium is possible. A first fed-batch fermentation strategy could be established which is feasible to be used in lab-scale or for industrial purposes. The substrate concentration of the feeding solution was found to influence the maximal biomass yield considerably. The bottleneck for growing P. haloplanktis to high cell densities still remains the availability of a highly concentrated substrate and the reduction of the substrate complexity. However, our results indicate glutamic acid as a major carbon source, which provides a good basis for further improvement of the fed-batch process.</t>
  </si>
  <si>
    <t>[Wilmes, Boris; Schweder, Thomas] Inst Marine Biotechnol, D-17489 Greifswald, Germany; [Lalk, Michael; Liebeke, Manuel; Schweder, Thomas] Ernst Moritz Arndt Univ Greifswald, Inst Pharm, Competence Ctr Funct Genom, D-17487 Greifswald, Germany; [Wilmes, Boris; Hartung, Angelika; Neubauer, Peter] Univ Oulu, Bioproc Engn Lab, FI-90014 Oulu, Finland; [Hartung, Angelika] Univ Tubingen, Dept Internal Med 4, D-72076 Tubingen, Germany; [Liebeke, Manuel] Univ London Imperial Coll Sci Technol &amp; Med, Fac Med, Dept Surg &amp; Canc, London SW7 2AZ, England; [Neubauer, Peter] Tech Univ Berlin, Dept Biotechnol, Lab Bioproc Engn, D-13355 Berlin, Germany</t>
  </si>
  <si>
    <t>Universitat Greifswald; University of Oulu; Eberhard Karls University of Tubingen; Imperial College London; Technical University of Berlin</t>
  </si>
  <si>
    <t>Schweder, T (corresponding author), Inst Marine Biotechnol, W Rathenau Str 49, D-17489 Greifswald, Germany.</t>
  </si>
  <si>
    <t>schweder@uni-greifswald.de; peter.neubauer@tu-berlin.de</t>
  </si>
  <si>
    <t>Neubauer, Peter/W-4518-2019; Schweder, Thomas/GQB-0990-2022; Neubauer, Peter/N-8146-2013; Liebeke, Manuel/F-3559-2012; Lalk, Michael/C-1618-2010</t>
  </si>
  <si>
    <t>Schweder, Thomas/0000-0002-7213-3596; Neubauer, Peter/0000-0002-1214-9713; Liebeke, Manuel/0000-0002-2339-1409; Lalk, Michael/0000-0002-9230-0267</t>
  </si>
  <si>
    <t>Ministry of Economy of Mecklenburg-Vorpommem; CIMO [TM-07-4890]</t>
  </si>
  <si>
    <t>Ministry of Economy of Mecklenburg-Vorpommem; CIMO</t>
  </si>
  <si>
    <t>This study was supported by a grant from the Ministry of Economy of Mecklenburg-Vorpommem to Thomas Schweder (TBI). Boris Wilmes was kindly supported by a three-monthly CIMO fellowship with the number TM-07-4890.</t>
  </si>
  <si>
    <t>1475-2859</t>
  </si>
  <si>
    <t>MICROB CELL FACT</t>
  </si>
  <si>
    <t>Microb. Cell. Fact.</t>
  </si>
  <si>
    <t>10.1186/1475-2859-9-72</t>
  </si>
  <si>
    <t>664NS</t>
  </si>
  <si>
    <t>gold, Green Published</t>
  </si>
  <si>
    <t>WOS:000282969300001</t>
  </si>
  <si>
    <t>Österblom, H; Sumaila, UR; Bodin, Ö; Sundberg, JH; Press, AJ</t>
  </si>
  <si>
    <t>Osterblom, Henrik; Sumaila, U. Rashid; Bodin, Orjan; Sundberg, Jonas Hentati; Press, Anthony J.</t>
  </si>
  <si>
    <t>Adapting to Regional Enforcement: Fishing Down the Governance Index</t>
  </si>
  <si>
    <t>ILLEGAL</t>
  </si>
  <si>
    <t>Background: Illegal, Unreported and Unregulated (IUU) fishing is a problem for marine resource managers, leading to depletion of fish stocks and negative impacts on marine ecosystems. These problems are particularly evident in regions with weak governance. Countries responsible for sustainable natural resource management in the Southern Ocean have actively worked to reduce IUU fishing in the region over a period of 15 years, leading to a sequence of three distinct peaks of IUU fishing. Methodology/Principal Findings: We reviewed existing public records relating to IUU fishing in the Southern Ocean between 1995-2009 and related this information to the governance capacity of flag states responsible for IUU vessels. IUU operators used a number of methods to adapt to enforcement actions, resulting in reduced risks of detection, apprehension and sanctioning. They changed fishing locations, vessel names and flag states, and ports for offloading IUU catches. There was a significant decrease in the proportion of IUU vessels flagged to CCAMLR countries, and a significant decrease in the average governance index of flag states. Despite a decreasing trend of IUU fishing, further actions are hampered by the regional scope of CCAMLR and the governance capacity of responsible states. Conclusions/Significance: This is the first study of long-term change in the modus operandi of IUU fishing fishing operators, illustrating that IUU operators can adapt to enforcement actions and that such dynamics may lead to new problems elsewhere, where countries have a limited capacity. This outsourcing of problems may have similarities to natural resource extraction in other sectors and in other regions. IUU fishing is the result of a number of factors, and effectively addressing this major challenge to sustainable marine resource extraction will likely require a stronger focus on governance. Highly mobile resource extractors with substantial funds are able to adapt to changing regulations by exploiting countries and regions with limited capacity.</t>
  </si>
  <si>
    <t>[Osterblom, Henrik] Univ British Columbia, Fisheries Ctr, Vancouver, BC V5Z 1M9, Canada; [Osterblom, Henrik; Sumaila, U. Rashid] Stockholm Univ, Stockholm Resilience Ctr, Baltic Nest Inst, S-10691 Stockholm, Sweden; [Bodin, Orjan] Stockholm Univ, Dept Syst Ecol, S-10691 Stockholm, Sweden; [Press, Anthony J.] Antarctic Climate &amp; Ecosyst Cooperat Res Ctr, Hobart, Tas, Australia</t>
  </si>
  <si>
    <t>University of British Columbia; Stockholm University; Stockholm University; Antarctic Climate &amp; Ecosystems Cooperative Research Centre (ACE CRC)</t>
  </si>
  <si>
    <t>Österblom, H (corresponding author), Univ British Columbia, Fisheries Ctr, Vancouver, BC V5Z 1M9, Canada.</t>
  </si>
  <si>
    <t>henrik.osterblom@stockholmresilience.su.se</t>
  </si>
  <si>
    <t>Sumaila, U. Rashid/ABE-6475-2020; Bodin, Örjan/A-5098-2010; Osterblom, Henrik G/D-4249-2012; Hentati-Sundberg, Jonas/N-6535-2017</t>
  </si>
  <si>
    <t>Bodin, Örjan/0000-0002-8218-1153; Hentati-Sundberg, Jonas/0000-0002-3201-9262; Osterblom, Henrik/0000-0002-1913-5197; Press, Anthony/0000-0002-3233-8933</t>
  </si>
  <si>
    <t>FORMAS [2008-504]; MISTRA; Pew Charitable Trust</t>
  </si>
  <si>
    <t>FORMAS(Swedish Research Council Formas); MISTRA; Pew Charitable Trust</t>
  </si>
  <si>
    <t>This work was funded by a post doc scholarship by FORMAS (http://formas.se/) awarded to HO, grant number 2008-504. HO and OB received additional support by MISTRA (http://www.mistra.org/). The Sea Around Us and Global Ocean Economics Projects, both funded by the Pew Charitable Trust (http://www.pewtrusts.org/), supported RS. The funders had no role in study design, data collection and analysis, decision to publish, or preparation of the manuscript.</t>
  </si>
  <si>
    <t>SEP 17</t>
  </si>
  <si>
    <t>e12832</t>
  </si>
  <si>
    <t>10.1371/journal.pone.0012832</t>
  </si>
  <si>
    <t>651XL</t>
  </si>
  <si>
    <t>gold, Green Submitted, Green Published</t>
  </si>
  <si>
    <t>WOS:000281960800022</t>
  </si>
  <si>
    <t>Zapata-Guardiola, R; López-González, PJ</t>
  </si>
  <si>
    <t>Zapata-Guardiola, Rebeca; Lopez-Gonzalez, Pablo J.</t>
  </si>
  <si>
    <t>Redescription of Thouarella brucei Thomson and Ritchie, 1906 (Cnidaria: Octocorallia: Primnoidae) and description of two new Antarctic primnoid species</t>
  </si>
  <si>
    <t>ZOOTAXA</t>
  </si>
  <si>
    <t>Cnidaria; Coelenterata; Octocorallia; Primnoidae; Antarctica; Tokoprymno; Thouarella; Digitogorgia; new species</t>
  </si>
  <si>
    <t>COELENTERATA; ANTHOZOA</t>
  </si>
  <si>
    <t>Thouarella brucei Thomson and Ritchie, 1906 is redescribed from the type material present in the Museum of Natural History, London, the Zoological Museum of Amsterdam and the National Museum of Scotland. A lectotype and remaining paralectotypes are designated from the material from the latter. We also add a new record from west South Georgia Island. Material collected on Burdwood Bank, during the Brategg expedition and previously identified as T. brucei by Broch is here considered as a new species in the recently described genus Digitogorgia Zapata-Guardiola and Lopez-Gonzalez, 2010; Digitogorgia brochi sp. nov. Finally, a new species is added to the monotypic genus Tokoprymno Bayer, 1996, Tokoprymno anatis sp. nov., based on material collected north east of Elephant Island, during the Polarstern cruise ANT XIX/3. The study of these new taxa allows us to describe a wider variation in polyp scale morphology and a wider distribution in Southern Ocean waters, both geographical and bathymetrical. The new species are also compared with their respective congeners.</t>
  </si>
  <si>
    <t>[Zapata-Guardiola, Rebeca; Lopez-Gonzalez, Pablo J.] Univ Seville, Fac Biol, Dept Fisiol &amp; Zool, E-41012 Seville, Spain</t>
  </si>
  <si>
    <t>University of Sevilla</t>
  </si>
  <si>
    <t>Zapata-Guardiola, R (corresponding author), Univ Seville, Fac Biol, Dept Fisiol &amp; Zool, Reina Mercedes 6, E-41012 Seville, Spain.</t>
  </si>
  <si>
    <t>rzapata@us.es; pjlopez@us.es</t>
  </si>
  <si>
    <t>Lopez-González, Pablo J./Y-6440-2018; Zapata-Guardiola, Rebeca/E-6310-2010</t>
  </si>
  <si>
    <t>Lopez-González, Pablo J./0000-0002-7348-6270; Zapata-Guardiola, Rebeca/0000-0001-9106-3696</t>
  </si>
  <si>
    <t>Spanish CICYT [REN2001-4269-E/ANT, REN2001-4929-E/ANT, POL200606399/CGL]</t>
  </si>
  <si>
    <t>Spanish CICYT(Consejo Interinstitucional de Ciencia y Tecnologia (CICYT))</t>
  </si>
  <si>
    <t>The authors would like to thank Ase Wilhelmsen (NHM), E.J. Beglinger (ZMA), E. Sherlock (MNH), Fiona Ware (NMS), Lyn Wall (NMS) and Susan Chambers (NMS) for loan of museum specimens for examination and also for their good quality photographs of the colonies. Special thanks are due to Phil Alderslade for his kindness and his many useful comments, which have really improved the manuscript. We also acknowledge the officers and crew of the R/V Polarstern, and many colleagues on board during the ANDEEP I and LAMPOS cruise, for their valuable assistance. We also thank the cruise leaders and steering committee of the cruise, especially Angelika Brandt (Zoological Institute and Zoological Museum, Hamburg), who kindly facilitated the work on board and for the opportunity to collaborate in these Antarctic programs. Special thanks are addressed to Mercedes Conradi for her valuable assistance during the ANDEEP I cruise and Neus Vert and Estefania Rodriguez during LAMPOS cruise. Support for this work was provided by the Spanish CICYT projects REN2001-4269-E/ANT (ANDEEP I), REN2001-4929-E/ANT (LAMPOS) and POL200606399/CGL (CLIMANT). Mr. Tony Krupa is thanked for reviewing the English version. This is ANDEEP publication no 142.</t>
  </si>
  <si>
    <t>MAGNOLIA PRESS</t>
  </si>
  <si>
    <t>AUCKLAND</t>
  </si>
  <si>
    <t>PO BOX 41383, AUCKLAND, ST LUKES 1030, NEW ZEALAND</t>
  </si>
  <si>
    <t>1175-5326</t>
  </si>
  <si>
    <t>1175-5334</t>
  </si>
  <si>
    <t>Zootaxa</t>
  </si>
  <si>
    <t>650SH</t>
  </si>
  <si>
    <t>WOS:000281871700003</t>
  </si>
  <si>
    <t>Zhao, K; Wang, YJ; Edwards, RL; Cheng, H; Liu, DB</t>
  </si>
  <si>
    <t>Zhao, Kan; Wang, Yongjin; Edwards, R. Lawrence; Cheng, Hai; Liu, Dianbing</t>
  </si>
  <si>
    <t>High-resolution stalagmite δ18O records of Asian monsoon changes in central and southern China spanning the MIS 3/2 transition</t>
  </si>
  <si>
    <t>Chinese stalagmite; Asian monsoon; bi-polar seesaw; Last Glacial Period</t>
  </si>
  <si>
    <t>INDIAN-OCEAN CLIMATE; LAST GLACIAL PERIOD; MILLENNIAL-SCALE; ICE CORE; SPELEOTHEM RECORD; SUMMER MONSOON; NORTH-ATLANTIC; DONGGE CAVE; HULU CAVE; GREENLAND</t>
  </si>
  <si>
    <t>High-resolution oxygen isotope records of three stalagmites from Sanbao (central China), Wulu (southern China) and Dashibao (southern China) Caves, based on 876 oxygen isotope measurements and 25 precise Th-230 dates, provide a detailed Asian monsoon (AM) history from 32.5 to 20.8 ka B.P., spanning the shift between Marine Isotope Stages 3 and 2. The calcite delta O-18 records, although geographically widespread (about 1000 km between them), including the previously-reported Hulu record, are similar in timing, shape, and amplitude. These observations support the idea that changes in speleothem delta O-18 largely represent variations of precipitation isotopic composition associated with large-scale summer monsoon circulation over a large portion of China. These profiles show four centennial to millennial scale strong summer monsoon events, analogous in timing and structure to Greenland Interstadials 5 through 3 (GIS 5-3). Chronology of the events refines the Hulu record and broadly supports the NGRIP GICC05 timescale. Five weak monsoon events are identified at 31.2, 30.1, 28.1, 25.7 and 24.2 ka B.P., all of which correspond to stadial events in Greenland. The 30.1 and 24.2 ka events correlate with Heinrich stadials 3 and 2. Furthermore, these events correlate to warm episodes in Antarctic ice cores, indicating that the climatic response to North Atlantic cooling is similar in China and in Antarctica, but in an opposite sense. These observations are consistent with the bi-polar seesaw hypothesis. The strong coupling between AM circulation and climate at both high latitudes at the centennial scale indicates that atmospheric circulation changes are important in transmitting abrupt climate signals globally. (C) 2010 Elsevier B.V. All rights reserved.</t>
  </si>
  <si>
    <t>[Zhao, Kan; Wang, Yongjin; Liu, Dianbing] Nanjing Normal Univ, Coll Geog Sci, Nanjing 210097, Peoples R China; [Edwards, R. Lawrence; Cheng, Hai] Univ Minnesota, Dept Geol &amp; Geophys, Minneapolis, MN 55455 USA; [Cheng, Hai] Xi An Jiao Tong Univ, Inst Global Environm Change, Xian 710049, Peoples R China</t>
  </si>
  <si>
    <t>Nanjing Normal University; University of Minnesota System; University of Minnesota Twin Cities; Xi'an Jiaotong University</t>
  </si>
  <si>
    <t>Wang, YJ (corresponding author), Nanjing Normal Univ, Coll Geog Sci, Nanjing 210097, Peoples R China.</t>
  </si>
  <si>
    <t>zhaokan19821026@163.com; yjwang@njnu.edu.cn; edwar001@umn.edu; cheng021@umn.edu; ldb9921@163.com</t>
  </si>
  <si>
    <t>CHENG, HAI/H-3413-2017; Edwards, Richard/JAX-3732-2023; Edwards, R. Lawrence/I-3124-2014</t>
  </si>
  <si>
    <t>CHENG, HAI/0000-0002-5305-9458;</t>
  </si>
  <si>
    <t>National Natural Science Foundation of China [40631003, 40771009, 40702026]; U.S. National Science Foundation [0502535]; Gary Comer Science and Education Foundation [CP41]; Div Atmospheric &amp; Geospace Sciences; Directorate For Geosciences [0502535] Funding Source: National Science Foundation</t>
  </si>
  <si>
    <t>National Natural Science Foundation of China(National Natural Science Foundation of China (NSFC)); U.S. National Science Foundation(National Science Foundation (NSF)); Gary Comer Science and Education Foundation; Div Atmospheric &amp; Geospace Sciences; Directorate For Geosciences(National Science Foundation (NSF)NSF - Directorate for Geosciences (GEO))</t>
  </si>
  <si>
    <t>We are grateful to Prof. Anders Svensson for his generous technical comments on an early version of the manuscript. Thanks are also given to an anonymous reviewer for his/her critical and instructive comments. This work was supported by National Natural Science Foundation of China grants (nos.40631003, 40771009 and 40702026), U.S. National Science Foundation grant 0502535 and Gary Comer Science and Education Foundation grant CP41.</t>
  </si>
  <si>
    <t>SEP 15</t>
  </si>
  <si>
    <t>10.1016/j.epsl.2010.07.041</t>
  </si>
  <si>
    <t>677HH</t>
  </si>
  <si>
    <t>WOS:000283979200020</t>
  </si>
  <si>
    <t>Motoba, T; Hosokawa, K; Sato, N; Kadokura, A; Bjornsson, G</t>
  </si>
  <si>
    <t>Motoba, T.; Hosokawa, K.; Sato, N.; Kadokura, A.; Bjornsson, G.</t>
  </si>
  <si>
    <t>Varying interplanetary magnetic field By effects on interhemispheric conjugate auroral features during a weak substorm</t>
  </si>
  <si>
    <t>COMPONENT; IMF; MAGNETOSPHERE; POINTS</t>
  </si>
  <si>
    <t>Interhemispheric conjugate auroral features during a weak substorm interval were investigated using simultaneous all-sky camera (ASC) measurements at the northern and southern geomagnetic conjugate points at Tjornes (TJO; 66.2 degrees N, 342.9 degrees E) in Iceland and Syowa Station (SYO; 69.0 degrees S, 39.6 degrees E) in Antarctica. Around postmidnight, just after the substorm onset, the ASC field of view (FOV) at TJO was first filled with dynamic auroral activations; however, its counterpart was not detected over the zenith at SYO at that time. In contrast, in the late stage (about 20 min after the onset) of substorm development we observed spiral-like auroral arcs with a similar shape drifting eastward across the center of each ASC FOV, although the one at TJO preceded the one at SYO. The time sequence of the interhemispheric conjugate auroral features was well reflected in the geomagnetic field variations at both stations. On the basis of a detailed comparison of both ASC images, we identified that the northern geomagnetic footprint of SYO was displaced poleward of TJO by up to 3.0 degrees or more in the initial stage of substorm development, whereas in the late stage it was displaced eastward by up to similar to 1 h relative to TJO and then moved closer to TJO. We emphasize that the dynamic motion of the conjugate points is a consequence of the time-dependent magnetotail field reconfiguration process, controlled by the varying interplanetary magnetic field B-y polarity.</t>
  </si>
  <si>
    <t>[Motoba, T.; Sato, N.; Kadokura, A.] Natl Inst Polar Res, Tokyo 1908518, Japan; [Hosokawa, K.] Univ Electrocommun, Dept Commun Engn &amp; Informat, Tokyo 1828585, Japan; [Bjornsson, G.] Univ Iceland, Inst Sci, IS-107 Reykjavik, Iceland</t>
  </si>
  <si>
    <t>Research Organization of Information &amp; Systems (ROIS); National Institute of Polar Research (NIPR) - Japan; University of Electro-Communications - Japan; University of Iceland</t>
  </si>
  <si>
    <t>Motoba, T (corresponding author), Natl Inst Polar Res, 10-3 Midori Cho, Tokyo 1908518, Japan.</t>
  </si>
  <si>
    <t>motoba.tetsuo@nipr.ac.jp</t>
  </si>
  <si>
    <t>Motoba, Tetsuo/S-4554-2017</t>
  </si>
  <si>
    <t>Motoba, Tetsuo/0000-0002-8138-7897</t>
  </si>
  <si>
    <t>Ministry of Education, Culture, Sports, Science and Technology of Japan [21403007]; Grants-in-Aid for Scientific Research [21403007]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</si>
  <si>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</si>
  <si>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the 50th Japanese Antarctic Research Expedition (JARE) members carrying out the optical operation at Syowa Station. We are grateful to K. H. Glassmeier and U. Auster for the use of THEMIS FGM level 2 data, provided via Coordinated Data Analysis Web (CDAWeb), Goddard Space Flight Center (http://cdaweb.gsfc.nasa.gov/). This research was supported by Grant-in-Aid for Scientific Research B (21403007) by the Ministry of Education, Culture, Sports, Science and Technology of Japan.</t>
  </si>
  <si>
    <t>A09210</t>
  </si>
  <si>
    <t>10.1029/2010JA015369</t>
  </si>
  <si>
    <t>652OM</t>
  </si>
  <si>
    <t>WOS:000282017100001</t>
  </si>
  <si>
    <t>Leat, PT; Tate, AJ; Tappin, DR; Day, SJ; Owen, MJ</t>
  </si>
  <si>
    <t>Leat, Philip T.; Tate, Alex J.; Tappin, David R.; Day, Simon J.; Owen, Matthew J.</t>
  </si>
  <si>
    <t>Growth and mass wasting of volcanic centers in the northern South Sandwich arc, South Atlantic, revealed by new multibeam mapping</t>
  </si>
  <si>
    <t>MARINE GEOLOGY</t>
  </si>
  <si>
    <t>South Sandwich Islands; Island arc; Submarine volcano; Sediment wave; Multibeam bathymetry; Sub-bottom profiling</t>
  </si>
  <si>
    <t>MIGRATING SEDIMENT WAVES; IZU-BONIN ARC; DEBRIS AVALANCHES; SILICIC CALDERA; SCOTIA SEA; ISLAND; GENERATION; SUBDUCTION; ERUPTION; DEPOSITS</t>
  </si>
  <si>
    <t>New multibeam (swath) bathymetric sonar data acquired using an EM120 system on the RRS James Clark Ross, supplemented by sub-bottom profiling, reveals the underwater morphology of a similar to 12,000 km(2) area in the northern part of the mainly submarine South Sandwich volcanic arc. The new data extend between 55 45'S and 57 degrees 20'S and include Protector Shoal and the areas around Zavodovski, Visokoi and the Candlemas islands groups. Each of these areas is a discrete volcanic center. The entirely submarine Protector Shoal area, close to the northern limit of the arc, forms a 55 km long east-west-trending seamount chain that is at least partly of silicic composition. The seamounts are comparable to small subaerial stratovolcanoes in size, with volumes up to 83 km(3), indicating that they are the product of multiple eruptions over extended periods. Zavodovski. Visokoi and the Candlemas island group are the summits of three 3-3.5 km high volcanic edifices. The bathymetric data show evidence for relationships between constructional volcanic features, including migrating volcanic centers, structurally controlled constructional ridges, satellite lava flows and domes, and mass wasting of the edifices. Mass wasting takes place mainly by strong erosion at sea level, and dispersal of this material along chutes, probably as turbidity currents and other mass flows that deposit in extensive sediment wave fields. Large scale mass wasting structures include movement of unconsolidated debris in slides, slumps and debris avalanches. Volcanism is migrating westward relative to the underlying plate and major volcanoes are asymmetrical, being steep with abundant recent volcanism on their western flanks, and gently sloping with extinct, eroded volcanic sequences to their east. This is consistent with the calculated rate of subduction erosion of the fore-arc. (C) 2010 Elsevier B.V. All rights reserved.</t>
  </si>
  <si>
    <t>[Leat, Philip T.; Tate, Alex J.] British Antarctic Survey, Cambridge CB3 0ET, England; [Tappin, David R.] British Geol Survey, Kingsley Dunham Ctr, Nottingham NG12 5GG, England; [Day, Simon J.] UCL, Dept Earth Sci, Aon Benfield UCL Hazard Res Ctr, London WC1E 6BT, England; [Owen, Matthew J.] UCL, Dept Geog, Environm Change Res Ctr, London WC1E 6BT, England</t>
  </si>
  <si>
    <t>UK Research &amp; Innovation (UKRI); Natural Environment Research Council (NERC); NERC British Antarctic Survey; UK Research &amp; Innovation (UKRI); Natural Environment Research Council (NERC); NERC British Geological Survey; University of London; University College London; University of London; University College London</t>
  </si>
  <si>
    <t>Leat, PT (corresponding author), British Antarctic Survey, High Cross,Madingley Rd, Cambridge CB3 0ET, England.</t>
  </si>
  <si>
    <t>ptle@bas.ac.uk</t>
  </si>
  <si>
    <t>Tappin, David/H-7010-2013; Owen, Matthew/L-2970-2013</t>
  </si>
  <si>
    <t>Tappin, David/0000-0003-3186-8403; Owen, Matthew/0000-0001-7119-4656</t>
  </si>
  <si>
    <t>Natural Environment Research Council; NERC [bgs05003, bas0100026] Funding Source: UKRI; Natural Environment Research Council [bas0100026, bgs05003]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</si>
  <si>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</si>
  <si>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 Research Council. We are grateful to Captains Graham Chapman and Jerry Burgan and crews of RRS James Clark Ross for their enthusiastic support of the work. The paper greatly benefitted from constructive comments by C. Romagnoli and an anonymous reviewer.</t>
  </si>
  <si>
    <t>0025-3227</t>
  </si>
  <si>
    <t>1872-6151</t>
  </si>
  <si>
    <t>MAR GEOL</t>
  </si>
  <si>
    <t>Mar. Geol.</t>
  </si>
  <si>
    <t>10.1016/j.margeo.2010.05.001</t>
  </si>
  <si>
    <t>Geosciences, Multidisciplinary; Oceanography</t>
  </si>
  <si>
    <t>Geology; Oceanography</t>
  </si>
  <si>
    <t>642MC</t>
  </si>
  <si>
    <t>WOS:000281217300008</t>
  </si>
  <si>
    <t>Naik, SS; Naidu, PD; Govil, P; Godad, S</t>
  </si>
  <si>
    <t>Naik, Sushant S.; Naidu, P. Divakar; Govil, Pawan; Godad, Shital</t>
  </si>
  <si>
    <t>Relationship between weights of planktonic foraminifer shell and surface water CO3= concentration during the Holocene and Last Glacial Period</t>
  </si>
  <si>
    <t>atmospheric CO2 proxy; carbonate ion concentration; Indian Ocean; Globigerinoides sacculifer shell weights</t>
  </si>
  <si>
    <t>VOSTOK ICE CORE; ATMOSPHERIC CO2; CALCIFICATION; DISSOLUTION; CARBON; MG/CA; PROXY</t>
  </si>
  <si>
    <t>Shell weights of Globigerinoides sacculifer and the elemental concentration of magnesium and calcium (Mg/Ca) from Globigerinoides ruber measured from an Arabian Sea sediment core, AAS9/21, exhibit an inverse relationship with each other, which reveals that shell weights are mainly controlled by surface water [COT] rather than calcification temperature. Down core shell weight variations of Core AAS9/21 show an excellent correspondence with CO2 concentrations in an Antarctic Ice Core, which reveals that planktic forminifera shells can trace atmospheric CO2 due to the resultant change in surface water [CO3=]. Hence, shell weights of G. sacculifer can be used as a proxy to reconstruct atmospheric CO2 concentrations in the past. Here, based on the shell weights, surface water [CO3=] change in the Arabian Sea is quantified and found that a [CO3=] variation of similar to 8 mu mol/kg occurred during the Holocene and a similar to 36 mu mol/kg variation occurred during the last glacial period. (C) 2010 Elsevier B.V. All rights reserved.</t>
  </si>
  <si>
    <t>[Naik, Sushant S.; Naidu, P. Divakar; Godad, Shital] Natl Inst Oceanog, Panaji 403004, Goa, India; [Govil, Pawan] Natl Ctr Antarctic &amp; Ocean Res, Headland Sada 403804, Goa, India</t>
  </si>
  <si>
    <t>Naik, SS (corresponding author), Natl Inst Oceanog, Panaji 403004, Goa, India.</t>
  </si>
  <si>
    <t>sushant@nio.org</t>
  </si>
  <si>
    <t>Naidu, Pothuri Divakar/AAH-1613-2019; Naik, Sushant/B-3512-2011</t>
  </si>
  <si>
    <t>ISRO-GBP</t>
  </si>
  <si>
    <t>We thank both reviewers for providing constructive comments. This work was financially supported by the ISRO-GBP grants. We thank Dr. A. L Paropkari for providing the AAS9/21 samples. This is National Institute of Oceanography contribution No. 4767.</t>
  </si>
  <si>
    <t>10.1016/j.margeo.2010.05.004</t>
  </si>
  <si>
    <t>WOS:000281217300021</t>
  </si>
  <si>
    <t>Montone, RC; Martins, CC; Bícego, MC; Taniguchi, S; da Silva, DAM; Campos, LS; Weber, RR</t>
  </si>
  <si>
    <t>Montone, Rosalinda C.; Martins, Cesar C.; Bicego, Marcia C.; Taniguchi, Satie; Moreira da Silva, Denis Albuquerque; Campos, Lucia S.; Weber, Rolf Roland</t>
  </si>
  <si>
    <t>Distribution of sewage input in marine sediments around a maritime Antarctic research station indicated by molecular geochemical indicators</t>
  </si>
  <si>
    <t>SCIENCE OF THE TOTAL ENVIRONMENT</t>
  </si>
  <si>
    <t>Fecal steroids; Linear alkylbenzenes; Sediments; Sewage contamination; Antarctica</t>
  </si>
  <si>
    <t>KING-GEORGE ISLAND; ADMIRALTY BAY; LINEAR ALKYLBENZENES; FECAL STEROLS; CLOSTRIDIUM-PERFRINGENS; ENTERIC BACTERIA; MCMURDO-STATION; SOUTH SHETLAND; DAVIS-STATION; CONTAMINATION</t>
  </si>
  <si>
    <t>Sediments from Admiralty Bay, Antarctica were collected during the austral summers of 2002/2003 and 2003/2004 in order to assess the distribution and concentration of sewage indicators originating from Comandante Ferraz Brazilian Antarctic Station. Fecal sterols (coprostanol + epicoprostanol) and linear alkylbenzenes (LABs) ranged from &lt;0.01 to 0.95 mu g g(-1) and &lt;1.0 to 23 ng g(-1) dry weight, respectively. In general, the higher concentrations were found only locally in the vicinity of Ferraz station at Martel Inlet. Baseline values for fecal sterols and coprostanone were calculated as 0.19 and 0.40 mu g g(-1), respectively. According to fecal sterols concentrations, sewage contribution to Martel Inlet has increased more than twice since 1997, as result of the increase in the number of researchers at the station especially during the last decade. A low correlation was found between total LABs and fecal steroids, which could be attributed to the contribution of the natural sources of steroids. (C) 2010 Elsevier B.V. All rights reserved.</t>
  </si>
  <si>
    <t>[Montone, Rosalinda C.; Martins, Cesar C.; Bicego, Marcia C.; Taniguchi, Satie; Moreira da Silva, Denis Albuquerque; Weber, Rolf Roland] Univ Sao Paulo, Inst Oceanog, Lab Quim Organ Marinha, BR-05508120 Sao Paulo, Brazil; [Martins, Cesar C.] Univ Fed Parana, Ctr Estudos Mar, BR-83255000 Pontal Do Parana, PR, Brazil; [Campos, Lucia S.] Univ Fed Rio de Janeiro, Inst Biol, Dept Zool, BR-21941590 Rio De Janeiro, Brazil</t>
  </si>
  <si>
    <t>Universidade de Sao Paulo; Universidade Federal do Parana; Universidade Federal do Rio de Janeiro</t>
  </si>
  <si>
    <t>Martins, CC (corresponding author), Univ Sao Paulo, Inst Oceanog, Lab Quim Organ Marinha, Praca Oceanog 191, BR-05508120 Sao Paulo, Brazil.</t>
  </si>
  <si>
    <t>ccmart@ufpr.br</t>
  </si>
  <si>
    <t>Bicego, Marcia C/D-1996-2013; de Castro Martins, Cesar C/I-1086-2012; Montone, Rosalinda C/J-9110-2012; Campos, Lucia/L-9539-2013; Taniguchi, Satie/D-2552-2013</t>
  </si>
  <si>
    <t>de Castro Martins, Cesar/0000-0002-2515-5565; Campos, Lucia/0000-0002-3648-7450; Bicego, Marcia/0000-0002-9939-9853; Taniguchi, Satie/0000-0002-6825-6390</t>
  </si>
  <si>
    <t>Ministerio do Meio Ambiente (MMA); Conselho Nacional de Pesquisa (CNPq); [CNPq 307110/2008-7]; [CNPq 152417/2005-2]</t>
  </si>
  <si>
    <t>Ministerio do Meio Ambiente (MMA); Conselho Nacional de Pesquisa (CNPq)(Conselho Nacional de Desenvolvimento Cientifico e Tecnologico (CNPQ)); ;</t>
  </si>
  <si>
    <t>Financial support was obtained from the Antarctic Brazilian Program (PROANTAR) by a grant from the Ministerio do Meio Ambiente (MMA) and Conselho Nacional de Pesquisa (CNPq) with logistical support from the Secretaria da Comissao Interministerial para os Recursos do Mar (SECIRM). CC. Martins thanks for the financial support received from the Post-Ph.D. Grant (CNPq 152417/2005-2) and PQ-2 Grant (CNPq 307110/2008-7). This work contributes to the Brazilian National Science and Technology Institute on Antarctic Environmental Research (INCT-APA, acronym in Portuguese). The authors wish to thank the Ferraz Station staff for their support during the sampling program. This paper is resulted of Brazilian Antarctic Environment Research Network (CNPq 550345/2002-7; 550348/2002-6; 55.0356/2002-9).</t>
  </si>
  <si>
    <t>0048-9697</t>
  </si>
  <si>
    <t>1879-1026</t>
  </si>
  <si>
    <t>SCI TOTAL ENVIRON</t>
  </si>
  <si>
    <t>Sci. Total Environ.</t>
  </si>
  <si>
    <t>10.1016/j.scitotenv.2010.07.012</t>
  </si>
  <si>
    <t>651MJ</t>
  </si>
  <si>
    <t>WOS:000281931500046</t>
  </si>
  <si>
    <t>Pacheco, PH; Spisso, A; Cerutti, S; Smichowski, P; Martinez, LD</t>
  </si>
  <si>
    <t>Pacheco, Pablo H.; Spisso, Adrian; Cerutti, Soledad; Smichowski, Patricia; Martinez, Luis D.</t>
  </si>
  <si>
    <t>Non-chromatographic screening method for the determination of mercury species. Application to the monitoring of mercury levels in Antarctic samples</t>
  </si>
  <si>
    <t>TALANTA</t>
  </si>
  <si>
    <t>Screening method; Mercury species; Adamussium colbecki; Antarctic Krill</t>
  </si>
  <si>
    <t>PERFORMANCE LIQUID-CHROMATOGRAPHY; ATOMIC-ABSORPTION-SPECTROMETRY; RP C18 PRECONCENTRATION; COLD VAPOR GENERATION; INORGANIC MERCURY; FLUORESCENCE SPECTROMETRY; ORGANOMERCURY COMPOUNDS; EMISSION-SPECTROMETRY; BIOLOGICAL SAMPLES; TRACE-ELEMENTS</t>
  </si>
  <si>
    <t>A simple non-chromatographic method for the determination of mercury (Hg(2+)), methylmercury (MeHg(+)), dimethylmercury (Me(2)Hg), and phenylmercury (PhHg(+)) employing atomic fluorescence spectrometry (AFS) as detection technique was developed. Mercury species showed a particular behavior in the presence of several reagents. In a first stage SnCl(2) was employed for Hg(2+) determination; in a second step, [Hg(2+) + PhHg(+)] concentration was determined using SnCl(2) and UV radiation. MeHg(+) decomposition was prevented adding 2-mercaptoethanol. In a third stage, [Hg(2+) + PhHg(+) + MeHe(+)] concentration was determined using K(2)S(2)O(8). Finally, the four species were determined employing NaBH(4). Reagents concentration and flow rates were optimized. The extraction technique of mercury species involved the use of 2-mercaptoethanol as ion-pair reagent. The limits of detection for Hg(2+), PhHe(+), MeHg(+), and Me(2)Hg were 1, 40, 68, and 99 ng L(-1) with a relative standard deviation of 1.5, 3.1, 4.7 and 5.8%, respectively. Calibration curve was linear with a correlation factor equal to 0.9995. The method was successfully applied to the determination of the mercury species in two Antarctic materials: IRMM 813 (Adamussium colbecki) and MURST-ISS-A2 (Antarctic Krill). (C) 2010 Elsevier B.V. All rights reserved.</t>
  </si>
  <si>
    <t>[Pacheco, Pablo H.; Cerutti, Soledad; Martinez, Luis D.] Inst Quim San Luis INQUISAL CONICET, RA-5700 San Luis, Argentina; [Pacheco, Pablo H.; Spisso, Adrian; Cerutti, Soledad; Martinez, Luis D.] Univ Nacl San Luis, Fac Quim Bioquim &amp; Farm, Dept Quim Analit, RA-5700 San Luis, Argentina; [Smichowski, Patricia] Consejo Nacl Invest Cient &amp; Tecn CONICET, Buenos Aires, DF, Argentina; [Smichowski, Patricia] Comis Nacl Energia Atom, San Martin, Argentina</t>
  </si>
  <si>
    <t>Universidad Nacional de San Luis; Consejo Nacional de Investigaciones Cientificas y Tecnicas (CONICET); Universidad Nacional de San Luis; Consejo Nacional de Investigaciones Cientificas y Tecnicas (CONICET); Comision Nacional de Energia Atomica (CNEA)</t>
  </si>
  <si>
    <t>Martinez, LD (corresponding author), Inst Quim San Luis INQUISAL CONICET, RA-5700 San Luis, Argentina.</t>
  </si>
  <si>
    <t>smichows@cnea.gov.ar; ldm@unsl.edu.ar</t>
  </si>
  <si>
    <t>Pacheco, Pablo/I-7090-2019</t>
  </si>
  <si>
    <t>Pacheco, Pablo/0000-0001-7192-6861; Pacheco, Pablo/0000-0002-1440-2946</t>
  </si>
  <si>
    <t>Consejo Nacional de Investigaciones Cientificas yTecnicas (CONICET); Agencia Nacional de Promocion Cientifica y Tecnologica (FONCYT) (PICTBID); Universidad Nacional de San Luis (Argentina); Comision Nacional de Energia Atomica (CNEA)</t>
  </si>
  <si>
    <t>Consejo Nacional de Investigaciones Cientificas yTecnicas (CONICET)(Consejo Nacional de Investigaciones Cientificas y Tecnicas (CONICET)); Agencia Nacional de Promocion Cientifica y Tecnologica (FONCYT) (PICTBID)(ANPCyTFONCyT); Universidad Nacional de San Luis (Argentina); Comision Nacional de Energia Atomica (CNEA)</t>
  </si>
  <si>
    <t>This work was supported by Consejo Nacional de Investigaciones Cientificas yTecnicas (CONICET), Agencia Nacional de Promocion Cientifica y Tecnologica (FONCYT) (PICTBID), Universidad Nacional de San Luis (Argentina), and Comision Nacional de Energia Atomica (CNEA). The authors would like to thank to Dr. Sergio Caroli for providing the samples.</t>
  </si>
  <si>
    <t>0039-9140</t>
  </si>
  <si>
    <t>Talanta</t>
  </si>
  <si>
    <t>10.1016/j.talanta.2010.07.032</t>
  </si>
  <si>
    <t>658HG</t>
  </si>
  <si>
    <t>WOS:000282480500063</t>
  </si>
  <si>
    <t>Kim, H; Lessard, MR; Engebretson, MJ; Lühr, H</t>
  </si>
  <si>
    <t>Kim, H.; Lessard, M. R.; Engebretson, M. J.; Luehr, H.</t>
  </si>
  <si>
    <t>Ducting characteristics of Pc 1 waves at high latitudes on the ground and in space</t>
  </si>
  <si>
    <t>ION-CYCLOTRON WAVES; HYDROMAGNETIC EMISSIONS; MAGNETIC PULSATIONS; IONOSPHERIC DUCT; SOURCE REGION; LOW FREQUENCY; PROPAGATION; MICROPULSATIONS; POLARIZATION; MAGNETOSPHERE</t>
  </si>
  <si>
    <t>Well-defined ULF Pc 1 geomagnetic pulsations have been observed simultaneously from a ground array of five search-coil magnetometers in the morning sector of Antarctica on Mar. 23, 2007. Distributed over a very extensive range of geomagnetic latitudes (-62 degrees to -87 degrees, spanning similar to 2920 km geographically) approximately along a magnetic meridian, the array showed poleward propagation of the Pc 1 waves in the ionospheric waveguide. It is observed that attenuation factors are between similar to 8 and 20 dB/1000 km and the polarization sense changes from left-hand to right-hand as the waves are ducted poleward. However, a complex polarization pattern (i.e., change in ellipticity and major axis angle) was seen on the ground, which might be attributed to the array being close to the wave injection region where the superposed effect of incident waves and ducted waves is dominant. A CHAMP satellite conjunction showed a transverse and nearly linearly polarized Pc 1 ULF wave at the altitude of the ducting layer (similar to 350 km) over a limited latitudinal extent (-53 degrees to -61 degrees ILAT). The polarization analysis performed using the ground data supports the idea that CHAMP detected the wave activity near the wave injection region. The observations are unique in that the ducted waves, seen over an array with unprecedented geomagnetic latitudinal range and positioning along a magnetic meridian (a condition that provides the most efficient ducting), have rarely been measured before.</t>
  </si>
  <si>
    <t>[Kim, H.] Virginia Polytech Inst &amp; State Univ, Ctr Space Sci &amp; Engn Res, Blacksburg, VA 24061 USA; [Engebretson, M. J.] Augsburg Coll, Dept Phys, Minneapolis, MN 55454 USA; [Lessard, M. R.] Univ New Hampshire, Ctr Space Sci, Durham, NH 03824 USA; [Luehr, H.] Geoforschungszentrum Potsdam, D-14473 Potsdam, Germany</t>
  </si>
  <si>
    <t>Virginia Polytechnic Institute &amp; State University; Augsburg University; University System Of New Hampshire; University of New Hampshire; Helmholtz Association; Helmholtz-Center Potsdam GFZ German Research Center for Geosciences</t>
  </si>
  <si>
    <t>Kim, H (corresponding author), Virginia Polytech Inst &amp; State Univ, Ctr Space Sci &amp; Engn Res, Blacksburg, VA 24061 USA.</t>
  </si>
  <si>
    <t>hmkim@vt.edu</t>
  </si>
  <si>
    <t>NSF [ANT-0838910, ANT-0839938, ANT 0636874, ANT-0838917, ANT-0840133]; Office of Polar Programs (OPP); Directorate For Geosciences [0838917] Funding Source: National Science Foundation; Office of Polar Programs (OPP); Directorate For Geosciences [0840133, 0839938, 0838910] Funding Source: National Science Foundation</t>
  </si>
  <si>
    <t>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</si>
  <si>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NSF grants ANT-0838910, ANT-0839938, and ANT 0636874 to the University of New Hampshire, and by NSF grants ANT-0838917 and ANT-0840133 to Augsburg College. The authors would like to thank Mike Rose and the engineering and logistics staff at the British Antarctic Survey for their deployment and operation of the Halley search coil instrument.</t>
  </si>
  <si>
    <t>SEP 14</t>
  </si>
  <si>
    <t>A09310</t>
  </si>
  <si>
    <t>10.1029/2010JA015323</t>
  </si>
  <si>
    <t>652OL</t>
  </si>
  <si>
    <t>WOS:000282016900006</t>
  </si>
  <si>
    <t>Fraile-Nuez, E; Machín, F; Vélez-Belchi, P; López-Laatzen, F; Borges, R; Benítez-Barrios, V; Hernández-Guerra, A</t>
  </si>
  <si>
    <t>Fraile-Nuez, Eugenio; Machin, Francisco; Velez-Belchi, Pedro; Lopez-Laatzen, Federico; Borges, Rafael; Benitez-Barrios, Veronica; Hernandez-Guerra, Alonso</t>
  </si>
  <si>
    <t>Nine years of mass transport data in the eastern boundary of the North Atlantic Subtropical Gyre</t>
  </si>
  <si>
    <t>MERIDIONAL OVERTURNING CIRCULATION; TEMPORAL VARIABILITY; INTERMEDIATE WATER; CANARY-ISLANDS; TIME-SERIES; OCEAN; AFRICA</t>
  </si>
  <si>
    <t>One of the longest current meter time series in the Lanzarote Passage in the eastern boundary of the North Atlantic Subtropical Gyre has been used to determine and quantify the 9-year mean transport, the inter-annual and seasonal mass transport variability for the three water masses present in the area. Results show North Atlantic Central Water (NACW) flowing southward in the upper levels with a mean mass transport of -0.81 +/- 1.48 Sv, Antarctic Intermediate Water (AAIW) flowing northward at intermediate levels with a mean transport of +0.09 +/- 0.57 Sv and Mediterranean Water (MW) flowing southward in the deep part of the passage with a mean transport of -0.05 +/- 0.17 Sv. Harmonic and wavelet analysis show the presence of a seasonal pattern in the passage for the three water masses. A maximum southward transport in winter and spring has been observed for the NACW followed by a minimum in summer and fall. Near zero values during winter and spring are found for AAIW, with a maximum northward value in summer and a negative value in fall, when this water mass reverses its flow. MW has a similar seasonal pattern to NACW. The vertical structure in the Lanzarote Passage can be approximated by four significant oscillatory modes which cumulatively explain 86.4% of the variance. The strong transport fluctuation found at the seasonal and inter-annual timescales demonstrates that the Eastern Boundary Current transport has a strong impact on meridional overturning estimates, thus indicating that to understand Meridional Overturning Circulation variability, these transport estimates at the eastern Atlantic margin are necessary.</t>
  </si>
  <si>
    <t>[Fraile-Nuez, Eugenio; Velez-Belchi, Pedro; Lopez-Laatzen, Federico] Inst Espanol Oceanog, Ctr Oceanog Canarias, E-38005 Santa Cruz de Tenerife, Spain; [Machin, Francisco] Inst Ciencias Mar, E-08003 Barcelona, Spain; [Borges, Rafael; Benitez-Barrios, Veronica; Hernandez-Guerra, Alonso] Univ Palmas de Gran Canaria, Fac Ciencias Mar, E-35017 Las Palmas Gran Canaria, Spain</t>
  </si>
  <si>
    <t>Spanish Institute of Oceanography; Consejo Superior de Investigaciones Cientificas (CSIC); CSIC - Centro Mediterraneo de Investigaciones Marinas y Ambientales (CMIMA); CSIC - Instituto de Ciencias del Mar (ICM); Universidad de Las Palmas de Gran Canaria</t>
  </si>
  <si>
    <t>Fraile-Nuez, E (corresponding author), Inst Espanol Oceanog, Ctr Oceanog Canarias, Gen Gutierrez 4, E-38005 Santa Cruz de Tenerife, Spain.</t>
  </si>
  <si>
    <t>eugenio.fraile@oceanografia.es; fmachin@icm.csic.es; pedro.velez@ca.ieo.es; federico.lopez@ca.ieo.es; rbormen@gmail.com; veronica.benitez102@doctorandos.ulpgc.es; ahernandez@dfis.ulpgc.es</t>
  </si>
  <si>
    <t>Hernandez-Guerra, Alonso/A-4747-2008; Machin, Francisco/A-9287-2009; Nuez, Eugenio Fraile/R-2258-2019; Velez-Belchi, Pedro/I-9150-2017</t>
  </si>
  <si>
    <t>Hernandez-Guerra, Alonso/0000-0002-4883-8123; Machin, Francisco/0000-0002-4281-6804; Nuez, Eugenio Fraile/0000-0003-4250-4445; Velez-Belchi, Pedro/0000-0003-2404-5679</t>
  </si>
  <si>
    <t>Instituto Espanol de Oceanograf; European Union [MAS-CT96-0060]; Spanish Ministry of Science though Argo-Spain [ICTS-2008-14]; ORCA [CTM2005-04701-C02-01]</t>
  </si>
  <si>
    <t>Instituto Espanol de Oceanograf; European Union(European Union (EU)); Spanish Ministry of Science though Argo-Spain; ORCA</t>
  </si>
  <si>
    <t>This study has been performed as part of the Instituto Espanol de Oceanograf a RAPROCAN Project, European Union through CANIGO (MAS-CT96-0060) project and the Spanish Ministry of Science though Argo-Spain (ICTS-2008-14) and ORCA (CTM2005-04701-C02-01) projects. The authors would like to thank the invaluable comments of Jose Luis Pelegri as well as the officers and crew of the R/V Cornide de Saavedra for their help at sea.</t>
  </si>
  <si>
    <t>SEP 10</t>
  </si>
  <si>
    <t>C09009</t>
  </si>
  <si>
    <t>10.1029/2010JC006161</t>
  </si>
  <si>
    <t>649GR</t>
  </si>
  <si>
    <t>WOS:000281756700001</t>
  </si>
  <si>
    <t>Sager, WW; Paul, CF; Krishna, KS; Pringle, M; Eisin, AE; Frey, FA; Rao, DG; Levchenko, O</t>
  </si>
  <si>
    <t>Sager, W. W.; Paul, C. F.; Krishna, K. S.; Pringle, M.; Eisin, A. E.; Frey, F. A.; Rao, D. Gopala; Levchenko, O.</t>
  </si>
  <si>
    <t>Large fault fabric of the Ninetyeast Ridge implies near-spreading ridge formation</t>
  </si>
  <si>
    <t>NORTHEASTERN INDIAN-OCEAN; INTRAPLATE DEFORMATION; SATELLITE ALTIMETRY; EVOLUTION; PLATE; KINEMATICS; CRUST</t>
  </si>
  <si>
    <t>Ninetyeast Ridge (NER) is a linear volcanic ridge in the Indian Ocean thought to have formed by hotspot volcanism on the northward-drifting Indian plate. Geological data from the ridge are sparse, so its tectonic evolution is poorly known. We studied satellite-derived gravity data, seismic reflection profiles, and multibeam bathymetry to examine NER structure. Gravity data show that the ridge displays a series of nearly E-W trending lineations with average spacing similar to 0.4 degrees (45 km). In seismic and bathymetry data, these lineations correlate with horsts and grabens that probably formed near the time of ridge emplacement. From their extensional nature and trends, we infer that these faulted structures formed near the spreading ridge that separated the Indian and Antarctic plates and their ubiquity implies the hotspot was never far from this spreading ridge. Citation: Sager, W. W., C. F. Paul, K. S. Krishna, M. Pringle, A. E. Eisin, F. A. Frey, D. Gopala Rao, and O. Levchenko (2010), Large fault fabric of the Ninetyeast Ridge implies near-spreading ridge formation, Geophys. Res. Lett., 37, L17304, doi:10.1029/2010GL044347.</t>
  </si>
  <si>
    <t>[Sager, W. W.; Paul, C. F.; Eisin, A. E.] Texas A&amp;M Univ, Dept Oceanog, College Stn, TX 77843 USA; [Krishna, K. S.] CSIR, Natl Inst Oceanog, Panaji 403004, Goa, India; [Pringle, M.; Frey, F. A.] MIT, Dept Earth &amp; Planetary Sci, Cambridge, MA 02139 USA; [Rao, D. Gopala] Osmania Univ, Dept Geol, Hyderabad 500007, Andhra Pradesh, India; [Levchenko, O.] Russian Acad Sci, PP Shirshov Oceanol Inst, Moscow 117997, Russia</t>
  </si>
  <si>
    <t>Texas A&amp;M University System; Texas A&amp;M University College Station; Council of Scientific &amp; Industrial Research (CSIR) - India; CSIR - National Institute of Oceanography (NIO); Massachusetts Institute of Technology (MIT); Osmania University; Russian Academy of Sciences; Shirshov Institute of Oceanology</t>
  </si>
  <si>
    <t>Sager, WW (corresponding author), Texas A&amp;M Univ, Dept Oceanog, MS 3146, College Stn, TX 77843 USA.</t>
  </si>
  <si>
    <t>wsager@ocean.tamu.edu</t>
  </si>
  <si>
    <t>Pringle, Malcolm/ABD-5663-2020</t>
  </si>
  <si>
    <t>Frey, Frederick/0000-0002-5403-5677</t>
  </si>
  <si>
    <t>National Science Foundation [OCE-0550743, OCE0549852]</t>
  </si>
  <si>
    <t>The authors are indebted to Captain Tom Desjardins, the crew, and technicians of the R/V Roger Revelle for their efforts on cruise KNOX06RR. We thank Walter H. F. Smith for advice on satellite gravity data. This project was supported by grants OCE-0550743 and OCE0549852 from the National Science Foundation.</t>
  </si>
  <si>
    <t>SEP 9</t>
  </si>
  <si>
    <t>L17304</t>
  </si>
  <si>
    <t>10.1029/2010GL044347</t>
  </si>
  <si>
    <t>649FY</t>
  </si>
  <si>
    <t>WOS:000281754700001</t>
  </si>
  <si>
    <t>Schiermeier, Q</t>
  </si>
  <si>
    <t>Schiermeier, Quirin</t>
  </si>
  <si>
    <t>Ecologists fear Antarctic krill crisis (vol 467, pg 15, 2010)</t>
  </si>
  <si>
    <t>10.1038/467145b</t>
  </si>
  <si>
    <t>647KB</t>
  </si>
  <si>
    <t>WOS:000281616300010</t>
  </si>
  <si>
    <t>Kaplan, MR; Schaefer, JM; Denton, GH; Barrell, DJA; Chinn, TJH; Putnam, AE; Andersen, BG; Finkel, RC; Schwartz, R; Doughty, AM</t>
  </si>
  <si>
    <t>Kaplan, Michael R.; Schaefer, Joerg M.; Denton, George H.; Barrell, David J. A.; Chinn, Trevor J. H.; Putnam, Aaron E.; Andersen, Bjorn G.; Finkel, Robert C.; Schwartz, Roseanne; Doughty, Alice M.</t>
  </si>
  <si>
    <t>Glacier retreat in New Zealand during the Younger Dryas stadial</t>
  </si>
  <si>
    <t>ANTARCTIC COLD REVERSAL; ABRUPT CLIMATE-CHANGE; SOUTHERN ALPS; ATMOSPHERIC CO2; ATLANTIC; EVENT; ICE; FLUCTUATIONS; SEASONALITY; OCEAN</t>
  </si>
  <si>
    <t>Millennial-scale cold reversals in the high latitudes of both hemispheres interrupted the last transition from full glacial to interglacial climate conditions. The presence of the Younger Dryas stadial (similar to 12.9 to similar to 11.7 kyr ago) is established throughout much of the Northern Hemisphere, but the global timing, nature and extent of the event are not well established. Evidence in mid to low latitudes of the Southern Hemisphere, in particular, has remained perplexing(1-6). The debate has in part focused on the behaviour of mountain glaciers in New Zealand, where previous research has found equivocal evidence for the precise timing of increased or reduced ice extent(1-3). The interhemispheric behaviour of the climate system during the Younger Dryas thus remains an open question, fundamentally limiting our ability to formulate realistic models of global climate dynamics for this time period. Here we show that New Zealand's glaciers retreated after similar to 13 kyr BP, at the onset of the Younger Dryas, and in general over the subsequent similar to 1.5-kyr period. Our evidence is based on detailed landform mapping, a high-precision Be-10 chronology(7) and reconstruction of former ice extents and snow lines from well-preserved cirque moraines. Our late-glacial glacier chronology matches climatic trends in Antarctica, Southern Ocean behaviour and variations in atmospheric CO2. The evidence points to a distinct warming of the southern mid-latitude atmosphere during the Younger Dryas and a close coupling between New Zealand's cryosphere and southern high-latitude climate. These findings support the hypothesis that extensive winter sea ice and curtailed meridional ocean overturning in the North Atlantic led to a strong interhemispheric thermal gradient(8) during late-glacial times, in turn leading to increased upwelling and CO2 release from the Southern Ocean(9), thereby triggering Southern Hemisphere warming during the northern Younger Dryas.</t>
  </si>
  <si>
    <t>[Kaplan, Michael R.; Schaefer, Joerg M.; Schwartz, Roseanne] Lamont Doherty Earth Observ, Palisades, NY 10964 USA; [Schaefer, Joerg M.] Columbia Univ, Dept Earth &amp; Environm Sci, New York, NY 10027 USA; [Denton, George H.; Putnam, Aaron E.] Univ Maine, Dept Earth Sci, Orono, ME 04469 USA; [Denton, George H.; Putnam, Aaron E.] Univ Maine, Climate Change Inst, Orono, ME 04469 USA; [Barrell, David J. A.] GNS Sci, Dunedin 9054, New Zealand; [Chinn, Trevor J. H.] Alpine &amp; Polar Proc Consultancy, Otago 9382, New Zealand; [Andersen, Bjorn G.] Univ Oslo, Dept Geosci, N-0316 Oslo, Norway; [Finkel, Robert C.] Univ Calif Berkeley, Dept Earth &amp; Planetary Sci, Berkeley, CA 95064 USA; [Finkel, Robert C.] CEREGE, F-13545 Aix En Provence 4, France; [Doughty, Alice M.] Victoria Univ Wellington, Antarctic Res Ctr, Wellington 6140, New Zealand; [Doughty, Alice M.] Victoria Univ Wellington, Sch Earth Sci, Wellington 6140, New Zealand</t>
  </si>
  <si>
    <t>Columbia University; Columbia University; University of Maine System; University of Maine Orono; University of Maine System; University of Maine Orono; GNS Science - New Zealand; University of Oslo; University of California System; University of California Berkeley; Aix-Marseille Universite; Victoria University Wellington; Victoria University Wellington</t>
  </si>
  <si>
    <t>Kaplan, MR (corresponding author), Lamont Doherty Earth Observ, Palisades, NY 10964 USA.</t>
  </si>
  <si>
    <t>mkaplan@ldeo.columbia.edu</t>
  </si>
  <si>
    <t>Gary C. Comer Science and Education Foundation; National Oceanographic and Atmospheric Administration; National Science Foundation [EAR-0745781, 0936077, 0823521]; Foundation for Research, Science and Technology [CO5X0701]; Directorate For Geosciences; Division Of Earth Sciences [0823521] Funding Source: National Science Foundation; Division Of Earth Sciences; Directorate For Geosciences [0823693] Funding Source: National Science Foundation</t>
  </si>
  <si>
    <t>Gary C. Comer Science and Education Foundation; National Oceanographic and Atmospheric Administration(National Oceanic Atmospheric Admin (NOAA) - USA); National Science Foundation(National Science Foundation (NSF)); Foundation for Research, Science and Technology(New Zealand Foundation for Research, Science and Technology); Directorate For Geosciences; Division Of Earth Sciences(National Science Foundation (NSF)NSF - Directorate for Geosciences (GEO)); Division Of Earth Sciences; Directorate For Geosciences(National Science Foundation (NSF)NSF - Directorate for Geosciences (GEO))</t>
  </si>
  <si>
    <t>We thank the Comer family and W. Broecker for their support of our work. We thank B. Goehring for assisting with probability plots, S. Kelley for field assistance, T. Ritchie and K. Ritchie at Lake Ruataniwha Holiday Park for hospitality and the Helicopter Line at Glentanner Park. This research is supported by the Gary C. Comer Science and Education Foundation, the National Oceanographic and Atmospheric Administration (specifically support to G.H.D. and for field work), and National Science Foundation awards EAR-0745781, 0936077 and 0823521. D.J.A.B. was supported by Foundation for Research, Science and Technology contract CO5X0701. This is LDEO contribution #7371.</t>
  </si>
  <si>
    <t>10.1038/nature09313</t>
  </si>
  <si>
    <t>WOS:000281616300031</t>
  </si>
  <si>
    <t>Munro, DR; Dunbar, RB; Mucciarone, DA; Arrigo, KR; Long, MC</t>
  </si>
  <si>
    <t>Munro, David R.; Dunbar, Robert B.; Mucciarone, David A.; Arrigo, Kevin R.; Long, Matthew C.</t>
  </si>
  <si>
    <t>Stable isotope composition of dissolved inorganic carbon and particulate organic carbon in sea ice from the Ross Sea, Antarctica</t>
  </si>
  <si>
    <t>SOUTHERN-OCEAN PHYTOPLANKTON; WEDDELL SEA; MICROBIAL COMMUNITIES; PARTICLE-FLUX; GROWTH-RATE; MATTER; SUMMER; FRACTIONATION; CO2; TEMPERATURE</t>
  </si>
  <si>
    <t>We examined controls on the carbon isotopic composition of sea ice brines and organic matter during cruises to the Ross Sea, Antarctica in November/December 1998 and November/December 2006. Brine samples were analyzed for salinity, nutrients, total dissolved inorganic carbon (Sigma CO2), and the C-13/C-12 ratio of Sigma CO2 (delta C-13(Sigma CO2)). Particulate organic matter from sea ice cores was analyzed for percent particulate organic carbon (POC), percent total particulate nitrogen (TPN), and stable carbon isotopic composition (delta C-13(POC)). Sigma CO2 in sea ice brines ranged from 1368 to 7149 mmol kg(-1), equivalent to 1483 to 2519 mu mol kg(-1) when normalized to 34.5 psu salinity (s Sigma CO2), the average salinity of Ross Sea surface waters. Sea ice primary producers removed up to 34% of the available Sigma CO2, an amount much higher than the maximum removal observed in sea ice free water. Carbonate precipitation and CO2 degassing may reduce s Sigma CO2 by a similar amount (e.g., 30%) in the most hypersaline sea ice environments, although brine volumes are low in very cold ice that supports these brines. Brine delta C-13(Sigma CO2) ranged from -2.6 to +8.0% while delta C-13(POC) ranged from -30.5 to -9.2%. Isotopic enrichment of the Sigma CO2 pool via net community production accounts for some but not all carbon isotopic enrichment of sea ice POC. Comparisons of s Sigma CO2, delta C-13(Sigma CO2), and delta C-13(POC) within sea ice suggest that epsilon(p) (the net photosynthetic fractionation factor) for sea ice algae is similar to 8% smaller than the epsilon(p) observed for phytoplankton in open water regions of the Ross Sea. These results have implications for modeling of carbon uptake and transformation in the ice-covered ocean and for reconstruction of past sea ice extent based on stable isotopic composition of organic matter in sediment cores.</t>
  </si>
  <si>
    <t>[Munro, David R.] Stanford Univ, Earth Syst Program, Stanford, CA 94305 USA</t>
  </si>
  <si>
    <t>Stanford University</t>
  </si>
  <si>
    <t>Munro, DR (corresponding author), Univ Washington, Sch Oceanog, Seattle, WA 98195 USA.</t>
  </si>
  <si>
    <t>dunbar@stanford.edu</t>
  </si>
  <si>
    <t>Long, Matthew C/H-4632-2016; Munro, David/ABA-2074-2020</t>
  </si>
  <si>
    <t>Long, Matthew/0000-0003-1273-2957; Dunbar, Robert/0000-0002-9728-5609; Mucciarone, David/0000-0003-4482-2463; Arrigo, Kevin/0000-0002-7364-876X</t>
  </si>
  <si>
    <t>U.S. National Science Foundation [OPP-9419605, OPP-0338350]</t>
  </si>
  <si>
    <t>U.S. National Science Foundation(National Science Foundation (NSF))</t>
  </si>
  <si>
    <t>We would like to thank the crew of the RVIB Nathaniel B. Palmer, the Antarctic Support Associates, and Raytheon for their help and support in data collection. We would like to thank all members of the ROAVERRS and CORSACS research teams for their tremendous support in the collection of samples. We would also like to thank Paul Quay for helpful comments and discussion. Support was provided by the U.S. National Science Foundation, grants OPP-9419605 and OPP-0338350 to R.B.D.</t>
  </si>
  <si>
    <t>SEP 4</t>
  </si>
  <si>
    <t>C09005</t>
  </si>
  <si>
    <t>10.1029/2009JC005661</t>
  </si>
  <si>
    <t>647QC</t>
  </si>
  <si>
    <t>WOS:000281632700002</t>
  </si>
  <si>
    <t>Pant, V; Siingh, D; Kamra, AK</t>
  </si>
  <si>
    <t>Pant, Vimlesh; Siingh, Devendraa; Kamra, A. K.</t>
  </si>
  <si>
    <t>Concentrations and size distributions of aerosol particles at Maitri during the passage of cyclonic storms revolving around the continent of Antarctica</t>
  </si>
  <si>
    <t>MARINE BOUNDARY-LAYER; SEA-SALT PARTICLES; PHYSICAL-PROPERTIES; SEASONAL CYCLE; STATION; ATMOSPHERE; CHEMISTRY; SURFACE; CARBON</t>
  </si>
  <si>
    <t>The number size distributions of aerosol particles in the size-range of 0.003-20 mu m diameter have been measured at Maitri (70 degrees 45' 52 '' S, 11 degrees 44' 03 '' E, 117m above mean sea level), Antarctica, when two circumpolar cyclonic storms passed close to the station during February, 2005. As a storm approaches toward Maitri, concentration of coarse particles increases by about an order of magnitude and the number size-distribution frequently shows a coarse mode at similar to 2 mu m, a broad Aitken mode from 0.04 to 0.1 mu m and, occasionally, a nucleation mode at 0.018 mu m diameter. When the storm is going away from Maitri, in addition to the coarse mode at similar to 2 mu m and a peak at 0.08 mu m diameter, a nucleation mode frequently appears at &lt; 0.01 mu m diameter and the mode existing at 0.018 mu m diameter shifts to 0.02-0.04 mu m diameter. Particles in the range of 0.008-0.03 mu m diameter grow at the rate of 0.2-0.6 nm h(-1) in the case of Storm I, but no appreciable growth is observed in the case of Storm II. The peak at 0.02-0.04 mu m is often so dominant that it envelops the peak at 0.08 mu m diameter. Results are interpreted in terms of the mixing of continental and oceanic air masses with the subsidence associated with the storm. The nucleation mode at 0.01 mu m diameter has been associated with the new particles formed in the outflow at the top of clouds and the coarse mode at 2 mu m diameters with the re-suspension of particles from the surface.</t>
  </si>
  <si>
    <t>[Pant, Vimlesh; Siingh, Devendraa; Kamra, A. K.] Indian Inst Trop Meteorol, Pune 411008, Maharashtra, India</t>
  </si>
  <si>
    <t>Ministry of Earth Sciences (MoES) - India; Indian Institute of Tropical Meteorology (IITM)</t>
  </si>
  <si>
    <t>Pant, V (corresponding author), Indian Natl Ctr Ocean Informat Serv, Modeling &amp; Ocean Observat Grp, Hyderabad 500055, Andhra Pradesh, India.</t>
  </si>
  <si>
    <t>devendraasiingh@tropmet.res.in</t>
  </si>
  <si>
    <t>Siingh, Dr Devendraa/ABF-2491-2021</t>
  </si>
  <si>
    <t>Siingh, Dr Devendraa/0000-0003-3044-596X; Pant, Vimlesh/0000-0002-9564-8605; Siingh, Devendraa Siingh/0000-0002-1716-3688</t>
  </si>
  <si>
    <t>INSA</t>
  </si>
  <si>
    <t>Authors gratefully acknowledge the National Centre for Antarctic and Ocean Research (NCAOR) Goa, India, for participation in the 24th Indian Scientific Expedition to Antarctica (ISEA) and the India Meteorological Department for providing the Metrological data. The authors gratefully acknowledge the NOAA Air Resources Laboratory (ARL) for the provision of the HYSPLIT transport and dispersion model and READY Web site (http://www.arl.noaa.gov.ready.html) and NCEP reanalysis data provided by the NOAA/OAR/ESRL PSD, Boulder, Colorado, USA, from their Web site at (http://www.cdc.noaa.gov) used in this publication. One of us (A. K. K.) acknowledges the support under the INSA Senior Scientist Programme.</t>
  </si>
  <si>
    <t>SEP 3</t>
  </si>
  <si>
    <t>D17202</t>
  </si>
  <si>
    <t>10.1029/2009JD013481</t>
  </si>
  <si>
    <t>646WE</t>
  </si>
  <si>
    <t>WOS:000281574000005</t>
  </si>
  <si>
    <t>Griffith, E; Calhoun, M; Thomas, E; Averyt, K; Erhardt, A; Bralower, T; Lyle, M; Olivarez-Lyle, A; Paytan, A</t>
  </si>
  <si>
    <t>Griffith, Elizabeth; Calhoun, Michael; Thomas, Ellen; Averyt, Kristen; Erhardt, Andrea; Bralower, Timothy; Lyle, Mitch; Olivarez-Lyle, Annette; Paytan, Adina</t>
  </si>
  <si>
    <t>Export productivity and carbonate accumulation in the Pacific Basin at the transition from a greenhouse to icehouse climate (late Eocene to early Oligocene)</t>
  </si>
  <si>
    <t>DRILLING PROJECT LEG-85; EQUATORIAL PACIFIC; ANTARCTIC GLACIATION; CALCITE COMPENSATION; MARINE BARITE; CENOZOIC GLACIATION; CONTINENTAL-MARGIN; SATURATION STATE; STABLE-ISOTOPE; GLOBAL CLIMATE</t>
  </si>
  <si>
    <t>The late Eocene through earliest Oligocene (40-32 Ma) spans a major transition from greenhouse to icehouse climate, with net cooling and expansion of Antarctic glaciation shortly after the Eocene/Oligocene (E/O) boundary. We investigated the response of the oceanic biosphere to these changes by reconstructing barite and CaCO3 accumulation rates in sediments from the equatorial and North Pacific Ocean. These data allow us to evaluate temporal and geographical variability in export production and CaCO3 preservation. Barite accumulation rates were on average higher in the warmer late Eocene than in the colder early Oligocene, but cool periods within the Eocene were characterized by peaks in both barite and CaCO3 accumulation in the equatorial region. We infer that climatic changes not only affected deep ocean ventilation and chemistry, but also had profound effects on surface water characteristics influencing export productivity. The ratio of CaCO3 to barite accumulation rates, representing the ratio of particulate inorganic C accumulation to Corg export, increased dramatically at the E/O boundary. This suggests that long-term drawdown of atmospheric CO2 due to organic carbon deposition to the seafloor decreased, potentially offsetting decreasing pCO(2) levels and associated cooling. The relatively larger increase in CaCO3 accumulation compared to export production at the E/O suggests that the permanent deepening of the calcite compensation depth (CCD) at that time stems primarily from changes in deep water chemistry and not from increased carbonate production.</t>
  </si>
  <si>
    <t>[Griffith, Elizabeth; Calhoun, Michael; Averyt, Kristen; Erhardt, Andrea; Paytan, Adina] Univ Calif Santa Cruz, Inst Marine Sci, Santa Cruz, CA 95064 USA; [Averyt, Kristen] Univ Colorado, NOAA, Earth Syst Res Lab, Boulder, CO 80305 USA; [Bralower, Timothy] Penn State Univ, Dept Geosci, University Pk, PA 16802 USA; [Griffith, Elizabeth] Kent State Univ, Dept Geol, Kent, OH 44242 USA; [Lyle, Mitch; Olivarez-Lyle, Annette] Texas A&amp;M Univ, Dept Oceanog, College Stn, TX 77843 USA; [Thomas, Ellen] Wesleyan Univ, Dept Earth &amp; Environm Sci, Middletown, CT 06459 USA</t>
  </si>
  <si>
    <t>University of California System; University of California Santa Cruz; National Oceanic Atmospheric Admin (NOAA) - USA; University of Colorado System; University of Colorado Boulder; Pennsylvania Commonwealth System of Higher Education (PCSHE); Pennsylvania State University; Pennsylvania State University - University Park; University System of Ohio; Kent State University; Kent State University Salem; Kent State University Kent; Texas A&amp;M University System; Texas A&amp;M University College Station; Wesleyan University</t>
  </si>
  <si>
    <t>Calhoun, M (corresponding author), Univ Calif Santa Cruz, Inst Marine Sci, Santa Cruz, CA 95064 USA.</t>
  </si>
  <si>
    <t>apaytan@ucsc.edu</t>
  </si>
  <si>
    <t>Griffith, Elizabeth/KBB-3072-2024; Thomas, Ellen/JVO-1734-2024</t>
  </si>
  <si>
    <t>Thomas, Ellen/0000-0002-7141-9904; Griffith, Elizabeth/0000-0002-7919-4551</t>
  </si>
  <si>
    <t>JOI-NSF [OCE-9905362, OCE-0352756]; AMC; NSF [OCE-07253011]</t>
  </si>
  <si>
    <t>JOI-NSF; AMC; NSF(National Science Foundation (NSF))</t>
  </si>
  <si>
    <t>We would like to thank Bob Jones and Ellen Gray for help with laboratory work and constructive discussion. This work was funded by JOI-NSF grants OCE-9905362 and OCE-0352756 to A. P. M. C. was supported by an AMC student fellowship, E. G. was supported in part by NSF graduate research fellowship. M. L. and A.O.-L. were supported by NSF grant OCE-07253011. E. G. and M. C. contributed equally to the manuscript; each worked on samples from a different Leg.</t>
  </si>
  <si>
    <t>PA3212</t>
  </si>
  <si>
    <t>10.1029/2010PA001932</t>
  </si>
  <si>
    <t>647QO</t>
  </si>
  <si>
    <t>WOS:000281633900001</t>
  </si>
  <si>
    <t>Petrenko, VV; Etheridge, DM; Weiss, RF; Brook, EJ; Schaefer, H; Severinghaus, JP; Smith, AM; Lowe, D; Hua, QA; Riedel, K</t>
  </si>
  <si>
    <t>Petrenko, Vasilii V.; Etheridge, David M.; Weiss, Ray F.; Brook, Edward J.; Schaefer, Hinrich; Severinghaus, Jeffrey P.; Smith, Andrew M.; Lowe, Dave; Hua, Quan; Riedel, Katja</t>
  </si>
  <si>
    <t>Methane from the East Siberian Arctic Shelf</t>
  </si>
  <si>
    <t>Letter</t>
  </si>
  <si>
    <t>[Petrenko, Vasilii V.] Univ Colorado, Inst Arctic &amp; Alpine Res, Boulder, CO 80309 USA; [Etheridge, David M.] CSIRO Marine &amp; Atmospher Res, Ctr Australian Weather &amp; Climate Res, Aspendale, Vic 3195, Australia; [Weiss, Ray F.; Severinghaus, Jeffrey P.] Univ Calif San Diego, Scripps Inst Oceanog, La Jolla, CA 92093 USA; [Brook, Edward J.] Oregon State Univ, Dept Geosci, Corvallis, OR 97331 USA; [Schaefer, Hinrich; Riedel, Katja] Natl Inst Water &amp; Atmospher Res, Wellington, New Zealand; [Smith, Andrew M.; Hua, Quan] Australian Nucl Sci &amp; Technol Org, Menai, NSW 2234, Australia; [Lowe, Dave] Victoria Univ Wellington, Antarctic Res Ctr, Wellington, New Zealand; [Lowe, Dave] Lowe NZ, Climate Change Educ &amp; Renewable Energy, Plimmerton Porirua 5026, New Zealand</t>
  </si>
  <si>
    <t>University of Colorado System; University of Colorado Boulder; Commonwealth Scientific &amp; Industrial Research Organisation (CSIRO); University of California System; University of California San Diego; Scripps Institution of Oceanography; Oregon State University; National Institute of Water &amp; Atmospheric Research (NIWA) - New Zealand; Australian Nuclear Science &amp; Technology Organisation; Victoria University Wellington</t>
  </si>
  <si>
    <t>Petrenko, VV (corresponding author), Univ Colorado, Inst Arctic &amp; Alpine Res, Boulder, CO 80309 USA.</t>
  </si>
  <si>
    <t>vasilii.petrenko@colorado.edu</t>
  </si>
  <si>
    <t>Etheridge, David M/B-7334-2013; , Andrew/HLX-8550-2023; Hua, Quan/F-9593-2014; Brook, Edward/AAB-7807-2021</t>
  </si>
  <si>
    <t>Etheridge, David/0000-0001-7970-2002; Schaefer, Hinrich/0000-0002-1163-2818; Smith, Andrew/0000-0002-9193-2617; Petrenko, Vasilii/0000-0002-0263-8759</t>
  </si>
  <si>
    <t>1095-9203</t>
  </si>
  <si>
    <t>10.1126/science.329.5996.1146-b</t>
  </si>
  <si>
    <t>645SG</t>
  </si>
  <si>
    <t>WOS:000281485600011</t>
  </si>
  <si>
    <t>Tsurutani, BT; Horne, RB; Pickett, JS; Santolik, O; Schriver, D; Verkhoglyadova, OP</t>
  </si>
  <si>
    <t>Tsurutani, Bruce T.; Horne, Richard B.; Pickett, Jolene S.; Santolik, Ondrej; Schriver, David; Verkhoglyadova, Olga P.</t>
  </si>
  <si>
    <t>Introduction to the special section on Chorus: Chorus and its role in space weather</t>
  </si>
  <si>
    <t>Chorus, a naturally occurring magnetospheric electromagnetic wave, is believed to be the result of a long chain of physical processes starting with supergranular circulation at the sun. The interaction of chorus with energetic electrons produces similar to MeV killer electrons that can disable Earth orbiting spacecraft.</t>
  </si>
  <si>
    <t>[Tsurutani, Bruce T.; Verkhoglyadova, Olga P.] CALTECH, Jet Prop Lab, Pasadena, CA 91109 USA; [Tsurutani, Bruce T.] Tech Univ Carolo Wilhelmina Braunschweig, Inst Geophys Extraterr Phys, Braunschweig, Germany; [Horne, Richard B.] British Antarctic Survey, NERC, Cambridge CB3 0ET, England; [Pickett, Jolene S.] Univ Iowa, Dept Phys &amp; Astron, Iowa City, IA 52242 USA; [Santolik, Ondrej] Inst Atmospher Phys, Dept Space Phys, Prague 14131 4, Czech Republic; [Santolik, Ondrej] Charles Univ Prague, Fac Math &amp; Phys, Prague, Czech Republic; [Schriver, David] Univ Calif Los Angeles, Inst Geophys &amp; Planetary Phys, Los Angeles, CA 90095 USA; [Verkhoglyadova, Olga P.] Univ Alabama, CSPAR, Huntsville, AL 35899 USA</t>
  </si>
  <si>
    <t>California Institute of Technology; National Aeronautics &amp; Space Administration (NASA); NASA Jet Propulsion Laboratory (JPL); Braunschweig University of Technology; UK Research &amp; Innovation (UKRI); Natural Environment Research Council (NERC); NERC British Antarctic Survey; University of Iowa; Czech Academy of Sciences; Institute of Atmospheric Physics of the Czech Academy of Sciences; Charles University Prague; University of California System; University of California Los Angeles; University of Alabama System; University of Alabama Huntsville</t>
  </si>
  <si>
    <t>Tsurutani, BT (corresponding author), CALTECH, Jet Prop Lab, 4800 Oak Grove Dr, Pasadena, CA 91109 USA.</t>
  </si>
  <si>
    <t>bruce.tsurutani@jpl.nasa.gov</t>
  </si>
  <si>
    <t>Horne, Richard B/U-3764-2019; tsurutani, bruce t/G-5835-2019; Santolik, Ondrej/F-7766-2014</t>
  </si>
  <si>
    <t>Horne, Richard B/0000-0002-0412-6407; Santolik, Ondrej/0000-0002-4891-9273; Verkhoglyadova, Olga/0000-0002-9295-9539</t>
  </si>
  <si>
    <t>SEP 2</t>
  </si>
  <si>
    <t>A00F01</t>
  </si>
  <si>
    <t>10.1029/2010JA015870</t>
  </si>
  <si>
    <t>647QL</t>
  </si>
  <si>
    <t>Green Submitted, Green Accepted</t>
  </si>
  <si>
    <t>WOS:000281633600007</t>
  </si>
  <si>
    <t>Ecologists fear Antarctic krill crisis</t>
  </si>
  <si>
    <t>10.1038/467015a</t>
  </si>
  <si>
    <t>645MB</t>
  </si>
  <si>
    <t>WOS:000281461200006</t>
  </si>
  <si>
    <t>Gautam, S; Singh, J; Pant, AB; Singh, S</t>
  </si>
  <si>
    <t>Gautam, Sanghdeep; Singh, Jaswant; Pant, A. B.; Singh, Sachchidanand</t>
  </si>
  <si>
    <t>RETRACTED: Response and adaptive strategies of Antarctic flora to ultraviolet radiation stress (Retracted Article)</t>
  </si>
  <si>
    <t>JOURNAL OF PHOTOCHEMISTRY AND PHOTOBIOLOGY C-PHOTOCHEMISTRY REVIEWS</t>
  </si>
  <si>
    <t>Review; Retracted Publication</t>
  </si>
  <si>
    <t>Defence mechanism; DNA repair; Ultraviolet radiation; UV-absorbing compounds</t>
  </si>
  <si>
    <t>UV-B RADIATION; TIERRA-DEL-FUEGO; DNA-DAMAGE; OZONE DEPLETION; PIGMENT COMPOSITION; CARBON-DIOXIDE; PLANT-RESPONSE; CLIMATE-CHANGE; MOSS; FIELD</t>
  </si>
  <si>
    <t>Antarctica is place well known for its adverse conditions - low temperature, low water availability, strong winds and high incidence of solar radiation, specially the UV radiation altogether constitute limiting factor for plant and animal life. Absorption of UV-B radiation by plants can damage and disrupt key biological molecules. UV-B damage can manifest reduced photosynthesis, growth of the plants and photosynthetic productivity. Antarctic plants experiences UV-B stress and for their survival has shown various adaptive strategies. The first line of defence is to screen UV-B radiation before it reaches the cell, then to minimize damage within the cells through other protective strategies, and finally to repair damage once it has occurred. The survival of Antarctic plants under 'ozone depletion' depends on their ability to acclimate, by employing photoprotective mechanisms to avoid and repair UV-B damage. (C) 2010 Elsevier B.V. All rights reserved.</t>
  </si>
  <si>
    <t>[Gautam, Sanghdeep; Singh, Jaswant] Dr RML Avadh Univ, Dept Environm Sci, Faizabad 224001, Uttar Pradesh, India; [Pant, A. B.] Indian Inst Toxicol Res, Lucknow, Uttar Pradesh, India; [Singh, Sachchidanand] Natl Phys Lab, Radio &amp; Atmospher Sci Div, New Delhi 110012, India</t>
  </si>
  <si>
    <t>Council of Scientific &amp; Industrial Research (CSIR) - India; CSIR - Indian Institute of Toxicology Research (IITR); Council of Scientific &amp; Industrial Research (CSIR) - India; CSIR - National Physical Laboratory (NPL)</t>
  </si>
  <si>
    <t>Singh, J (corresponding author), Dr RML Avadh Univ, Dept Environm Sci, Faizabad 224001, Uttar Pradesh, India.</t>
  </si>
  <si>
    <t>jaswant1983@yahoo.co.in</t>
  </si>
  <si>
    <t>Pant, Aditya B/F-1267-2011</t>
  </si>
  <si>
    <t>Council for Scientific and Industrial Research (CSIR), New Delhi</t>
  </si>
  <si>
    <t>Council for Scientific and Industrial Research (CSIR), New Delhi(Council of Scientific &amp; Industrial Research (CSIR) - India)</t>
  </si>
  <si>
    <t>We would like to thank Council for Scientific and Industrial Research (CSIR), New Delhi for providing the financial aid for the research and National Physical Laboratory (NPL), New Delhi, India for the assistance provided throughout the work.</t>
  </si>
  <si>
    <t>1389-5567</t>
  </si>
  <si>
    <t>1873-2739</t>
  </si>
  <si>
    <t>J PHOTOCH PHOTOBIO C</t>
  </si>
  <si>
    <t>J. Photochem. Photobiol. C-Photochem. Rev.</t>
  </si>
  <si>
    <t>SEP</t>
  </si>
  <si>
    <t>2-3</t>
  </si>
  <si>
    <t>10.1016/j.jphotochemrev.2010.07.001</t>
  </si>
  <si>
    <t>Chemistry, Physical</t>
  </si>
  <si>
    <t>739OA</t>
  </si>
  <si>
    <t>WOS:000288726300004</t>
  </si>
  <si>
    <t>Fontes, D; Dutra, TL</t>
  </si>
  <si>
    <t>Fontes, Daiana; Dutra, Tania Lindner</t>
  </si>
  <si>
    <t>PALEOGENE IMBRICATE-LEAVED PODOCARPS FROM KING GEORGE ISLAND (ANTARCTICA): ASSESSING THE GEOLOGICAL CONTEXT AND BOTANICAL AFFINITIES</t>
  </si>
  <si>
    <t>REVISTA BRASILEIRA DE PALEONTOLOGIA</t>
  </si>
  <si>
    <t>Dacrydium s.l.; Dacrycarpus; Lower Eocene; King George Island; Antarctic Peninsula</t>
  </si>
  <si>
    <t>SEYMOUR ISLAND; CONIFER; CLIMATE; FOREST; GYMNOSPERMS; MORPHOLOGY; PHYLOGENY; DISPERSAL; FLORAS</t>
  </si>
  <si>
    <t>Imbricate-leaved podocarps (Dacrydium s.l.) are the dominant conifer remains in the Upper Cretaceous and Cenozoic successions of King George Island, increasing its abundance in the post-Late Paleocene strata and maintained until the Early Oligocene times, with poor taphoflora registered in the last. However, a more precise taxonomic relationship of their remains was ever difficult given the fragmentary nature of the fossils and most known from ex situ material. In new field works and collections looking for the original levels, the recent phylogenetic approaches proposed and comparisons with extant floras have been applied to these fossils, and have helped to clarify their taxonomic status and their preferable association with the Upper Paleocene-Lower Eocene levels. The two kinds of foliage discussed here initiated the taxonomic revision of the Podocarpaceae related fossils on the island and attest to a modern affinity with Dacrydium vel Halocarpus and Dacrycarpus, which was in part proposed by previous works. Those genera comprise today an important component of the eastern Southern Hemisphere forests, and their occurrence in the Antarctic Peninsula areas during the Paleogene supports a broader distribution in the past and attests to the importance of the ancient Antarctic coastal areas in the modern distribution of the Podocarpaceae.</t>
  </si>
  <si>
    <t>[Fontes, Daiana; Dutra, Tania Lindner] Univ Vale Rio dos Sinos, Programa Posgrad Geol, BR-93022000 Sao Leopoldo, RS, Brazil</t>
  </si>
  <si>
    <t>Universidade do Vale do Rio dos Sinos (Unisinos)</t>
  </si>
  <si>
    <t>Fontes, D (corresponding author), Univ Vale Rio dos Sinos, Programa Posgrad Geol, Av Unisinos 950, BR-93022000 Sao Leopoldo, RS, Brazil.</t>
  </si>
  <si>
    <t>daianafontes@hotmail.com; tdutra@unisinos.br</t>
  </si>
  <si>
    <t>Dutra, Tania L./A-2875-2010</t>
  </si>
  <si>
    <t>Lindner Dutra, Tania/0000-0002-2227-020X</t>
  </si>
  <si>
    <t>Universidade do Vale do Rio do Sinos (UNISINOS) through CAPES; CNPq/PROANTAR; CNPq/SECIRM</t>
  </si>
  <si>
    <t>Universidade do Vale do Rio do Sinos (UNISINOS) through CAPES; CNPq/PROANTAR(Conselho Nacional de Desenvolvimento Cientifico e Tecnologico (CNPQ)); CNPq/SECIRM(Conselho Nacional de Desenvolvimento Cientifico e Tecnologico (CNPQ))</t>
  </si>
  <si>
    <t>We would like to thank the Universidade do Vale do Rio do Sinos (UNISINOS) and its Post-Graduation Program in Geology for financial and technical support, through CAPES by way of a Master's Grant to DF. For financial support and facilities in the field, we are grateful to CNPq/PROANTAR and SECIRM, respectively. We also thank M. Pole, I. Poole and the external reviewers for the comments, suggestions and advice they offered during the course of this work.</t>
  </si>
  <si>
    <t>SOC BRASILEIRA PALEONTOLOGIA</t>
  </si>
  <si>
    <t>SAO LEOPOLDO</t>
  </si>
  <si>
    <t>PPGEO UNISINOS, AV UNISINOS 950, SAO LEOPOLDO, RS 93022-000, BRAZIL</t>
  </si>
  <si>
    <t>1519-7530</t>
  </si>
  <si>
    <t>2236-1715</t>
  </si>
  <si>
    <t>REV BRAS PALEONTOLOG</t>
  </si>
  <si>
    <t>Rev. Bras. Paleontol.</t>
  </si>
  <si>
    <t>SEP-DEC</t>
  </si>
  <si>
    <t>10.4072/rbp.2010.3.04</t>
  </si>
  <si>
    <t>702PV</t>
  </si>
  <si>
    <t>WOS:000285907500004</t>
  </si>
  <si>
    <t>Kumar, SP; Nuncio, M; Narvekar, J; Ramaiah, N; Sardesai, S; Gauns, M; Fernandes, V; Paul, JT; Jyothibabu, R; Jayaraj, KA</t>
  </si>
  <si>
    <t>Kumar, S. Prasanna; Nuncio, M.; Narvekar, Jayu; Ramaiah, N.; Sardesai, S.; Gauns, M.; Fernandes, V.; Paul, J. T.; Jyothibabu, R.; Jayaraj, K. A.</t>
  </si>
  <si>
    <t>Seasonal cycle of physical forcing and biological response in the Bay of Bengal</t>
  </si>
  <si>
    <t>INDIAN JOURNAL OF MARINE SCIENCES</t>
  </si>
  <si>
    <t>Stratification; Advection; Wind-mixing; Mixed layer depth; Cold-core eddy; Chlorophyll; Primary productivity; Nutrients</t>
  </si>
  <si>
    <t>INDIAN-OCEAN; SARGASSO SEA; WESTERN BAY; PHYTOPLANKTON; PRODUCTIVITY; CHLOROPHYLL; NUTRIENTS; EDDIES</t>
  </si>
  <si>
    <t>Seasonal cycle of the physical processes and the biological response in the Bay of Bengal were studied using co-located physical, chemical and biological data collected along the central and the western Bay covering four seasons from 2001 to 2006. The spring intermonsoon was characterized by warm surface waters with high salinity and less stable water column compared to summer and fall intermonsoon. During summer, freshening due to precipitation and river discharge strongly stratified the upper water column, especially in the north. Continued freshening and presence of low salinity waters during fall intermonsoon sustained the stratification. Presence of cold core eddies controlled the nutrient flux to the upper layers. During winter, the net heat loss from the sea surface led to the surface cooling with coldest sea surface temperature. Comparatively stronger winds were able to initiate wind-mixing as the water column stability was the least during this period. Less stable water column also supported an efficient nutrient supply by cold core eddies. It resulted in the highest mean column integrated chlorophyll as well as primary productivity. Perennially low surface chlorophyll in the Bay of Bengal was largely controlled by the physical processes such as stratification and reduced wind-mixing. The moderate column integrated chlorophyll biomass as well as primary productivity throughout the year was regulated by the presence of mesoscale eddies.</t>
  </si>
  <si>
    <t>[Kumar, S. Prasanna; Narvekar, Jayu; Ramaiah, N.; Sardesai, S.; Gauns, M.; Fernandes, V.; Paul, J. T.] Natl Inst Oceanog, Panaji 403004, Goa, India; [Nuncio, M.] Natl Ctr Antarctic &amp; Ocean Res, Vasco Da Gama 403804, Goa, India; [Jyothibabu, R.; Jayaraj, K. A.] NIO, Reg Ctr, Kochi 682018, India</t>
  </si>
  <si>
    <t>Council of Scientific &amp; Industrial Research (CSIR) - India; CSIR - National Institute of Oceanography (NIO); Ministry of Earth Sciences (MoES) - India; National Centre for Polar and Ocean Research (NCPOR); Council of Scientific &amp; Industrial Research (CSIR) - India; CSIR - National Institute of Oceanography (NIO)</t>
  </si>
  <si>
    <t>Kumar, SP (corresponding author), Natl Inst Oceanog, Panaji 403004, Goa, India.</t>
  </si>
  <si>
    <t>prasanna@nio.org</t>
  </si>
  <si>
    <t>Ramaiah, Nagappa/AAV-3530-2021; Fernandes, Veronica/L-2989-2019; Bhaskar, Jane T/C-4023-2009; Gauns, Mangesh/AAT-9684-2021</t>
  </si>
  <si>
    <t>Gauns, Mangesh/0000-0002-4737-9252</t>
  </si>
  <si>
    <t>The Ministry of Earth Sciences, New Delhi; CSIR</t>
  </si>
  <si>
    <t>The Ministry of Earth Sciences, New Delhi; CSIR(Council of Scientific &amp; Industrial Research (CSIR) - India)</t>
  </si>
  <si>
    <t>The Ministry of Earth Sciences, New Delhi financially supported this programme and also made available the ship-time onboard ORV Sagar Kanya and FORV Sagar Sampada. Authors wish to acknowledge Director MO Goa and Council of Scientific and Industrial Research (CSIR), New Delhi for facilities. Authors J Narvekar, M. Nuncio and J. Paul acknowledge CSIR for their fellowship. This is NIO contribution number 4856.</t>
  </si>
  <si>
    <t>NATL INST SCIENCE COMMUNICATION-NISCAIR</t>
  </si>
  <si>
    <t>NEW DELHI</t>
  </si>
  <si>
    <t>DR K S KRISHNAN MARG, PUSA CAMPUS, NEW DELHI 110 012, INDIA</t>
  </si>
  <si>
    <t>0379-5136</t>
  </si>
  <si>
    <t>INDIAN J MAR SCI</t>
  </si>
  <si>
    <t>Indian J. Mar. Sci.</t>
  </si>
  <si>
    <t>707NL</t>
  </si>
  <si>
    <t>WOS:000286293200008</t>
  </si>
  <si>
    <t>Zenitani, R; Kato, H</t>
  </si>
  <si>
    <t>Zenitani, Ryoko; Kato, Hidehiro</t>
  </si>
  <si>
    <t>The growth of baleen plates in Antarctic minke whales, with special reference to the V-shape notch appearing at the outer edge of the plates</t>
  </si>
  <si>
    <t>NIPPON SUISAN GAKKAISHI</t>
  </si>
  <si>
    <t>The present study examined the growth of baleen plates with interpretation of the V-shape notch that appears on the baleen plate among Antarctic minke whales Balaenoptera bonaerensis. A total of 1,654 baleen plates including those from foetuses collected by the Japanese whale research program under special permit in the Antarctic (JARPA; 1,218 individuals) and commercial whaling (436 individuals) in Area IV were used for the present analysis, with relevant biological information. The total baleen plate length increased with body length and reached the maximum of 261.8 mm at larger than 7.9 m and 278.3 mm at larger than 8.4 m in males and females, respectively. The V-shape notch was found in all animals smaller than 5.5 m but not in the foetal stage, suggesting that the notch might form in the neonate. It seemed that the V-shape notch completely disappeared due to wear at the body length of around 6.4 m.</t>
  </si>
  <si>
    <t>[Zenitani, Ryoko] Tokyo Univ Marine Sci &amp; Technol, Grad Sch Marine Sci &amp; Technol, Minato Ku, Tokyo 1088477, Japan; [Kato, Hidehiro] Tokyo Univ Marine Sci &amp; Technol, Dept Ocean Sci, Fac Marine Sci, Minato Ku, Tokyo 1088477, Japan</t>
  </si>
  <si>
    <t>Tokyo University of Marine Science &amp; Technology; Tokyo University of Marine Science &amp; Technology</t>
  </si>
  <si>
    <t>Zenitani, R (corresponding author), Tokyo Univ Marine Sci &amp; Technol, Grad Sch Marine Sci &amp; Technol, Minato Ku, Tokyo 1088477, Japan.</t>
  </si>
  <si>
    <t>d082005@kaiyodai.ac.jp</t>
  </si>
  <si>
    <t>JAPANESE SOC FISHERIES SCIENCE</t>
  </si>
  <si>
    <t>C/O TOKYO UNIV FISHERIES, KONAN 4, MINATO, TOKYO, 108-8477, JAPAN</t>
  </si>
  <si>
    <t>0021-5392</t>
  </si>
  <si>
    <t>NIPPON SUISAN GAKK</t>
  </si>
  <si>
    <t>Nippon Suisan Gakkaishi</t>
  </si>
  <si>
    <t>10.2331/suisan.76.870</t>
  </si>
  <si>
    <t>Fisheries</t>
  </si>
  <si>
    <t>679AK</t>
  </si>
  <si>
    <t>WOS:000284131600009</t>
  </si>
  <si>
    <t>He, ZG; Dong, ZQ</t>
  </si>
  <si>
    <t>He Zhigang; Dong Zhaoqian</t>
  </si>
  <si>
    <t>Fronts and surface zonal geostrophic current along 115°E in the southern Indian Ocean</t>
  </si>
  <si>
    <t>ACTA OCEANOLOGICA SINICA</t>
  </si>
  <si>
    <t>southern Indian Ocean; Antarctic Circumpolar Current; zonal geostrophic current; front</t>
  </si>
  <si>
    <t>ANTARCTIC CIRCUMPOLAR CURRENT; DYNAMIC TOPOGRAPHY; WATER MASSES; CIRCULATION; ALTIMETER; ATLANTIC</t>
  </si>
  <si>
    <t>Altimeter and in situ data are used to estimate the mean surface zonal geostrophic current in the section along 115 degrees E in the southern Indian Ocean, and the variation of strong currents in relation to the major fronts is studied. The results show that, in average, the flow in the core of Antarctic Circumpolar Current (ACC) along the section is composed of two parts, one corresponds to the jet of Subantarctic Front (SAF) and the other is the flow in the Polar Front Zone (PFZ), with a westward flow between them. The mean surface zonal geostrophic current corresponding to the SAF is up to 49 cm.s(-1) at 46 degrees S, which is the maximal velocity in the section. The eastward flow in the PFZ has a width of about 4.3 degrees in latitudes. The mean surface zonal geostrophic current corresponding to the Southern Antarctic Circumpolar Current Front (SACCF) is located at 59.7 degrees S with velocity less than 20 cm.s(-1). The location of zonal geostrophic jet corresponding to the SAF is quite stable during the study period. In contrast, the eastward jets in the PFZ exhibit various pattern, the primary Polar Front (PF1) shows its strong meridional shift and the secondary polar Front (PF2) does not always coincide with jet. The surface zonal geostrophic current corresponding to SAF has the significant periods of annual, semi-annual and four-month. The geostrophic current of the PFZ also shows significant periods of semi-annual and four-month, hut is out of phase with the periods of the SAP, which results in no notable semi-annual and four-month periods in the surface zonal geostrophic current in the core of the ACC. In terms of annual cycle, the mean surface zonal geostrophic current in the core of the ACC shows its maximal velocity in June.</t>
  </si>
  <si>
    <t>[Dong Zhaoqian] Polar Res Inst China, Shanghai 200136, Peoples R China; [He Zhigang] S China Sea Inst Oceanol, Guangzhou 510301, Guangdong, Peoples R China</t>
  </si>
  <si>
    <t>Polar Research Institute of China; Chinese Academy of Sciences; South China Sea Institute of Oceanology, CAS</t>
  </si>
  <si>
    <t>Dong, ZQ (corresponding author), Polar Res Inst China, Shanghai 200136, Peoples R China.</t>
  </si>
  <si>
    <t>dongzhaoqian@pric.gov.cn</t>
  </si>
  <si>
    <t>Ministry of Science and Technology, China [2006BAB18B02, 2008DFA20420]; National Natural Science Foundation of China [40376009]</t>
  </si>
  <si>
    <t>Ministry of Science and Technology, China(Ministry of Science and Technology, China); National Natural Science Foundation of China(National Natural Science Foundation of China (NSFC))</t>
  </si>
  <si>
    <t>The Ministry of Science and Technology, China grant Nos. 2006BAB18B02 and 2008DFA20420, and the National Natural Science Foundation of China grant No. 40376009.</t>
  </si>
  <si>
    <t>0253-505X</t>
  </si>
  <si>
    <t>ACTA OCEANOL SIN</t>
  </si>
  <si>
    <t>Acta Oceanol. Sin.</t>
  </si>
  <si>
    <t>10.1007/s13131-010-0057-4</t>
  </si>
  <si>
    <t>705KM</t>
  </si>
  <si>
    <t>WOS:000286127300001</t>
  </si>
  <si>
    <t>Guan, ZY; Lu, CH; Mei, SL; Cong, J</t>
  </si>
  <si>
    <t>Guan Zhaoyong; Lu Chuhan; Mei Shilong; Cong Jing</t>
  </si>
  <si>
    <t>Seasonality of interannual inter-hemispheric oscillations over the past five decades</t>
  </si>
  <si>
    <t>ADVANCES IN ATMOSPHERIC SCIENCES</t>
  </si>
  <si>
    <t>inter-hemispheric oscillation; seasonality; interannual variability; surface air pressure anomaly</t>
  </si>
  <si>
    <t>INTERHEMISPHERIC OSCILLATIONS; ANTARCTIC OSCILLATION; SURFACE PRESSURE; CYCLE; PRECIPITATION; REANALYSIS; CLIMATE; FIELDS; CHINA</t>
  </si>
  <si>
    <t>Air mass is inter-hemispherically redistributed, leading to an interesting phenomenon known as the Inter-Hemispheric Oscillation (IHO). In the present article, the seasonality of the interannual IHO has been examined by employing monthly mean reanalyses from NCEP/NCAR, EAR40, and JRA25 for the period of 1958-2006. It is found that the IHO indices as calculated from different reanalyses are generally consistent with each other. A distinct seesaw structure in all four seasons between the northern and southern hemispheres is observed as the IHO signature in both the surface air pressure anomalies (SAPAs) and the leading EOF component of the anomalous zonal mean quantities. When the SAPAs are positive (negative) in the northern hemisphere, they are negative (positive) in the southern hemisphere. Large values of SAPAs are usually observed in mid- and high-latitude areas in all but the solstice seasons. In boreal summer and winter, relatively stronger perturbations of IHO-related SAPA are found in the Asian monsoon region, which shows a large difference from the status in boreal spring and fall. This suggests that seasonal mean monsoon activity is globally linked via air mass redistribution globally on interannual timescales, showing a very interesting linkage between monsoons and the IHO in the global domain. In all seasons, large values of SAPA always exist over the Antarctic and the surrounding regions, implying a close relation with Antarctic oscillations.</t>
  </si>
  <si>
    <t>[Guan Zhaoyong; Lu Chuhan] Nanjing Univ Informat Sci &amp; Technol, Coll Atmospher Sci, Key Lab Meteorol Disaster, Minist Educ, Nanjing 210044, Peoples R China; [Mei Shilong] Jiaxing Meteorol Bur, Weather Serv Div, Jiaxing 314000, Peoples R China; [Cong Jing] Dalian Municipal Meteorol Bur, Dalian 116001, Peoples R China</t>
  </si>
  <si>
    <t>Nanjing University of Information Science &amp; Technology</t>
  </si>
  <si>
    <t>Guan, ZY (corresponding author), Nanjing Univ Informat Sci &amp; Technol, Coll Atmospher Sci, Key Lab Meteorol Disaster, Minist Educ, Nanjing 210044, Peoples R China.</t>
  </si>
  <si>
    <t>guanzy@nuist.edu.cn</t>
  </si>
  <si>
    <t>National Key Technology RD Program [2007BAC29B02]; National Natural Science Foundation of China (NSFC) [40675025]; Key Laboratory of Meteorological Disasters, Nanjing University of Information Science &amp; Technology (NUIST) [KLME060101]</t>
  </si>
  <si>
    <t>National Key Technology RD Program(National Key Technology R&amp;D Program); National Natural Science Foundation of China (NSFC)(National Natural Science Foundation of China (NSFC)); Key Laboratory of Meteorological Disasters, Nanjing University of Information Science &amp; Technology (NUIST)(Nanjing University of Information Science &amp; Technology)</t>
  </si>
  <si>
    <t>This work is supported jointly by the National Key Technology R&amp;D Program (Grant No. 2007BAC29B02), the National Natural Science Foundation of China (NSFC, Grant No. 40675025), and the Key Laboratory of Meteorological Disasters, Nanjing University of Information Science &amp; Technology (NUIST, KLME060101). The NUIST Center of Atmospheric Data Service under the Geoscience Division of NSFC provided data through their service. All figures in the present article were made using the Grads suite of software.</t>
  </si>
  <si>
    <t>0256-1530</t>
  </si>
  <si>
    <t>ADV ATMOS SCI</t>
  </si>
  <si>
    <t>Adv. Atmos. Sci.</t>
  </si>
  <si>
    <t>10.1007/s00376-009-9126-z</t>
  </si>
  <si>
    <t>639JR</t>
  </si>
  <si>
    <t>WOS:000280971600007</t>
  </si>
  <si>
    <t>Yu, LJ; Zhang, ZH; Zhou, MY; Zhong, SY; Lenschow, D; Hsu, HM; Wu, HD; Sun, B</t>
  </si>
  <si>
    <t>Yu Lejiang; Zhang Zhanhai; Zhou Mingyu; Zhong, Shiyuan; Lenschow, Donald; Hsu, Hsiaoming; Wu Huiding; Sun Bo</t>
  </si>
  <si>
    <t>Validation of ECMWF and NCEP-NCAR reanalysis data in Antarctica</t>
  </si>
  <si>
    <t>reanalysis data; interannual variability; intraseasonal variability; surface layer; upper layer; Antarctica</t>
  </si>
  <si>
    <t>OPERATIONAL NUMERICAL-ANALYSES; SOUTHERN-HEMISPHERE; FROST PROJECT; ERA-40; TRENDS; OSCILLATION; LATITUDES; OCEAN</t>
  </si>
  <si>
    <t>The European Center for Medium-Range Weather Forecast (ECMWF) Re-Analysis (ERA-40) and the National Centers for Environmental Prediction-National Center for Atmospheric Research (NCEP-NCAR) ECMWF (ERA-40) and NCEP-NCAR reanalysis data were compared with Antarctic station observations, including surface-layer and upper-layer atmospheric observations, on intraseasonal and interannual timescales. At the interannual timescale, atmospheric pressure at different height levels in the ERA-40 data are in better agreement with observed pressure than that in the NCEP-NCAR reanalysis data. ERA-40 reanalysis also outperforms NCEP-NCAR reanalysis in atmospheric temperature, except in the surface layer where the biases are somewhat larger. The wind velocity fields in both datasets do not agree well with surface- and upper-layer atmospheric observations. At intraseasonal timescales, both datasets capture the observed intraseasonal variability in pressure and temperature during austral winter.</t>
  </si>
  <si>
    <t>[Yu Lejiang; Zhang Zhanhai; Zhou Mingyu; Sun Bo] Polar Res Inst China, Shanghai 200136, Peoples R China; [Zhong, Shiyuan] Michigan State Univ, Dept Geog, E Lansing, MI 48824 USA; [Lenschow, Donald; Hsu, Hsiaoming] Natl Ctr Atmospher Res, Boulder, CO 80307 USA; [Wu Huiding] Natl Marine Environm Forecast Ctr, Beijing 100081, Peoples R China</t>
  </si>
  <si>
    <t>Polar Research Institute of China; Michigan State University; National Center Atmospheric Research (NCAR) - USA; National Marine Environmental Forecasting Center</t>
  </si>
  <si>
    <t>Zhou, MY (corresponding author), Polar Res Inst China, Shanghai 200136, Peoples R China.</t>
  </si>
  <si>
    <t>mingyuzhou@yahoo.com</t>
  </si>
  <si>
    <t>LIU, JIALIN/JXN-8034-2024</t>
  </si>
  <si>
    <t>LENSCHOW, DONALD/0000-0003-4353-0098</t>
  </si>
  <si>
    <t>Chinese Polar Program Strategic Research Fund [20080218]; National Natural Science Foundation of China [40233032-40640420556]; MOST [2006BAB18B03, 2006BAB18B05]; US National Science Foundation</t>
  </si>
  <si>
    <t>Chinese Polar Program Strategic Research Fund; National Natural Science Foundation of China(National Natural Science Foundation of China (NSFC)); MOST; US National Science Foundation(National Science Foundation (NSF))</t>
  </si>
  <si>
    <t>NCEP/DOE 2 Reanalysis data was provided by NOAA/OAR/ESRL PSD, Boulder, Colorado, USA, from their website at http://www.cdc.noaa.gov/. This research was partially funded by the Chinese Polar Program Strategic Research Fund (No. 20080218), the National Natural Science Foundation of China (40233032-40640420556), and MOST (2006BAB18B03 and 2006BAB18B05). Two of the coauthors are from the National Center for Atmospheric Research, which is sponsored by the US National Science Foundation.</t>
  </si>
  <si>
    <t>10.1007/s00376-010-9140-1</t>
  </si>
  <si>
    <t>WOS:000280971600017</t>
  </si>
  <si>
    <t>Shaw, AJ; Cox, CJ; Buck, WR; Devos, N; Buchanan, AM; Cave, L; Seppelt, R; Shaw, B; Larraín, J; Andrus, R; Greilhuber, J; Temsch, EM</t>
  </si>
  <si>
    <t>Shaw, A. Jonathan; Cox, Cymon J.; Buck, William R.; Devos, Nicolas; Buchanan, Alex M.; Cave, Lynette; Seppelt, Rodney; Shaw, Blanka; Larrain, Juan; Andrus, Richard; Greilhuber, Johann; Temsch, Eva M.</t>
  </si>
  <si>
    <t>NEWLY RESOLVED RELATIONSHIPS IN AN EARLY LAND PLANT LINEAGE: BRYOPHYTA CLASS SPHAGNOPSIDA (PEAT MOSSES)</t>
  </si>
  <si>
    <t>AMERICAN JOURNAL OF BOTANY</t>
  </si>
  <si>
    <t>Ambuchanania; bryophyte phylogeny; land plant phylogeny; peat mosses; Sphagnopsida; Sphagnum</t>
  </si>
  <si>
    <t>PHYLOGENETIC-RELATIONSHIPS; GENOME SIZE; SEQUENCE ALIGNMENT; SPHAGNUM; NUCLEAR; MITOCHONDRIAL; CHLOROPLAST; EVOLUTION; SPOROPHYTE; INFERENCE</t>
  </si>
  <si>
    <t>Premise of the study : The Sphagnopsida, an early-diverging lineage of mosses (phylum Bryophyta), are morphologically and ecologically unique and have profound impacts on global climate. The Sphagnopsida are currently classified in two genera, Sphagnum (peat mosses) with some 350-500 species and Ambuchanania with one species. An analysis of phylogenetic relationships among species and genera in the Sphagnopsida were conducted to resolve major lineages and relationships among species within the Sphagnopsida. Methods : Phylogenetic analyses of nucleotide sequences from the nuclear, plastid, and mitochondrial genomes (11704 nucleotides total) were conducted and analyzed using maximum likelihood and Bayesian inference employing seven different substitution models of varying complexity. Key results : Phylogenetic analyses resolved three lineages within the Sphagnopsida: (1) Sphagnum sericeum, (2) S. inretortum plus Ambuchanania leucobryoides, and (3) all remaining species of Sphagnum. Sister group relationships among these three clades could not be resolved, but the phylogenetic results indicate that the highly divergent morphology of A. leucobryoides is derived within the Sphagnopsida rather than plesiomorphic. A new classification is proposed for class Sphagnopsida, with one order (Sphagnales), three families, and four genera. Conclusions : The Sphagnopsida are an old lineage within the phylum Bryophyta, but the extant species of Sphagnum represent a relatively recent radiation. It is likely that additional species critical to understanding the evolution of peat mosses await discovery, especially in the southern hemisphere.</t>
  </si>
  <si>
    <t>[Shaw, A. Jonathan; Shaw, Blanka] Duke Univ, Dept Biol, Durham, NC 27708 USA; [Cox, Cymon J.] Univ Algarve, Ctr Ciencias Mar, P-8005139 Faro, Portugal; [Buck, William R.] New York Bot Garden, Inst Systemat Bot, Bronx, NY 10458 USA; [Devos, Nicolas] Univ Liege, Inst Bot, B-4000 Liege, Belgium; [Buchanan, Alex M.; Cave, Lynette] Tasmanian Herbarium, Hobart, Tas 7001, Australia; [Seppelt, Rodney] Australian Antarctic Div, Kingston, Tas 7050, Australia; [Larrain, Juan] Univ Concepcion, Dept Bot, Concepcion, Chile; [Andrus, Richard] SUNY Binghamton, Dept Environm Studies, Binghamton, NY 13902 USA; [Andrus, Richard] SUNY Binghamton, Dept Biol Sci, Binghamton, NY 13902 USA; [Greilhuber, Johann; Temsch, Eva M.] Univ Vienna, Fac Life Sci, Dept Systemat &amp; Evolutionary Bot, A-1030 Vienna, Austria</t>
  </si>
  <si>
    <t>Duke University; Universidade do Algarve; New York Botanical Garden; University of Liege; Australian Antarctic Division; Universidad de Concepcion; State University of New York (SUNY) System; State University of New York (SUNY) Binghamton; State University of New York (SUNY) System; State University of New York (SUNY) Binghamton; University of Vienna</t>
  </si>
  <si>
    <t>Shaw, AJ (corresponding author), Duke Univ, Dept Biol, Durham, NC 27708 USA.</t>
  </si>
  <si>
    <t>shaw@duke.edu</t>
  </si>
  <si>
    <t>Devos, Nicolas/E-7490-2015; Cox, Cymon/D-1303-2012</t>
  </si>
  <si>
    <t>Cox, Cymon/0000-0002-4927-979X; Larrain, Juan B./0000-0002-9423-6561; Temsch, Eva/0000-0002-0805-9096; Aguero, Blanka/0000-0001-8442-5409</t>
  </si>
  <si>
    <t>NSF [DEB-0918998]</t>
  </si>
  <si>
    <t>This research was supported NSF grant no. DEB-0918998 to A.J.S. and B. S. The authors thank Sandra Boles, Duke University, for technical assistance and Robert Krisai, University of Salzburg, for providing a herbarium specimen of Sphagnum girgensohnii from the Lesachtal, Lungau, Salzburg for genome size analysis.</t>
  </si>
  <si>
    <t>0002-9122</t>
  </si>
  <si>
    <t>1537-2197</t>
  </si>
  <si>
    <t>AM J BOT</t>
  </si>
  <si>
    <t>Am. J. Bot.</t>
  </si>
  <si>
    <t>10.3732/ajb.1000055</t>
  </si>
  <si>
    <t>646KN</t>
  </si>
  <si>
    <t>WOS:000281539000011</t>
  </si>
  <si>
    <t>Crossin, GT; Trathan, PN; Phillips, RA; Dawson, A; Le Bouard, F; Williams, TD</t>
  </si>
  <si>
    <t>Crossin, Glenn T.; Trathan, Phil N.; Phillips, Richard A.; Dawson, Alistair; Le Bouard, Fabrice; Williams, Tony D.</t>
  </si>
  <si>
    <t>A Carryover Effect of Migration Underlies Individual Variation in Reproductive Readiness and Extreme Egg Size Dimorphism in Macaroni Penguins</t>
  </si>
  <si>
    <t>AMERICAN NATURALIST</t>
  </si>
  <si>
    <t>carryover effect; Eudyptes; physiological conflict; egg development; reproductive trade-off; vitellogenin</t>
  </si>
  <si>
    <t>YOLK PRECURSOR DYNAMICS; EUDYPTES-CHRYSOLOPHUS; CRESTED PENGUINS; HABITAT QUALITY; 1ST EGGS; VITELLOGENIN; PLASTICITY; FEMALES; GROWTH; WINTER</t>
  </si>
  <si>
    <t>Where life-history stages overlap, there is the potential for physiological conflicts that might be important in mediating carryover effects. However, our knowledge of the specific physiological mechanisms underlying carryover effects remains rudimentary, and specific examples remain rare. Here we show that female macaroni penguins (Eudyptes chrysolophus) initiate vitellogenesis and yolk formation while at sea during return migrations to breeding colonies; yolk formation takes approximately 16 days, but females lay only 7-14 days after their return. Once on land, Eudyptes penguins show a unique reproductive pattern of extreme egg size dimorphism in which the smaller, first-laid A-egg is 55%-75% of the size of the larger B-egg. We show that the degree of egg size dimorphism is inversely correlated with time between arrival and laying; that is, females that begin reproductive development well in advance of their return produce more dimorphic eggs. Furthermore, late-arriving females that produce the most dimorphic eggs have lower plasma levels of the yolk precursor vitellogenin on arrival; that is, they show lower reproductive readiness. These data support the hypothesis that extreme egg size dimorphism in Eudyptes penguins is due to a physiological constraint imposed by a migratory carryover effect and argue against small A-eggs having a specific, adaptive function.</t>
  </si>
  <si>
    <t>[Crossin, Glenn T.; Dawson, Alistair] NERC, Ctr Ecol &amp; Hydrol, Penicuik EH26 0QB, Midlothian, Scotland; [Crossin, Glenn T.; Williams, Tony D.] Simon Fraser Univ, Dept Biol Sci, Burnaby, BC V5A 1S6, Canada; [Trathan, Phil N.; Phillips, Richard A.; Le Bouard, Fabrice] British Antarctic Survey, Nat Environm Res Council, Cambridge CB3 0ET, England</t>
  </si>
  <si>
    <t>UK Research &amp; Innovation (UKRI); Natural Environment Research Council (NERC); UK Centre for Ecology &amp; Hydrology (UKCEH); Simon Fraser University; UK Research &amp; Innovation (UKRI); Natural Environment Research Council (NERC); NERC British Antarctic Survey</t>
  </si>
  <si>
    <t>Crossin, GT (corresponding author), NERC, Ctr Ecol &amp; Hydrol, Bush Estate, Penicuik EH26 0QB, Midlothian, Scotland.</t>
  </si>
  <si>
    <t>crossin@interchange.ubc.ca</t>
  </si>
  <si>
    <t>Dawson, Alistair/B-4221-2012</t>
  </si>
  <si>
    <t>Dawson, Alistair/0000-0001-6492-872X; Crossin, Glenn/0000-0003-1080-1189</t>
  </si>
  <si>
    <t>British Antarctic Survey; National Science and Engineering Research Council of Canada (NSERC); NERC [bas0100025] Funding Source: UKRI; Natural Environment Research Council [bas0100025, CEH010021] Funding Source: researchfish</t>
  </si>
  <si>
    <t>British Antarctic Survey; National Science and Engineering Research Council of Canada (NSERC)(Natural Sciences and Engineering Research Council of Canada (NSERC)); NERC(UK Research &amp; Innovation (UKRI)Natural Environment Research Council (NERC)); Natural Environment Research Council(UK Research &amp; Innovation (UKRI)Natural Environment Research Council (NERC))</t>
  </si>
  <si>
    <t>Many thanks are extended to S. Adlard at the Bird Island Research Station for field assistance. Financial support for this work was provided by the British Antarctic Survey through an Antarctic Funding Initiative Collaborative Gearing Scheme awarded to A. D., P.N.T., and R. A. P. Additional support was provided through a National Science and Engineering Research Council of Canada (NSERC) Postdoctoral Fellowship and NSERC E-BIRD funding to G. T. C. and an NSERC Discovery Grant to T. D. W.</t>
  </si>
  <si>
    <t>0003-0147</t>
  </si>
  <si>
    <t>1537-5323</t>
  </si>
  <si>
    <t>AM NAT</t>
  </si>
  <si>
    <t>Am. Nat.</t>
  </si>
  <si>
    <t>10.1086/655223</t>
  </si>
  <si>
    <t>Ecology; Evolutionary Biology</t>
  </si>
  <si>
    <t>Environmental Sciences &amp; Ecology; Evolutionary Biology</t>
  </si>
  <si>
    <t>634YA</t>
  </si>
  <si>
    <t>WOS:000280621000009</t>
  </si>
  <si>
    <t>Koh, EY; Atamna-Ismaeel, N; Martin, A; Cowie, ROM; Beja, O; Davy, SK; Maas, EW; Ryan, KG</t>
  </si>
  <si>
    <t>Koh, Eileen Y.; Atamna-Ismaeel, Nof; Martin, Andrew; Cowie, Rebecca O. M.; Beja, Oded; Davy, Simon K.; Maas, Elizabeth W.; Ryan, Ken G.</t>
  </si>
  <si>
    <t>Proteorhodopsin-Bearing Bacteria in Antarctic Sea Ice</t>
  </si>
  <si>
    <t>APPLIED AND ENVIRONMENTAL MICROBIOLOGY</t>
  </si>
  <si>
    <t>MICROBIAL COMMUNITIES; METABOLIC-ACTIVITY; DIVERSITY; LIGHT; PHOTOTROPHY; GROWTH; SAR11; BACTERIOPLANKTON; PHYTOPLANKTON; FLAVOBACTERIA</t>
  </si>
  <si>
    <t>Proteorhodopsins (PRs) are widespread bacterial integral membrane proteins that function as light-driven proton pumps. Antarctic sea ice supports a complex community of autotrophic algae, heterotrophic bacteria, viruses, and protists that are an important food source for higher trophic levels in ice-covered regions of the Southern Ocean. Here, we present the first report of PR-bearing bacteria, both dormant and active, in Antarctic sea ice from a series of sites in the Ross Sea using gene-specific primers. Positive PR sequences were generated from genomic DNA at all depths in sea ice, and these sequences aligned with the classes Alphaproteobacteria, Gammaproteobacteria, and Flavobacteria. The sequences showed some similarity to previously reported PR sequences, although most of the sequences were generally distinct. Positive PR sequences were also observed from cDNA reverse transcribed from RNA isolated from sea ice samples. This finding indicates that these sequences were generated from metabolically active cells and suggests that the PR gene is functional within sea ice. Both blue-absorbing and green-absorbing forms of PRs were detected, and only a limited number of blue-absorbing forms were found and were in the midsection of the sea ice profile in this study. Questions still remain regarding the protein's ecological functions, and ultimately, field experiments will be needed to establish the ecological and functional role of PRs in the sea ice ecosystem.</t>
  </si>
  <si>
    <t>[Koh, Eileen Y.; Cowie, Rebecca O. M.; Davy, Simon K.; Ryan, Ken G.] Victoria Univ Wellington, Sch Biol Sci, Wellington 6140, New Zealand; [Atamna-Ismaeel, Nof; Beja, Oded] Technion Israel Inst Technol, Fac Biol, IL-3200 Haifa, Israel; [Martin, Andrew] Univ Tasmania, Inst Marine &amp; Antarctic Studies, Hobart, Tas, Australia; [Maas, Elizabeth W.] Natl Inst Water &amp; Atmospher Res, Wellington, New Zealand</t>
  </si>
  <si>
    <t>Victoria University Wellington; Technion Israel Institute of Technology; University of Tasmania; National Institute of Water &amp; Atmospheric Research (NIWA) - New Zealand</t>
  </si>
  <si>
    <t>Koh, EY (corresponding author), Victoria Univ Wellington, Sch Biol Sci, POB 600, Wellington 6140, New Zealand.</t>
  </si>
  <si>
    <t>koh_eileen@yahoo.com</t>
  </si>
  <si>
    <t>Koh, Eileen/O-1104-2019; Martin, Andrew/F-5688-2013; Ryan, Ken/F-5652-2013</t>
  </si>
  <si>
    <t>Koh, Eileen/0000-0002-9378-6334; Davy, Simon/0000-0003-3584-5356; Martin, Andrew/0000-0001-8260-5529; Ryan, Ken/0000-0001-7075-0112</t>
  </si>
  <si>
    <t>New Zealand Foundation of Research Science and Technology [VICX0706]; Israel Science Foundation [1203/06]; Education NZ PSAA; VUW SFRG</t>
  </si>
  <si>
    <t>New Zealand Foundation of Research Science and Technology(New Zealand Foundation for Research, Science and Technology); Israel Science Foundation(Israel Science Foundation); Education NZ PSAA; VUW SFRG</t>
  </si>
  <si>
    <t>This research was supported by New Zealand Foundation of Research Science and Technology grant number VICX0706 to K.G.R. and grant number 1203/06 from the Israel Science Foundation to O.B. E.Y.K. was awarded Education NZ PSAA and VUW SFRG grants to conduct preliminary work at the O.B. laboratory.</t>
  </si>
  <si>
    <t>AMER SOC MICROBIOLOGY</t>
  </si>
  <si>
    <t>1752 N ST NW, WASHINGTON, DC 20036-2904 USA</t>
  </si>
  <si>
    <t>0099-2240</t>
  </si>
  <si>
    <t>1098-5336</t>
  </si>
  <si>
    <t>APPL ENVIRON MICROB</t>
  </si>
  <si>
    <t>Appl. Environ. Microbiol.</t>
  </si>
  <si>
    <t>10.1128/AEM.00562-10</t>
  </si>
  <si>
    <t>643IE</t>
  </si>
  <si>
    <t>Green Published, Green Accepted</t>
  </si>
  <si>
    <t>WOS:000281288000031</t>
  </si>
  <si>
    <t>García-Peña, FJ; Pérez-Boto, D; Jiménez, C; San Miguel, E; Echeita, A; Rengifo-Herrera, C; García-Párraga, D; Ortega-Mora, LM; Pedraza-Díaz, S</t>
  </si>
  <si>
    <t>Garcia-Pena, F. J.; Perez-Boto, D.; Jimenez, C.; San Miguel, E.; Echeita, A.; Rengifo-Herrera, C.; Garcia-Parraga, D.; Ortega-Mora, L. M.; Pedraza-Diaz, S.</t>
  </si>
  <si>
    <t>Isolation and Characterization of Campylobacter spp. from Antarctic Fur Seals (Arctocephalus gazella) at Deception Island, Antarctica</t>
  </si>
  <si>
    <t>NORTHERN ELEPHANT SEALS; SP-NOV.; JEJUNI; LARI; IDENTIFICATION; SEPTICEMIA; PATHOGENS; SURFACE; COLI</t>
  </si>
  <si>
    <t>The presence of Campylobacter spp. was investigated in 41 Antarctic fur seals (Arctocephalus gazella) and 9 Weddell seals (Leptonychotes weddellii) at Deception Island, Antarctica. Infections were encountered in six Antarctic fur seals. The isolates, the first reported from marine mammals in the Antarctic region, were identified as Campylobacter insulaenigrae and Campylobacter lari.</t>
  </si>
  <si>
    <t>[Garcia-Pena, F. J.] LCV Algete, Dept Bacteriol, Madrid 28110, Spain; [Perez-Boto, D.; Echeita, A.] Inst Salud Carlos III, Ctr Nacl Microbiol, Madrid, Spain; [Rengifo-Herrera, C.; Ortega-Mora, L. M.; Pedraza-Diaz, S.] Univ Complutense Madrid, Fac Vet Sci, Dept Anim Hlth, SALUVET, E-28040 Madrid, Spain</t>
  </si>
  <si>
    <t>Instituto de Salud Carlos III; Centro Nacional de Microbiologia (CNM); Complutense University of Madrid</t>
  </si>
  <si>
    <t>García-Peña, FJ (corresponding author), LCV Algete, Dept Bacteriol, Madrid Algete Rd,Km 8-00, Madrid 28110, Spain.</t>
  </si>
  <si>
    <t>fgarciap@mapya.es</t>
  </si>
  <si>
    <t>Rengifo-Herrera, Claudia C/F-7621-2014; Ortega-Mora, Luis Miguel/AFT-0684-2022; Pedraza-Diaz, Susana/HGB-3199-2022; Pedraza-Diaz, Susana/F-3988-2018</t>
  </si>
  <si>
    <t>Ortega-Mora, Luis Miguel/0000-0002-4986-6783; Garcia Parraga, Daniel/0000-0002-3335-5831; Pedraza-Diaz, Susana/0000-0001-9401-6473; Garcia-Pena, Francisco Javier/0000-0002-2899-2860</t>
  </si>
  <si>
    <t>Spanish Ministry of Education and Science [CGL-2004-22025-E/ANT, CGL-2005-25073-E/ANT]</t>
  </si>
  <si>
    <t>Spanish Ministry of Education and Science(Spanish Government)</t>
  </si>
  <si>
    <t>This work was funded by the Spanish Ministry of Education and Science (CGL-2004-22025-E/ANT and CGL-2005-25073-E/ANT).</t>
  </si>
  <si>
    <t>10.1128/AEM.00316-10</t>
  </si>
  <si>
    <t>WOS:000281288000044</t>
  </si>
  <si>
    <t>Ridley, C; Harrison, NM; Phillips, RA; Pugh, PJA</t>
  </si>
  <si>
    <t>Ridley, Cindy; Harrison, Nancy M.; Phillips, R. A.; Pugh, P. J. A.</t>
  </si>
  <si>
    <t>Identifying the origins of fishing gear ingested by seabirds: a novel multivariate approach</t>
  </si>
  <si>
    <t>AQUATIC CONSERVATION-MARINE AND FRESHWATER ECOSYSTEMS</t>
  </si>
  <si>
    <t>cluster analysis; fishing gear; hooks; multivariate analysis; PCA; Procellariiformes</t>
  </si>
  <si>
    <t>ALBATROSSES DIOMEDEA-EXULANS; TOOTHFISH LONGLINE FISHERY; CHEDDAR CHEESE FLAVOR; FAULT-DETECTION; SOUTHERN-OCEAN; BYCATCH; MORTALITY; ISLANDS; DISCRIMINATION; CONSERVATION</t>
  </si>
  <si>
    <t>1. The global decline of albatrosses (Diomedidae: Procellariiformes) is thought to have occurred largely as a direct result of fishery-related mortality. Albatrosses and other large petrels interact with fisheries in several ways, including scavenging used bait and discarded offal, which may contain hooks. 2. Hooks that are ingested by breeding birds are often fed to chicks which subsequently regurgitate them shortly before fledging. 3. In this study a series of mathematical (cladistic, cluster and principal components) analyses are applied to a sample of 241 items of fishing gear (hook, snood and hook/snood unit) collected from seabird nest sites on Bird Island, South Georgia, and 44 reference gear items provided by four South Atlantic regional fisheries. 4. The five separate analyses failed to assign most gear to a particular fishery or to identify any consistent annual trends. The homogeneous nature of the material, which was largely derived from the same manufacturers, meant that gear origin could not be determined. This suggests that hooks found at seabird colonies in this, and potentially other regions, will be of limited use in identifying offending fisheries, unless operators are obliged to deploy gear with unique marks in the future. 5. Nevertheless, it is suggested that this approach should work effectively where birds interact with a range of fisheries targeting different species using variable gear. This study therefore represents an innovative approach to the characterization of lost fishing gear with potentially widespread application. Copyright (C) 2010 John Wiley &amp; Sons, Ltd.</t>
  </si>
  <si>
    <t>[Ridley, Cindy; Harrison, Nancy M.; Pugh, P. J. A.] Anglia Ruskin Univ, Dept Life Sci, Cambridge CB1 1PT, England; [Phillips, R. A.] British Antarctic Survey, NERC, Cambridge CB3 0ET, England</t>
  </si>
  <si>
    <t>Anglia Ruskin University; UK Research &amp; Innovation (UKRI); Natural Environment Research Council (NERC); NERC British Antarctic Survey</t>
  </si>
  <si>
    <t>Pugh, PJA (corresponding author), Anglia Ruskin Univ, Dept Life Sci, East Rd, Cambridge CB1 1PT, England.</t>
  </si>
  <si>
    <t>philip.pugh@anglia.ac.uk</t>
  </si>
  <si>
    <t>1052-7613</t>
  </si>
  <si>
    <t>1099-0755</t>
  </si>
  <si>
    <t>AQUAT CONSERV</t>
  </si>
  <si>
    <t>Aquat. Conserv.-Mar. Freshw. Ecosyst.</t>
  </si>
  <si>
    <t>SEP-OCT</t>
  </si>
  <si>
    <t>10.1002/aqc.1136</t>
  </si>
  <si>
    <t>Environmental Sciences; Marine &amp; Freshwater Biology; Water Resources</t>
  </si>
  <si>
    <t>Environmental Sciences &amp; Ecology; Marine &amp; Freshwater Biology; Water Resources</t>
  </si>
  <si>
    <t>655XW</t>
  </si>
  <si>
    <t>WOS:000282290500003</t>
  </si>
  <si>
    <t>Robertson, G; Candy, SG; Wienecke, B; Lawton, K</t>
  </si>
  <si>
    <t>Robertson, Graham; Candy, Steven G.; Wienecke, Barbara; Lawton, Kieran</t>
  </si>
  <si>
    <t>Experimental determinations of factors affecting the sink rates of baited hooks to minimize seabird mortality in pelagic longline fisheries</t>
  </si>
  <si>
    <t>pelagic longline fisheries; sink rates; line weighting; bait species; bait life status; seabird conservation; cooperative research</t>
  </si>
  <si>
    <t>INTEGRATED WEIGHT LONGLINES; BYCATCH; CATCH; TUNA</t>
  </si>
  <si>
    <t>1. An experiment was conducted in Australia's pelagic longline fishery to establish a scientific basis for the introduction of line weighting to reduce seabird mortality. The experiment examined the effects of different bait species (blue mackerel, yellow-tail mackerel and squid), bait life status (dead or alive), weight of leaded swivels (60 g, 100 g and 160 g) and leader length (distance between leaded swivel and hooks: 2m, 3m and 4m) on the sink rates of baited hooks from 0-6m deep. 2. On average, live bait sank much more slowly than dead bait. The sink rates of individual live bait were highly variable: many were &lt;2m underwater 18 s after deployment, including some on the heaviest swivels, and some were &lt;10m deep after 120 s. 3. Within the dead bait group, all three swivel weights on 3m and 4m leaders sank at similar rates. Initial sink rates (e. g. 0-2 m) were 2-3 times slower than final rates (e. g. 4-6 m) for all combinations of swivel weight and leader length. The fastest initial and final sink rates were associated with heavy swivels placed close to hooks. 4. The results show that (a) compared with dead bait, live bait greatly increases the exposure of baited hooks to seabirds; (b) initial sink rates of dead bait are increased by placing leaded swivels close to hooks and final rates by increasing the weight of the swivels; (c) adding weight to long leaders makes little difference to sink rates; and (d) the small (incremental) changes to swivel weights and leader lengths typically preferred by industry will be difficult to detect at sea and unlikely to substantially reduce seabird mortality. 5. We suggest that experiments designed to reduce seabird mortality from that associated with 60 g swivels and similar to 3.5m leaders (the preferred option by industry) should aim to expedite the initial sink rates as well as rates to deeper depths. This objective could be achieved by including branch lines with &gt;= 120 g swivels &lt;= 2m in comparative assessments of the effectiveness of line weighting regimes in reducing seabird mortality. Copyright (C) 2010 John Wiley &amp; Sons, Ltd.</t>
  </si>
  <si>
    <t>[Robertson, Graham; Candy, Steven G.; Wienecke, Barbara; Lawton, Kieran] Australian Antarctic Div, Kingston, Tas 7050, Australia</t>
  </si>
  <si>
    <t>Australian Antarctic Division</t>
  </si>
  <si>
    <t>Robertson, G (corresponding author), Australian Antarctic Div, Channel Highway, Kingston, Tas 7050, Australia.</t>
  </si>
  <si>
    <t>graham.robertson@aad.gov.au</t>
  </si>
  <si>
    <t>Fennell, Hannah/AAI-1408-2019</t>
  </si>
  <si>
    <t>10.1002/aqc.1140</t>
  </si>
  <si>
    <t>WOS:000282290500004</t>
  </si>
  <si>
    <t>Poisbleau, M; Demongin, L; van Noordwijk, HJ; Strange, IJ; Quillfeldt, P</t>
  </si>
  <si>
    <t>Poisbleau, Maud; Demongin, Laurent; van Noordwijk, Hendrika J.; Strange, Ian J.; Quillfeldt, Petra</t>
  </si>
  <si>
    <t>Sexual dimorphism and use of morphological measurements to sex adults, immatures and chicks of Rockhopper Penguins</t>
  </si>
  <si>
    <t>ARDEA</t>
  </si>
  <si>
    <t>Rockhopper Penguin; sex determination; sexual dimorphism; discriminant function analysis; growth curve; age class</t>
  </si>
  <si>
    <t>EUDYPTES-C.-CHRYSOCOME; MORPHOMETRIC MEASUREMENTS; ADELIE PENGUINS</t>
  </si>
  <si>
    <t>Following recent phylogenetic work, Rockhopper Penguins were suggested to consist of two or three species. For the Southern Rockhopper Penguin Eudyptes c. chrysocome, sexual dimorphism has not been studied in detail, and only a few previous studies on penguins have investigated sexual dimorphism in immatures and chicks. Using data in the literature, we examined whether the sexual dimorphism of adults varies among the three taxa of Rockhopper Penguins and then we investigated the most reliable measurements to sex adult Rockhopper Penguins. We observed that bill length is the most useful measurement to separate males from females. To allow for sex discrimination in the field, we also examined a large dataset of Southern Rockhopper Penguins from New Island, Falkland Islands, including adults sexed via observation of behaviour, and immatures and chicks sexed genetically. We found that male adults and immatures were larger than females in bill length and bill depth and, to a lesser degree, in flipper lengths. We thus derived discriminant functions from bill length and bill depth and correctly sexed 96.2% of adults and 91.8% of immatures. In newly hatched chicks, males had a longer bill than females, but sexing was only successful for 63.5% of hatchlings. Just before the creche age (18 and 19 days) and after the pre-fledging moult (55 days and older), all morphological measurements of chicks were significantly different between sexes, and sex determination was successful for 68.2% and 84.3% of chicks in these age groups, respectively. Consistently among age groups, bill length was the most dimorphic character in this population.</t>
  </si>
  <si>
    <t>[Poisbleau, Maud; Demongin, Laurent; van Noordwijk, Hendrika J.; Quillfeldt, Petra] Max Planck Inst Ornithol, D-78315 Radolfzell am Bodensee, Germany; [Poisbleau, Maud; Demongin, Laurent] Univ Antwerp, Dept Biol Ethol, B-2610 Antwerp, Belgium</t>
  </si>
  <si>
    <t>Max Planck Society; University of Antwerp</t>
  </si>
  <si>
    <t>Poisbleau, M (corresponding author), Max Planck Inst Ornithol, Schlossallee 2, D-78315 Radolfzell am Bodensee, Germany.</t>
  </si>
  <si>
    <t>maud.poisbleau@ua.ac.be</t>
  </si>
  <si>
    <t>Quillfeldt, Petra/A-9549-2009; Poisbleau, Maud/B-9968-2014</t>
  </si>
  <si>
    <t>Quillfeldt, Petra/0000-0002-4450-8688;</t>
  </si>
  <si>
    <t>Deutsche Forschungsgemeinschaft [DFG 8Qu 148/1-ff]; Falkland Islands Government Environmental Studies</t>
  </si>
  <si>
    <t>Deutsche Forschungsgemeinschaft(German Research Foundation (DFG)); Falkland Islands Government Environmental Studies</t>
  </si>
  <si>
    <t>We are grateful to the New Island Conservation Trust for permission to work on the island and for logistic support. We wish to thank Maria and Georgina Strange, Dan Birch, Miguel Lecoq and Juan Masello for their management help in the field station. Charles-Andre Bost, Leopold Denonfoux, Olivier Chastel and Paulo Carry provided essential advice on methods. Thanks also to Helen Otley, Falkland Islands Government and British Antarctic Survey for their logistic help. This study was funded by a grant provided by the Deutsche Forschungsgemeinschaft DFG 8Qu 148/1-ff), and a Falkland Islands Government Environmental Studies Budget grant. All work was approved by the Falkland Islands Government (Environmental Planning Office). The manuscript benefited greatly from critical comments by Josie Meaney.</t>
  </si>
  <si>
    <t>NEDERLANDSE ORNITHOLOGISCHE UNIE</t>
  </si>
  <si>
    <t>ZEIST</t>
  </si>
  <si>
    <t>C/O PAUL STARMANS, OUDE ARNHEMSEWEG 261, 3705 BD ZEIST, NETHERLANDS</t>
  </si>
  <si>
    <t>0373-2266</t>
  </si>
  <si>
    <t>Ardea</t>
  </si>
  <si>
    <t>FAL</t>
  </si>
  <si>
    <t>10.5253/078.098.0212</t>
  </si>
  <si>
    <t>682ZB</t>
  </si>
  <si>
    <t>WOS:000284440400012</t>
  </si>
  <si>
    <t>Wilson, JW; Wanless, RM; Burle, MH; Angel, A; Kritzinger, P; Stead, B</t>
  </si>
  <si>
    <t>Wilson, John W.; Wanless, Ross M.; Burle, Marie-Helene; Angel, Andrea; Kritzinger, Petrus; Stead, Barry</t>
  </si>
  <si>
    <t>Breeding biology of Brown Noddies Anous stolidus at their southern-most breeding site, Gough Island, in comparison to other sites</t>
  </si>
  <si>
    <t>Atlantic Ocean; breeding success; chick growth rates; Tristan da Cunha; tropical seabird</t>
  </si>
  <si>
    <t>HAWAII</t>
  </si>
  <si>
    <t>We investigated the breeding biology of the Brown Noddy Anous stolidus at its southern-most breeding locality, cold-temperate Gough Island (40 degrees S) in the South Atlantic Ocean. We monitored 19 nests over three seasons for breeding schedules, and measured the growth of eight chicks and six fledglings during the 2005/06 breeding season. Across all seasons, egg-laying occurred between 2-12 December, mean incubation was 37 days and median hatch date was 15 January. Three late hatch dates suggest that replacement clutches can be laid if failure occurs early in the season. Chicks fledged after a mean of 46 days, but remained in the vicinity of the nest and were provisioned by adults for up to 11 days. Hatching success was 88%, fledging success 92% and breeding success 81%, which is higher than at most other sites. The size, chick growth-rates and pre-fledging fast displayed by Gough's Brown Noddies are similar to that of Brown Noddies breeding at other mid-latitude Atlantic locations. These similarities of these migratory noddy populations, as well as mirrored breeding schedules suggest a single mid-latitude Atlantic meta-population.</t>
  </si>
  <si>
    <t>[Wilson, John W.; Wanless, Ross M.; Burle, Marie-Helene; Angel, Andrea; Stead, Barry] Univ Cape Town, DST NRF Ctr Excellence, Percy FitzPatrick Inst, ZA-7701 Rondebosch, South Africa; [Wilson, John W.; Wanless, Ross M.; Burle, Marie-Helene] Royal Soc Protect Birds, Sandy SG19 2DL, Beds, England; [Angel, Andrea; Kritzinger, Petrus] CORE Initiat, ZA-7701 Rondebosch, South Africa</t>
  </si>
  <si>
    <t>University of Cape Town; National Research Foundation - South Africa; Royal Society for Protection of Birds</t>
  </si>
  <si>
    <t>Wilson, JW (corresponding author), N Carolina State Univ, Dept Biol, Raleigh, NC 27606 USA.</t>
  </si>
  <si>
    <t>johnnybirder@gmail.com</t>
  </si>
  <si>
    <t>Wilson, John W./E-9601-2011</t>
  </si>
  <si>
    <t>Wilson, John W./0000-0002-7230-1449</t>
  </si>
  <si>
    <t>Royal Society; University of Cape Town</t>
  </si>
  <si>
    <t>Royal Society(Royal Society); University of Cape Town</t>
  </si>
  <si>
    <t>Logistical support at Gough Island was provided by the South African Department of Environmental Affairs and Tourism through the South African National Antarctic Programme. Financial support was obtained from the Royal Society for the Protection of Birds and University of Cape Town. Research at Gough Island is conducted with the permission of the Administrator of Tristan da Cunha. We thank John Cooper for making Barry Stead's data available for publication. Richard Cuthbert and Peter Ryan commented on an earlier draft of this manuscript.</t>
  </si>
  <si>
    <t>10.5253/078.098.0215</t>
  </si>
  <si>
    <t>WOS:000284440400015</t>
  </si>
  <si>
    <t>Ryan, PG; Ronconi, RA</t>
  </si>
  <si>
    <t>Ryan, Peter G.; Ronconi, Robert A.</t>
  </si>
  <si>
    <t>The Tristan Thrush Nesocichla eremita as seabird predator</t>
  </si>
  <si>
    <t>Tristan Thrush; Nesocichla; predation; seabirds; eggs; chicks</t>
  </si>
  <si>
    <t>HALOBAENA-CAERULEA; EGG NEGLECT; PETRELS</t>
  </si>
  <si>
    <t>Tristan Thrushes or Starchies Nesocichla eremita are known to feed on seabird eggs. We show they are able to open the eggs of birds as large as small albatrosses. Starchies were involved in almost half of all egg losses by Great Shearwaters Puffinus gravis during the early incubation period in a small study colony at Inaccessible Island, South Atlantic Ocean. They also enter burrows to remove and kill petrel chicks up to at least 70 g. Starchies are thus potentially significant predators of seabird eggs and chicks, and may select against egg neglect and early cessation of brooding by burrowing petrels at the Tristan islands. Starchies previously were recorded killing adult White-bellied Storm Petrels Fregetta grallaria at Inaccessible Island. This behaviour now includes White-faced Storm Petrels Pelagodroma marina. It is likely that the Starchies hunt adult storm petrels directly, taking them from their burrows.</t>
  </si>
  <si>
    <t>[Ryan, Peter G.] Univ Cape Town, Percy FitzPatrick Inst, ZA-7701 Rondebosch, South Africa; [Ronconi, Robert A.] Dalhousie Univ, Dept Biol, Halifax, NS, Canada</t>
  </si>
  <si>
    <t>University of Cape Town; Dalhousie University</t>
  </si>
  <si>
    <t>Ryan, PG (corresponding author), Univ Cape Town, Percy FitzPatrick Inst, ZA-7701 Rondebosch, South Africa.</t>
  </si>
  <si>
    <t>peter.ryan@uct.ac.za</t>
  </si>
  <si>
    <t>Ryan, Peter/0000-0002-3356-2056</t>
  </si>
  <si>
    <t>SANAP; European Commission; University of Cape Town; Killam Trust; Dalhousie University</t>
  </si>
  <si>
    <t>SANAP; European Commission(European Union (EU)European Commission Joint Research Centre); University of Cape Town; Killam Trust; Dalhousie University</t>
  </si>
  <si>
    <t>We thank the Administrator and Island Council of Tristan for permission to visit Inaccessible Island. Coleen Moloney and Cliff Dorse provided assistance and insights in the field. Logistical support was supplied by the South African National Antarctic Programme (SANAP), and Tristan's Conservation Department; we especially thank Captain Clarence October and the crew of the Edinburgh and Norman Glass. Financial support was provided by SANAP, the European Commission's EDF-9 through the South Atlantic Invasive Species project, and the University of Cape Town. RAR was supported by the Killam Trust, Dalhousie University.</t>
  </si>
  <si>
    <t>2213-1175</t>
  </si>
  <si>
    <t>10.5253/078.098.0216</t>
  </si>
  <si>
    <t>WOS:000284440400016</t>
  </si>
  <si>
    <t>Dartnell, LR; Hunter, SJ; Lovell, KV; Coates, AJ; Ward, JM</t>
  </si>
  <si>
    <t>Dartnell, Lewis R.; Hunter, Stephanie J.; Lovell, Keith V.; Coates, Andrew J.; Ward, John M.</t>
  </si>
  <si>
    <t>Low-Temperature Ionizing Radiation Resistance of Deinococcus radiodurans and Antarctic Dry Valley Bacteria</t>
  </si>
  <si>
    <t>ASTROBIOLOGY</t>
  </si>
  <si>
    <t>Ionizing radiation resistance; Antarctic Dry Valley; Deinococcus radiodurans; Mars; Planetary protection</t>
  </si>
  <si>
    <t>MARS SAMPLE RETURN; HETEROTROPHIC BACTERIA; AQUEOUS-SOLUTIONS; ESCHERICHIA-COLI; MARTIAN SURFACE; TOTAL OZONE; SP NOV.; SURVIVAL; LIFE; SOIL</t>
  </si>
  <si>
    <t>The high flux of cosmic rays onto the unshielded surface of Mars poses a significant hazard to the survival of martian microbial life. Here, we determined the survival responses of several bacterial strains to ionizing radiation exposure while frozen at a low temperature characteristic of the martian near-subsurface. Novel psychrotolerant bacterial strains were isolated from the Antarctic Dry Valleys, an environmental analogue of the martian surface, and identified by 16S rRNA gene phylogeny as representatives of Brevundimonas, Rhodococcus, and Pseudomonas genera. These isolates, in addition to the known radioresistant extremophile Deinococcus radiodurans, were exposed to gamma rays while frozen on dry ice (-79 degrees C). We found D. radiodurans to exhibit far greater radiation resistance when irradiated at -79 degrees C than was observed in similar studies performed at higher temperatures. This greater radiation resistance has important implications for the estimation of potential survival times of microorganisms near the martian surface. Furthermore, the most radiation resistant of these Dry Valley isolates, Brevundimonas sp. MV.7, was found to show 99% 16S rRNA gene similarity to contaminant bacteria discovered in clean rooms at both Kennedy and Johnson Space Centers and so is of prime concern to efforts in the planetary protection of Mars from our lander probes. Results from this experimental irradiation, combined with previous radiation modeling, indicate that Brevundimonas sp. MV.7 emplaced only 30 cm deep in martian dust could survive the cosmic radiation for up to 100,000 years before suffering 10(6) population reduction.</t>
  </si>
  <si>
    <t>[Dartnell, Lewis R.] UCL, Ctr Math &amp; Phys Life Sci &amp; Expt Biol CoMPLEX, London WC1E 6BT, England; [Dartnell, Lewis R.] UCL, UCL Birkbeck, CPS, London WC1E 6BT, England; [Hunter, Stephanie J.; Ward, John M.] UCL, Res Dept Struct &amp; Mol Biol, London WC1E 6BT, England; [Lovell, Keith V.] Cranfield Univ, Dept Appl Sci Secur &amp; Resilience, Shrivenham, England; [Coates, Andrew J.] UCL, Mullard Space Sci Lab, London WC1E 6BT, England</t>
  </si>
  <si>
    <t>University of London; University College London; University of London; University College London; Birkbeck University London; University of London; University College London; Cranfield University; University of London; University College London</t>
  </si>
  <si>
    <t>Dartnell, LR (corresponding author), UCL, Ctr Math &amp; Phys Life Sci &amp; Expt Biol CoMPLEX, Gower St, London WC1E 6BT, England.</t>
  </si>
  <si>
    <t>l.dartnell@ucl.ac.uk</t>
  </si>
  <si>
    <t>Coates, Andrew/C-2396-2008</t>
  </si>
  <si>
    <t>Coates, Andrew/0000-0002-6185-3125; Ward, John/0000-0002-4415-5544</t>
  </si>
  <si>
    <t>EPSRC; Science and Technology Facilities Council [PP/E001173/1] Funding Source: researchfish; UK Space Agency [ST/G008906/1, ST/G003203/1, ST/I00274X/1, ST/H004025/1] Funding Source: researchfish; STFC [PP/E001173/1] Funding Source: UKRI</t>
  </si>
  <si>
    <t>EPSRC(UK Research &amp; Innovation (UKRI)Engineering &amp; Physical Sciences Research Council (EPSRC)); Science and Technology Facilities Council(UK Research &amp; Innovation (UKRI)Science &amp; Technology Facilities Council (STFC)); UK Space Agency; STFC(UK Research &amp; Innovation (UKRI)Science &amp; Technology Facilities Council (STFC))</t>
  </si>
  <si>
    <t>L.R. Dartnell was supported by an EPSRC Doctoral Training Centre studentship. The authors thank the two anonymous peer reviewers whose comments helped improve the quality of this paper.</t>
  </si>
  <si>
    <t>MARY ANN LIEBERT, INC</t>
  </si>
  <si>
    <t>NEW ROCHELLE</t>
  </si>
  <si>
    <t>140 HUGUENOT STREET, 3RD FL, NEW ROCHELLE, NY 10801 USA</t>
  </si>
  <si>
    <t>1531-1074</t>
  </si>
  <si>
    <t>1557-8070</t>
  </si>
  <si>
    <t>Astrobiology</t>
  </si>
  <si>
    <t>10.1089/ast.2009.0439</t>
  </si>
  <si>
    <t>671EM</t>
  </si>
  <si>
    <t>WOS:000283483100005</t>
  </si>
  <si>
    <t>Choi, W; Lim, K</t>
  </si>
  <si>
    <t>Choi, Wookap; Lim, Kyungsoo</t>
  </si>
  <si>
    <t>Variation of Tracer Distribution During the Antarctic Polar Vortex Breakup Shown in ILAS and ILAS-II Data</t>
  </si>
  <si>
    <t>ATMOSPHERE-KOREA</t>
  </si>
  <si>
    <t>Korean</t>
  </si>
  <si>
    <t>Polar vortex; Vortex breakup; Stratospheric tracer; Zonal standard deviation</t>
  </si>
  <si>
    <t>Variation of tracer distribution during the vortex-breakup period in the Antarctic region was observed by the data from the Improved Limb Atmospheric Spectrometer (ILAS) and ILAS-II. All four trace species including methane, nitrous oxide, ozone, and water vapor show similar patterns of vertical gradient in spite of different structures of zonal mean mixing ratio. Timings of vortex breakup on each level are estimated by two different methods, and they are compared with zonal standard deviations following the latitude circle of each trace species. Although the tracers have different chemical life times and sink/source, the zonal standard deviation patterns show remarkable similarities. The zonal standard deviation shown here to measure the zonal asymmetry of tracer distribution is believed to diagnose the timing of the Antarctic polar-vortex breakup reasonably well.</t>
  </si>
  <si>
    <t>[Choi, Wookap; Lim, Kyungsoo] Seoul Natl Univ, Sch Earth &amp; Environm Sci, Seoul 151747, South Korea</t>
  </si>
  <si>
    <t>Seoul National University (SNU)</t>
  </si>
  <si>
    <t>Choi, W (corresponding author), Seoul Natl Univ, Sch Earth &amp; Environm Sci, Seoul 151747, South Korea.</t>
  </si>
  <si>
    <t>wchoi@snu.ac.kr</t>
  </si>
  <si>
    <t>KOREAN METEOROLOGICAL SOC</t>
  </si>
  <si>
    <t>SEOUL</t>
  </si>
  <si>
    <t>SHINKIL-DONG 508, SIWON BLDG 704, YONGDUNGPO-GU, SEOUL, 150-050, SOUTH KOREA</t>
  </si>
  <si>
    <t>1598-3560</t>
  </si>
  <si>
    <t>2288-3266</t>
  </si>
  <si>
    <t>ATMOS-KOREA</t>
  </si>
  <si>
    <t>Atmos.-Korea</t>
  </si>
  <si>
    <t>V9V0E</t>
  </si>
  <si>
    <t>WOS:000422549100013</t>
  </si>
  <si>
    <t>Opell, BD</t>
  </si>
  <si>
    <t>Opell, Brent D.</t>
  </si>
  <si>
    <t>Bergmanns's size cline in New Zealand marine spray zone spiders (Araneae: Anyphaenidae: Amaurobioides)</t>
  </si>
  <si>
    <t>BIOLOGICAL JOURNAL OF THE LINNEAN SOCIETY</t>
  </si>
  <si>
    <t>clinal variation; latitude; NDI gene; sub-Antarctic; TCS analysis; temperature</t>
  </si>
  <si>
    <t>HEMIDEINA-MAORI ORTHOPTERA; BODY-SIZE; LIFE-HISTORY; EGG SIZE; MYRMELEON-IMMACULATUS; CONFIDENCE-INTERVALS; GEOGRAPHIC-VARIATION; MARK-RECAPTURE; CLUTCH SIZE; ANT LION</t>
  </si>
  <si>
    <t>Members of the spider genus Amaurobioides are restricted to the spray zone of rocky marine coasts, where they construct and hunt from silk retreats. Collecting for this study shows these spiders to be distributed around the entire New Zealand coast. A Templeton, Crandall, and Sing (TCS) analysis of the ND1 mitochondrial gene places specimens from the North Island and the northern half of the South Island into a group distinct from Amaurobioides maritima O.P.-Cambridge, 1883, which is restricted to the southern half of the South Island. Females of this northern group exhibit latitude- and temperature-related clines in body length, body mass, and residual index of condition, with larger individuals with greater indices of condition being found at cooler, southern sites. This size cline also appeared in a broader geographical analysis that included Amaurobioides piscator Hogg, 1909 from the sub-Antarctic Auckland and Campbell Islands. Thirteen ND1 haplotypes are represented in the northern group. Both independent contrast analyses and standard regressions of the mean body lengths and mean masses of these haplotypes, and the mean latitudes and temperatures of the sites where haplotypes were present, document a Bergmann's size cline, and provide evidence for an underlying genetic component. (C) 2010 The Linnean Society of London, Biological Journal of the Linnean Society, 2010, 101, 78-92.</t>
  </si>
  <si>
    <t>Virginia Polytech Inst &amp; State Univ, Dept Biol Sci, Blacksburg, VA 24061 USA</t>
  </si>
  <si>
    <t>Virginia Polytechnic Institute &amp; State University</t>
  </si>
  <si>
    <t>Opell, BD (corresponding author), Virginia Polytech Inst &amp; State Univ, Dept Biol Sci, Blacksburg, VA 24061 USA.</t>
  </si>
  <si>
    <t>bopell@vt.edu</t>
  </si>
  <si>
    <t>Opell, Brent/0000-0002-1830-0752</t>
  </si>
  <si>
    <t>National Geographic Society research</t>
  </si>
  <si>
    <t>National Geographic Society research(National Geographic Society)</t>
  </si>
  <si>
    <t>This study was supported by a National Geographic Society research grant on which Simon Pollard served as an in-country collaborator. Andrea Burger assisted with morphological and molecular laboratory work. Peter Sforza helped me extract GIS temperature data. Simon Pollard, the late Lyn Forster, Shirley McQueen, Ilana Batchelor, and Chris Green helped arrange the collecting and exports permits that were issued by New Zealand's Department of Conservation. Rachel Puentener extended the support of Te Runanga a Ngai Tahu for this study. Abigail Blair and Ilka Sohle facilitated my study of specimens in the Otago Museum, and arranged for a loan of spiders that were included in this study. Grace Hall lent Otago Museum specimens that were housed in the Landcare Research collections, and provided alcohol for preserving spiders. Simon Pollard organized a collecting trip to Tumbledown Bay, and helped collect spiders at this site. Robin Andrews helped collect spiders on the northern and western shores of the South Island. Denis Gibbs extended hospitality and helped searching for Amaurobioides near Raglan. Finally, I am grateful to the late Raymond Forster for discussions and encouragement during the early phase of this study, and for his groundbreaking study of the New Zealand Amaurobioides.</t>
  </si>
  <si>
    <t>0024-4066</t>
  </si>
  <si>
    <t>1095-8312</t>
  </si>
  <si>
    <t>BIOL J LINN SOC</t>
  </si>
  <si>
    <t>Biol. J. Linnean Soc.</t>
  </si>
  <si>
    <t>10.1111/j.1095-8312.2010.01480.x</t>
  </si>
  <si>
    <t>Evolutionary Biology</t>
  </si>
  <si>
    <t>642KD</t>
  </si>
  <si>
    <t>WOS:000281210500008</t>
  </si>
  <si>
    <t>Dobson, FS; Jouventin, P</t>
  </si>
  <si>
    <t>Dobson, F. Stephen; Jouventin, Pierre</t>
  </si>
  <si>
    <t>The trade-off of reproduction and survival in slow-breeding seabirds</t>
  </si>
  <si>
    <t>CANADIAN JOURNAL OF ZOOLOGY</t>
  </si>
  <si>
    <t>LIFE-HISTORY PATTERNS; PROCELLARIA-AEQUINOCTIALIS; CONFIDENCE-INTERVALS; SATELLITE TRACKING; POPULATION-CYCLES; NATURAL-SELECTION; SMALL MAMMALS; PETREL; BIRDS; EVOLUTION</t>
  </si>
  <si>
    <t>A trade-off between reproduction and survival is one of the most consistent empirical aspects of life-history diversification. One explanation for this interspecific pattern is evolved differences in the balance of allocation to reproduction versus individual maintenance and survival. The same pattern is expected, however, simply as a result of differences among species in body size. We tested these alternatives using original data from 44 species of albatrosses and petrels, long-lived seabirds that breed very slowly. After application of regression techniques to remove the effects of body size and phylogeny, annual reproduction and survival exhibited a significant trade-off. Our measures of reproductive effort also exhibited significant trade-offs with age at maturity, the latter strongly associated with survival. Feeding rate of chicks, success at fledging chicks, and annual chick production were also significantly associated. In conclusion, after removing the effects of body size, we found a significant trade-off of reproduction and survival, in spite of the fact that these long-lived birds lay only one egg at a time. Our examination of the pattern among life-history traits of these slow breeders and their pelagic feeding ecology provide support for the evolutionary explanation of a trade-off of reproduction and survival.</t>
  </si>
  <si>
    <t>[Dobson, F. Stephen; Jouventin, Pierre] CNRS, Ctr Ecol Fonct &amp; Evolut, UMR 5175, F-34293 Montpellier 5, France; [Dobson, F. Stephen] Auburn Univ, Dept Biol Sci, Auburn, AL 36849 USA</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</si>
  <si>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Auburn University System; Auburn University</t>
  </si>
  <si>
    <t>Dobson, FS (corresponding author), CNRS, Ctr Ecol Fonct &amp; Evolut, UMR 5175, 1919 Route Mende, F-34293 Montpellier 5, France.</t>
  </si>
  <si>
    <t>fsdobson@msn.com</t>
  </si>
  <si>
    <t>Bond, Alexander L/A-3786-2010; Dobson, F. Stephen/R-7310-2019</t>
  </si>
  <si>
    <t>Dobson, F. Stephen/0000-0001-5562-6316</t>
  </si>
  <si>
    <t>CNRS; Institut polaire francais Paul Emile Victor (IPEV)</t>
  </si>
  <si>
    <t>CNRS(Centre National de la Recherche Scientifique (CNRS)); Institut polaire francais Paul Emile Victor (IPEV)</t>
  </si>
  <si>
    <t>Field support, both logistical and financial, was provided by the Institut polaire francais Paul Emile Victor (IPEV). F.S. Dobson was supported by a Poste Rouge award from CNRS. Suggestions from J.-M. Gaillard and D. Pontier were extremely helpful. J. Bried, A. Charmantier, and J.-M. Gaillard kindly commented on both concepts and the manuscript. M. Etterson and anonymous reviewers greatly improved versions of the manuscript. Our special thanks go to the over 200 field workers involved in capturing and ringing birds in the French Austral and Antarctic territories during the long-term research.</t>
  </si>
  <si>
    <t>CANADIAN SCIENCE PUBLISHING</t>
  </si>
  <si>
    <t>OTTAWA</t>
  </si>
  <si>
    <t>65 AURIGA DR, SUITE 203, OTTAWA, ON K2E 7W6, CANADA</t>
  </si>
  <si>
    <t>0008-4301</t>
  </si>
  <si>
    <t>1480-3283</t>
  </si>
  <si>
    <t>CAN J ZOOL</t>
  </si>
  <si>
    <t>Can. J. Zool.</t>
  </si>
  <si>
    <t>10.1139/Z10-054</t>
  </si>
  <si>
    <t>659SN</t>
  </si>
  <si>
    <t>WOS:000282587300007</t>
  </si>
  <si>
    <t>Testing Williams' prediction: reproductive effort versus residual reproductive value (RRV)</t>
  </si>
  <si>
    <t>LIFE-HISTORY; CONFIDENCE-INTERVALS; NATURAL-SELECTION; GENERATION TIME; STRATEGIES; PATTERNS; COSTS</t>
  </si>
  <si>
    <t>Williams (1966; Am. Nat. 100(916): 687-690) furthered R. A. Fisher's concept of reproductive value by breaking it into two components: (1) current reproduction and (2) residual reproductive value (RRV, the summed product of survival and reproduction over the rest of the lifespan). He predicted a negative correlation of measures of these two components among species, and this prediction led in part to the idea of trade-offs in life-history theory. We tested Williams' prediction with 24 species of albatrosses and petrels (order Procellariiformes), species with a great range of body sizes and all laying only one egg at a time (like humans, highly iteroparous). Two measures of reproductive investment were not negatively correlated with RRV. Adjusting data for body mass and phylogeny resulted in significant positive associations. In addition, any measure of annual parental allocation to reproduction (once adjusted for body size) should give a positive association with RRV as shown by a simple simulation model that assumes a highly iteroparous life cycle. Under such life cycles, Williams' prediction confounds the positive influence of reproduction on both current investment and RRV. Principles of life-history theory, however, do not require re-evaluation, as this particular prediction can in at least some cases be internally inconsistent.</t>
  </si>
  <si>
    <t>[Dobson, F. Stephen; Jouventin, Pierre] Ctr Ecol Fonct &amp; Evolut, CNRS, UMR 5175, F-34293 Montpellier 5, France; [Dobson, F. Stephen] Auburn Univ, Dept Biol Sci, Auburn, AL 36849 USA</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</si>
  <si>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Auburn University System; Auburn University</t>
  </si>
  <si>
    <t>Dobson, FS (corresponding author), Ctr Ecol Fonct &amp; Evolut, CNRS, UMR 5175, 1919 Route Mende, F-34293 Montpellier 5, France.</t>
  </si>
  <si>
    <t>Dobson, F. Stephen/R-7310-2019</t>
  </si>
  <si>
    <t>Institut polaire francais Paul Emile Victor (IPEV); CNRS</t>
  </si>
  <si>
    <t>Institut polaire francais Paul Emile Victor (IPEV); CNRS(Centre National de la Recherche Scientifique (CNRS))</t>
  </si>
  <si>
    <t>Field support and funding for many of the studies of albatrosses and petrels were provided by the Institut polaire francais Paul Emile Victor (IPEV). Our special thanks go to the over 200 field workers involved in capturing and ringing birds in the French Austral and Antarctic territories during the long-term research. D.N. Reznick and anonymous kindly provided comments on an earlier draft of the manuscript. F S. Dobson was supported by a Poste Rouge award from CNRS.</t>
  </si>
  <si>
    <t>10.1139/Z10-055</t>
  </si>
  <si>
    <t>WOS:000282587300008</t>
  </si>
  <si>
    <t>Assad, LPF; Torres, AR; Candella, RN; Mascarenhas, AS</t>
  </si>
  <si>
    <t>Assad, L. P. F.; Torres, A. R., Jr.; Candella, R. N.; Mascarenhas, A. S., Jr.</t>
  </si>
  <si>
    <t>Brazil-Malvinas Confluence upper ocean temperature anomalies induced by an ENSO wind forcing</t>
  </si>
  <si>
    <t>CIENCIAS MARINAS</t>
  </si>
  <si>
    <t>general circulation model; Brazil-Malvinas Confluence; Brazil Current; Malvinas Current; El Nino/Southern Oscillation</t>
  </si>
  <si>
    <t>ANTARCTIC CIRCUMPOLAR CURRENT; SOUTH-ATLANTIC-OCEAN; DRAKE PASSAGE; VARIABILITY; CIRCULATION; SEPARATION</t>
  </si>
  <si>
    <t>The Brazil-Malvinas Confluence (BMC) region constitutes one of the most important ocean features in the South Atlantic Ocean basin. Understanding the BMC upper ocean temperature variability could represent one of the key factors to understanding its connection to local and global ocean circulation. Some important local and remote ocean processes are related to the annual and interannual variability of its thermal/salt front position. This paper investigates the upper ocean variability in the BMC region under the influence of an El Nino/Southern Oscillation-type wind stress field using an oceanic general circulation model (Modular Ocean Model version 4.0). The results revealed the occurrence of positive anomalies, with values ranging from 0.5 degrees C to 1.0 degrees C (centered at 40.5 degrees S and 55.0 degrees W), near the BMC region associated with upper ocean velocity anomalies during the peak of the ocean kinetic energy phase. This mechanism was a response of a volume transport balance between the Brazil Current (BC) and the Malvinas Current (MC), the latter being accelerated by the Antarctic Circumpolar Current (ACC). The occurrence of positive anomalies was always associated with an enhanced BC meridional surface volume transport, together with a decrease of the ACC zonal volume transport, vertically integrated across the Drake Passage, and a correspondent decrease in the upper layer MC volume transport. It was possible to see negative upper layer temperature anomaly predominance just before the peak ocean kinetic energy month and positive anomaly predominance immediately following this month. The occurrence of upper layer temperature anomalies in the BMC region was not restricted to just the peak ocean kinetic energy month since they occurred throughout the perturbed experiment integration time.</t>
  </si>
  <si>
    <t>[Assad, L. P. F.] Univ Fed Rio de Janeiro, COPPE, Ctr Tecnol, Lab Metodos Comp Engh,Ilha Fundao, BR-21941909 Rio De Janeiro, Brazil; [Torres, A. R., Jr.] Univ Fed Rio de Janeiro, CCMN, Inst Geociencias,Ilha Fundao, Dept Meteorol,Lab Modelagem Proc Marinhos &amp; Atmos, BR-21949900 Rio De Janeiro, Brazil; [Candella, R. N.] Inst Estudos Mar Almirante Paulo Moreira, Div Oceanog Fis, BR-28930000 Rio De Janeiro, Brazil; [Mascarenhas, A. S., Jr.] Univ Autonoma Baja California, Inst Invest Oceanol, Ensenada 22860, Baja California, Mexico</t>
  </si>
  <si>
    <t>Universidade Federal do Rio de Janeiro; Universidade Federal do Rio de Janeiro; Universidad Autonoma de Baja California</t>
  </si>
  <si>
    <t>Assad, LPF (corresponding author), Univ Fed Rio de Janeiro, COPPE, Ctr Tecnol, Lab Metodos Comp Engh,Ilha Fundao, Bloco 1,Sala 214,Av Athos da Silveira Ramos 149, BR-21941909 Rio De Janeiro, Brazil.</t>
  </si>
  <si>
    <t>luizpaulo@lamma.ufrj.br</t>
  </si>
  <si>
    <t>Torres, Audalio RT Rebelo/O-8374-2015; de Assad, Luiz Paulo/AAL-1599-2021</t>
  </si>
  <si>
    <t>Brazilian National Council for Scientific and Technical Development (Conselho Nacional de Desenvolvimiento Cientifico e Tecnologico, CNPq)</t>
  </si>
  <si>
    <t>Brazilian National Council for Scientific and Technical Development (Conselho Nacional de Desenvolvimiento Cientifico e Tecnologico, CNPq)(Conselho Nacional de Desenvolvimento Cientifico e Tecnologico (CNPQ))</t>
  </si>
  <si>
    <t>This research was supported by the Brazilian National Council for Scientific and Technical Development (Conselho Nacional de Desenvolvimiento Cientifico e Tecnologico, CNPq). The authors thank the ocean and climate group of GFDL for their valuable help in configuring the ocean model and providing the necessary data to initiate the experiment. They also thank T Chereskin and C Collins for their suggestions to the earlier version of the manuscript, and a reviewer for comments that helped to improve the paper.</t>
  </si>
  <si>
    <t>INST INVESTIGACIONES OCEANOLOGICAS, U A B C</t>
  </si>
  <si>
    <t>BAJA CALIFORNIA</t>
  </si>
  <si>
    <t>APARTADO POSTAL 423, ENSENADA, BAJA CALIFORNIA 22800, MEXICO</t>
  </si>
  <si>
    <t>0185-3880</t>
  </si>
  <si>
    <t>CIENC MAR</t>
  </si>
  <si>
    <t>Ceinc. Mar.</t>
  </si>
  <si>
    <t>10.7773/cm.v36i3.1618</t>
  </si>
  <si>
    <t>663XI</t>
  </si>
  <si>
    <t>WOS:000282923100005</t>
  </si>
  <si>
    <t>Krinner, G; Rinke, A; Dethloff, K; Gorodetskaya, IV</t>
  </si>
  <si>
    <t>Krinner, Gerhard; Rinke, Annette; Dethloff, Klaus; Gorodetskaya, Irina V.</t>
  </si>
  <si>
    <t>Impact of prescribed Arctic sea ice thickness in simulations of the present and future climate</t>
  </si>
  <si>
    <t>Arctic; Sea-ice thickness; Modelling; Climate change</t>
  </si>
  <si>
    <t>GENERAL-CIRCULATION MODEL; EXTRATROPICAL CYCLONE BEHAVIOR; SURFACE MASS-BALANCE; ANTARCTIC CLIMATE; CLEAR-SKY; SENSITIVITY; TEMPERATURE; ALBEDO; 21ST-CENTURY; ATMOSPHERE</t>
  </si>
  <si>
    <t>This paper describes atmospheric general circulation model climate change experiments in which the Arctic sea-ice thickness is either fixed to 3 m or somewhat more realistically parameterized in order to take into account essentially the spatial variability of Arctic sea-ice thickness, which is, to a first approximation, a function of ice type (perennial or seasonal). It is shown that, both at present and at the end of the twenty-first century (under the SRES-A1B greenhouse gas scenario), the impact of a variable sea-ice thickness compared to a uniform value is essentially limited to the cold seasons and the lower troposphere. However, because first-year ice is scarce in the Central Arctic today, but not under SRES-A1B conditions at the end of the twenty-first century, and because the impact of a sea-ice thickness reduction can be masked by changes of the open water fraction, the spatial and temporal patterns of the effect of sea-ice thinning on the atmosphere differ between the two periods considered. As a consequence, not only the climate simulated at a given period, but also the simulated Arctic climate change over the twenty-first century is affected by the way sea-ice thickness is prescribed.</t>
  </si>
  <si>
    <t>[Krinner, Gerhard; Gorodetskaya, Irina V.] INSU CNRS, LGGE, F-38402 St Martin Dheres, France; [Krinner, Gerhard; Gorodetskaya, Irina V.] UJF Grenoble, F-38402 St Martin Dheres, France; [Krinner, Gerhard; Rinke, Annette; Dethloff, Klaus] Alfred Wegener Inst Polar &amp; Marine Res, Potsdam, Germany</t>
  </si>
  <si>
    <t>Communaute Universite Grenoble Alpes; Universite Grenoble Alpes (UGA); Centre National de la Recherche Scientifique (CNRS); CNRS - National Institute for Earth Sciences &amp; Astronomy (INSU); Communaute Universite Grenoble Alpes; Universite Grenoble Alpes (UGA); Helmholtz Association; Alfred Wegener Institute, Helmholtz Centre for Polar &amp; Marine Research</t>
  </si>
  <si>
    <t>Krinner, G (corresponding author), INSU CNRS, LGGE, 54 Rue Moliere,BP 96, F-38402 St Martin Dheres, France.</t>
  </si>
  <si>
    <t>krinner@ujf-grenoble.fr</t>
  </si>
  <si>
    <t>Krinner, Gerhard/AAB-8837-2022; Dethloff, Klaus/B-4879-2014; Krinner, Gerhard/A-6450-2011; Gorodetskaya, Irina/K-1987-2015; Rinke, Annette/B-4922-2014</t>
  </si>
  <si>
    <t>Krinner, Gerhard/0000-0002-2959-5920; Gorodetskaya, Irina/0000-0002-2294-7823; Rinke, Annette/0000-0002-6685-9219</t>
  </si>
  <si>
    <t>10.1007/s00382-009-0587-7</t>
  </si>
  <si>
    <t>644KX</t>
  </si>
  <si>
    <t>WOS:000281377200005</t>
  </si>
  <si>
    <t>Jenssen, BM</t>
  </si>
  <si>
    <t>Jenssen, B. M.</t>
  </si>
  <si>
    <t>Effects of environmental changes and pollution on Arctic and Antarctic organisms</t>
  </si>
  <si>
    <t>COMPARATIVE BIOCHEMISTRY AND PHYSIOLOGY A-MOLECULAR &amp; INTEGRATIVE PHYSIOLOGY</t>
  </si>
  <si>
    <t>27th Congress of the European-Society-of-Comparative-Biochemistry-and-Physiology</t>
  </si>
  <si>
    <t>SEP 05-09, 2010</t>
  </si>
  <si>
    <t>Alessandria, ITALY</t>
  </si>
  <si>
    <t>Jenssen, Bjorn Munro/O-3217-2019; Jenssen, Bjorn M/J-4830-2012</t>
  </si>
  <si>
    <t>Jenssen, Bjorn Munro/0000-0002-7042-2191;</t>
  </si>
  <si>
    <t>360 PARK AVE SOUTH, NEW YORK, NY 10010-1710 USA</t>
  </si>
  <si>
    <t>1095-6433</t>
  </si>
  <si>
    <t>COMP BIOCHEM PHYS A</t>
  </si>
  <si>
    <t>Comp. Biochem. Physiol. A-Mol. Integr. Physiol.</t>
  </si>
  <si>
    <t>S40</t>
  </si>
  <si>
    <t>10.1016/j.cbpa.2010.06.114</t>
  </si>
  <si>
    <t>Biochemistry &amp; Molecular Biology; Physiology; Zoology</t>
  </si>
  <si>
    <t>649DK</t>
  </si>
  <si>
    <t>WOS:000281747500106</t>
  </si>
  <si>
    <t>Pucciarelli, S; Devaraj, RR; Barchetta, S; Yu, T; La Terza, A; Miceli, C</t>
  </si>
  <si>
    <t>Pucciarelli, S.; Devaraj, R. R.; Barchetta, S.; Yu, Ting; La Terza, A.; Miceli, C.</t>
  </si>
  <si>
    <t>Characterization of new biomarkers from the Antarctic ciliate Euplotes focardii by a transcriptomic approach</t>
  </si>
  <si>
    <t>[Pucciarelli, S.; Devaraj, R. R.; Barchetta, S.; Yu, Ting; La Terza, A.; Miceli, C.] Univ Camerino, I-62032 Camerino, Italy</t>
  </si>
  <si>
    <t>University of Camerino</t>
  </si>
  <si>
    <t>Devaraj, Raghul Rajan/0000-0001-8319-0513</t>
  </si>
  <si>
    <t>S41</t>
  </si>
  <si>
    <t>10.1016/j.cbpa.2010.06.115</t>
  </si>
  <si>
    <t>WOS:000281747500107</t>
  </si>
  <si>
    <t>Beger, M; Linke, S; Watts, M; Game, E; Treml, E; Ball, I; Possingham, HP</t>
  </si>
  <si>
    <t>Beger, Maria; Linke, Simon; Watts, Matt; Game, Eddie; Treml, Eric; Ball, Ian; Possingham, Hugh P.</t>
  </si>
  <si>
    <t>Incorporating asymmetric connectivity into spatial decision making for conservation</t>
  </si>
  <si>
    <t>CONSERVATION LETTERS</t>
  </si>
  <si>
    <t>Connectivity; conservation planning; site prioritization; river conservation; marine conservation; larval dispersal; Marxan; Great Barrier Reef; Snowy River</t>
  </si>
  <si>
    <t>REEF FISH; MARINE RESERVES; DISPERSAL; METAPOPULATIONS; PERSISTENCE; MATTER</t>
  </si>
  <si>
    <t>Real patterns of ecological connectivity are seldom explicitly or systematically accounted for systematic conservation planning, in part because commonly used decision support systems can only capture simplistic notions of connectivity. Conventionally, the surrogates used to represent connectivity in conservation plans have assumed the connection between two sites to be symmetric in strength. In reality, ecological linkages between sites are rarely symmetric and often strongly asymmetric. Here, we develop a novel formulation that enabled us to incorporate asymmetric connectivity into the conservation decision support system Marxan. We illustrate this approach using hypothetical examples of a river catchment and a group of reefs, and then apply it to case studies in the Snowy River catchment and Great Barrier Reef, Australia. We show that incorporating asymmetric ecological connectivity in systematic reserve design leads to solutions that more effectively capture connectivity patterns, relative to either ignoring connectivity or assuming symmetric connectivity.</t>
  </si>
  <si>
    <t>[Beger, Maria; Linke, Simon; Watts, Matt; Game, Eddie; Treml, Eric; Possingham, Hugh P.] Univ Queensland, Sch Biol Sci, Ctr Ecol, Brisbane, Qld 4072, Australia; [Beger, Maria; Linke, Simon; Watts, Matt; Game, Eddie; Treml, Eric; Possingham, Hugh P.] Univ Queensland, Commonwealth Res Facil Appl Environm Decis Anal, Brisbane, Qld 4072, Australia; [Linke, Simon] Univ Canberra, EWater CRC, Canberra, ACT 2601, Australia; [Linke, Simon] Griffith Univ, Australian Rivers Inst, Nathan, Qld 4111, Australia; [Game, Eddie] Nature Conservancy, TNC, Brisbane, Qld 4101, Australia; [Ball, Ian] Australian Antarctic Div Channel Highway Kingston, Kingston, Tas 7050, Australia</t>
  </si>
  <si>
    <t>University of Queensland; University of Queensland; University of Canberra; Griffith University; Nature Conservancy; Australian Antarctic Division</t>
  </si>
  <si>
    <t>Beger, M (corresponding author), Univ Queensland, Ctr Ecol, St Lucia, Qld 4072, Australia.</t>
  </si>
  <si>
    <t>m.beger@uq.edu.au</t>
  </si>
  <si>
    <t>Linke, Simon/G-5440-2010; Game, Edward/AAD-2289-2020; Beger, Maria/ABC-5975-2022; Possingham, Hugh/B-1337-2008; POSSINGHAM, HUGH/R-8310-2019; Treml, Eric A/C-7580-2013</t>
  </si>
  <si>
    <t>Game, Edward/0000-0003-4707-9281; Beger, Maria/0000-0003-1363-3571; Possingham, Hugh/0000-0001-7755-996X; POSSINGHAM, HUGH/0000-0001-7755-996X; Treml, Eric A/0000-0003-4844-4420; Linke, Simon/0000-0002-1797-3947; Watts, Matthew/0000-0002-9094-1335</t>
  </si>
  <si>
    <t>Commonwealth Research Facility for Applied Environmental Decision Analysis; ARC; Nature Conservancy; CRC; World Wildlife Fund Fuller Fellowship</t>
  </si>
  <si>
    <t>Commonwealth Research Facility for Applied Environmental Decision Analysis; ARC(Australian Research Council); Nature Conservancy; CRC(Australian GovernmentDepartment of Industry, Innovation and ScienceCooperative Research Centres (CRC) Programme); World Wildlife Fund Fuller Fellowship</t>
  </si>
  <si>
    <t>This article was inspired by a workshop funded by the Commonwealth Research Facility for Applied Environmental Decision Analysis. MB and HPP were funded by ARC grants and The Nature Conservancy. SL was funded by an eWater CRC fellowship. ET was funded by a World Wildlife Fund Fuller Fellowship and an ARC grant. Thanks for M. Bode for help with GBR modeling. We also appreciated the constructive comments of the editors and three anonymous reviewers.</t>
  </si>
  <si>
    <t>1755-263X</t>
  </si>
  <si>
    <t>CONSERV LETT</t>
  </si>
  <si>
    <t>Conserv. Lett.</t>
  </si>
  <si>
    <t>10.1111/j.1755-263X.2010.00123.x</t>
  </si>
  <si>
    <t>Biodiversity Conservation</t>
  </si>
  <si>
    <t>Biodiversity &amp; Conservation</t>
  </si>
  <si>
    <t>661AX</t>
  </si>
  <si>
    <t>Green Submitted, hybrid</t>
  </si>
  <si>
    <t>WOS:000282696000009</t>
  </si>
  <si>
    <t>Baldi, F; Marchetto, D; Pini, F; Fani, R; Michaud, L; Lo Giudice, A; Berto, D; Giani, M</t>
  </si>
  <si>
    <t>Baldi, Franco; Marchetto, Davide; Pini, Francesco; Fani, Renato; Michaud, Luigi; Lo Giudice, Angelina; Berto, Daniela; Giani, Michele</t>
  </si>
  <si>
    <t>Biochemical and microbial features of shallow marine sediments along the Terra Nova Bay (Ross Sea, Antarctica)</t>
  </si>
  <si>
    <t>Coastal sediments; Biopolymeric carbon; Ectoenzymatic activity; T-RFLP; Clone libraries</t>
  </si>
  <si>
    <t>FRAGMENT-LENGTH-POLYMORPHISM; PARTICULATE ORGANIC-MATTER; SYBR-GREEN-I; CONTINENTAL-SHELF; BACTERIAL COMMUNITY; ACCUMULATION RATES; COASTAL SEDIMENTS; WESTERN BRANSFIELD; ENZYMATIC-ACTIVITY; CARBON FLUXES</t>
  </si>
  <si>
    <t>Shallow marine sediments were collected from seven stations (three of which located at Gerlache Inlet, two at Tethys Bay, one at Adelie Cove and one just beneath the Italian Research Base) along the Terra Nova Bay coast (Ross Sea, Antarctica). Their chemical, biochemical and microbiological properties were studied in order to provide further insights in the knowledge of this Antarctic benthic ecosystem. Overall, the organic carbon (OC) represented the major fraction of total carbon (TC) and displayed concentrations similar to or slightly lower than those previously measured in Antarctic bottom sediments. The biopolymeric carbon within OC ranged from 4.1% to 19.9% and showed a wide trophic range (65-834 mu g g(-1) d.w.). Proteins (PRT) represented on average the main biochemical class contributing to labile organic carbon, followed by lipids (LIP) and carbohydrates (CHO). The activity of aminopeptidase, beta-D-glucosidase, alkaline phosphatase and esterase was checked, giving the highest values at Tethys Bay and at the deepest water sediments. The principal component analysis, which was computed considering physical, chemical (elemental and biochemical sedimentary composition) and microbiological parameters (including bacterial abundance, ectoenzymatic activities, T-RFs richness and diversity indices), allowed to obtain two main clusters (Tethys Bay and other stations). Based on data obtained, two representative 16S rRNA clone libraries using samples from Tethys Bay and Gerlache Inlet were constructed. The sequences of 171 clones were compared to those available in public databases to determine their approximate phylogenetic affiliations. Both aerobic and anaerobic bacteria were disclosed, with the majority of them affiliated with the Gamma- and Deltaproteobacteria, Bacteroidetes and Acidobacteria. The occurrence of strictly anaerobic bacteria suggests that sediments might also undergo anoxic conditions that, in turn, could favor the accumulation of PRT in respect to CHO, assuming that fermentation of amino acids is slower than that of sugars from decomposing polysaccharides. (C) 2010 Elsevier Ltd. All rights reserved.</t>
  </si>
  <si>
    <t>[Baldi, Franco; Marchetto, Davide; Pini, Francesco] Ca Foscari Univ, Dept Environm Sci, I-30123 Venice, Italy; [Fani, Renato] Univ Florence, Dept Evolutionary Biol, I-50125 Florence, Italy; [Michaud, Luigi; Lo Giudice, Angelina] Univ Messina, Dept Anim Biol &amp; Marine Ecol, I-98166 Messina, Italy; [Berto, Daniela; Giani, Michele] Ist Nazl Oceanog &amp; Geofis Sperimentale, I-34010 Trieste, Italy</t>
  </si>
  <si>
    <t>Universita Ca Foscari Venezia; University of Florence; University of Messina; Istituto Nazionale di Oceanografia e di Geofisica Sperimentale</t>
  </si>
  <si>
    <t>Baldi, F (corresponding author), Ca Foscari Univ, Dept Environm Sci, Calle Larga S Marta Dorsoduro 2137, I-30123 Venice, Italy.</t>
  </si>
  <si>
    <t>baldi@unive.it</t>
  </si>
  <si>
    <t>Mengoni, Alessio/G-5336-2013; Berto, Daniela/ABD-5622-2021; Giani, Michele/ABI-6113-2020; Giani, Michele/HJI-5982-2023; Pini, Francesco/E-9630-2015</t>
  </si>
  <si>
    <t>Mengoni, Alessio/0000-0002-1265-8251; Giani, Michele/0000-0002-3306-7725; Giani, Michele/0000-0002-3306-7725; Pini, Francesco/0000-0001-5323-8395; Giani, Michele/0000-0003-4784-0149</t>
  </si>
  <si>
    <t>Italian Ministry of Education and Research [PNRA 2004/1.6]</t>
  </si>
  <si>
    <t>Italian Ministry of Education and Research(Ministry of Education, Universities and Research (MIUR))</t>
  </si>
  <si>
    <t>L. Michaud and A. Lo Giudice wish to thank Prof. Gaetano Odierna (University of Naple, Italy) and the crew of the boat Malippo, for assistance with sample collections, and to all of the staff at Mario Zucchelli Station, for the logistic help and support, which made possible the Expedition. We are also grateful to two anonymous reviewers for their helpful comments in improving the manuscript. This research was supported by grants from PNRA (Programma Nazionale di Ricerche in Antartide), Italian Ministry of Education and Research (PEA 2004, Research Project PNRA 2004/1.6).</t>
  </si>
  <si>
    <t>SEP 1</t>
  </si>
  <si>
    <t>10.1016/j.csr.2010.06.009</t>
  </si>
  <si>
    <t>651RO</t>
  </si>
  <si>
    <t>WOS:000281945000002</t>
  </si>
  <si>
    <t>Dmitrenko, IA; Kirillov, SA; Krumpen, T; Makhotin, M; Abrahamsen, EP; Willmes, S; Bloshkina, E; Hölemann, JA; Kassens, H; Wegner, C</t>
  </si>
  <si>
    <t>Dmitrenko, Igor A.; Kirillov, Sergey A.; Krumpen, Thomas; Makhotin, Mikhail; Abrahamsen, E. Povl; Willmes, Sascha; Bloshkina, Ekaterina; Hoelemann, Jens A.; Kassens, Heidemarie; Wegner, Carolyn</t>
  </si>
  <si>
    <t>Wind-driven diversion of summer river runoff preconditions the Laptev Sea coastal polynya hydrography: Evidence from summer-to-winter hydrographic records of 2007-2009</t>
  </si>
  <si>
    <t>Siberian shelf; River runoff; Wind forcing</t>
  </si>
  <si>
    <t>ARCTIC-OCEAN; HALOCLINE; SHELF; ICE; VARIABILITY; GROWTH; WATER; LAYER</t>
  </si>
  <si>
    <t>This paper examines the role of atmospheric forcing in modifying the pathways of riverine water on the Laptev Sea shelf, using summer-to-winter hydrographic surveys from 2007 to 2009. Over the two consecutive winter seasons of 2007-2008 and 2008-2009 in the area of the winter coastal polynya, our data clearly link winter surface salinity fields to the previous summer conditions, with substantially different winter salinity patterns preconditioned by summer atmospheric forcing. In the summer of 2007, dominant along-shore westerly winds in the cyclonic regime force the Lena River runoff to flow eastward. In contrast, in the summer of 2008, dominant along-shore easterly winds over the East Siberian Sea and on-shore northerly winds over the Laptev Sea in the anticyclonic regime lock the riverine water in the vicinity of the Lena Delta. Over the coastal polynya area in the southeastern Laptev Sea these patterns precondition a surface salinity difference of 8-16 psu between the winters of 2008 and 2009. Overall, this indicates a residence time of at least half a year for riverine water on the Laptev Sea shelf. Future climate change associated with an enhanced summer cyclonicity over the eastern Arctic may turn more riverine water eastward along the eastern Siberian coast, resulting in weaker vertical density stratification over the Laptev Sea shelf, with possible impact on the efficiency of vertical mixing and polynya dense water production. (C) 2010 Elsevier Ltd. All rights reserved.</t>
  </si>
  <si>
    <t>[Dmitrenko, Igor A.; Kassens, Heidemarie; Wegner, Carolyn] Univ Kiel, Leibniz Inst Marine Sci, Kiel, Germany; [Kirillov, Sergey A.; Makhotin, Mikhail; Bloshkina, Ekaterina] Arctic &amp; Antarctic Res Inst, St Petersburg 199226, Russia; [Krumpen, Thomas; Hoelemann, Jens A.] Alfred Wegener Inst Polar &amp; Marine Res, D-2850 Bremerhaven, Germany; [Abrahamsen, E. Povl] British Antarctic Survey, Cambridge CB3 0ET, England; [Willmes, Sascha] Univ Trier, Trier, Germany</t>
  </si>
  <si>
    <t>Helmholtz Association; GEOMAR Helmholtz Center for Ocean Research Kiel; University of Kiel; Arctic &amp; Antarctic Research Institute; Helmholtz Association; Alfred Wegener Institute, Helmholtz Centre for Polar &amp; Marine Research; UK Research &amp; Innovation (UKRI); Natural Environment Research Council (NERC); NERC British Antarctic Survey; Universitat Trier</t>
  </si>
  <si>
    <t>Dmitrenko, IA (corresponding author), Univ Kiel, Leibniz Inst Marine Sci, Kiel, Germany.</t>
  </si>
  <si>
    <t>idmitrenko@ifm-geomar.de</t>
  </si>
  <si>
    <t>Krumpen, Thomas/D-5163-2011; Abrahamsen, Povl/B-2140-2008; Willmes, Sascha/J-5796-2012; Makhotin, Mikhail/K-8861-2016; Bloshkina, Ekaterina/I-6901-2015; Hoelemann, Jens/N-3608-2016</t>
  </si>
  <si>
    <t>Krumpen, Thomas/0000-0001-6234-8756; Abrahamsen, Povl/0000-0001-5924-5350; Dmitrenko, Igor/0000-0001-8388-7839; Bloshkina, Ekaterina/0000-0002-2078-7459; Hoelemann, Jens/0000-0001-5102-4086</t>
  </si>
  <si>
    <t>BMBF; Natural Environment Research Council through the ASBO IPY consortium; Natural Environment Research Council [bas0100028, NE/D006201/1] Funding Source: researchfish; NERC [bas0100028, NE/D006201/1] Funding Source: UKRI</t>
  </si>
  <si>
    <t>BMBF(Federal Ministry of Education &amp; Research (BMBF)); Natural Environment Research Council through the ASBO IPY consortium; Natural Environment Research Council(UK Research &amp; Innovation (UKRI)Natural Environment Research Council (NERC)); NERC(UK Research &amp; Innovation (UKRI)Natural Environment Research Council (NERC))</t>
  </si>
  <si>
    <t>Financial support through the BMBF projects System Laptev Sea and Otto-Schmidt-Laboratory for Polar and Marine Sciences is gratefully acknowledged. EPA was funded by the Natural Environment Research Council through the ASBO IPY consortium grant. Torben Klagge (IFM-GEOMAR) has rendered invaluable assistance in performing oceanographic measurements in the Laptev Sea in 2007-2009. We also gratefully acknowledge Andrey Novikhin (AARI) for CTD profiles taken in summer 2007 and 2008 from the RVs Ivan Petrov and Ivan Kireev.</t>
  </si>
  <si>
    <t>10.1016/j.csr.2010.06.012</t>
  </si>
  <si>
    <t>WOS:000281945000005</t>
  </si>
  <si>
    <t>Dempsey, JP; Tan, L; Wang, S</t>
  </si>
  <si>
    <t>Dempsey, John P.; Tan, Li; Wang, Shen</t>
  </si>
  <si>
    <t>An isolated cohesive crack in tension</t>
  </si>
  <si>
    <t>CONTINUUM MECHANICS AND THERMODYNAMICS</t>
  </si>
  <si>
    <t>Sea ice; Cohesive crack model; Cohesive zone model; Fictitious crack model; Prescribed cohesive stress; Prescribed cohesive shape; Linear softening</t>
  </si>
  <si>
    <t>FRACTURE; STRESS; FAILURE; MODEL</t>
  </si>
  <si>
    <t>The shape of the back-calculated stress-separation curves obtained from the in-situ fracture of first-year sea ice in the Arctic and Antarctic is convex, and radically different from those for concrete. In these tests, the process zone size changes with crack growth, but the nature of this change differs with the test conditions, load-control or displacement control. These results prompted a closer examination of the cohesive crack model using the simplest cracked configuration, a finite cohesive crack in an infinite elastic medium loaded in tension by a uniform stress at infinity. Different types of strain softening are examined: rectangular softening, linear softening, prescribed cohesive stresses, and prescribed cohesive crack-opening displacements. For each of these cases, crack nucleation is examined; close attention is paid to test control conditions, be they load-control or fixed-grip. The test control conditions alter the fracture, crack nucleation, crack growth, and process zone size behavior significantly. Accurate approximate solutions to linear softening are presented and examined.</t>
  </si>
  <si>
    <t>[Dempsey, John P.] Clarkson Univ, Dept Civil &amp; Environm Engn, Potsdam, NY 13699 USA; [Tan, Li] Beihang Univ, Sch Transportat Sci &amp; Engn, Beijing 100191, Peoples R China; [Wang, Shen] Bechtel Power Corp, Cent Struct Grp, Frederick, MD 21703 USA</t>
  </si>
  <si>
    <t>Clarkson University; Beihang University</t>
  </si>
  <si>
    <t>Dempsey, JP (corresponding author), Clarkson Univ, Dept Civil &amp; Environm Engn, Potsdam, NY 13699 USA.</t>
  </si>
  <si>
    <t>jdempsey@clarkson.edu; tanli@ce.buaa.edu.cn; swang@bechtel.com</t>
  </si>
  <si>
    <t>Wang, Shen/0000-0002-4327-965X; Dempsey, John/0000-0002-5820-7181</t>
  </si>
  <si>
    <t>National Science Foundation, Division of Antarctic Ocean and Atmospheric Sciences [ANT-0338226]; National University of Singapore; Swiss Federal Institute of Technology; Chinese Scholarship Council</t>
  </si>
  <si>
    <t>National Science Foundation, Division of Antarctic Ocean and Atmospheric Sciences(National Science Foundation (NSF)NSF - Directorate for Geosciences (GEO)); National University of Singapore(National University of Singapore); Swiss Federal Institute of Technology; Chinese Scholarship Council(China Scholarship Council)</t>
  </si>
  <si>
    <t>The support extended by the National Science Foundation, Division of Antarctic Ocean and Atmospheric Sciences, through award ANT-0338226 (J.P.D.), sabbatical research support (J.P.D) by the National University of Singapore and the Swiss Federal Institute of Technology, and the support for a research visit (L. T.) by the Chinese Scholarship Council, are gratefully acknowledged.</t>
  </si>
  <si>
    <t>0935-1175</t>
  </si>
  <si>
    <t>1432-0959</t>
  </si>
  <si>
    <t>CONTINUUM MECH THERM</t>
  </si>
  <si>
    <t>Continuum Mech. Thermodyn.</t>
  </si>
  <si>
    <t>6-8</t>
  </si>
  <si>
    <t>10.1007/s00161-010-0144-y</t>
  </si>
  <si>
    <t>Thermodynamics; Mechanics</t>
  </si>
  <si>
    <t>661BP</t>
  </si>
  <si>
    <t>WOS:000282698300014</t>
  </si>
  <si>
    <t>Zhou, M; Zhu, YW; Dorland, RD; Measures, CI</t>
  </si>
  <si>
    <t>Zhou, Meng; Zhu, Yiwu; Dorland, Ryan D.; Measures, Christopher I.</t>
  </si>
  <si>
    <t>Dynamics of the current system in the southern Drake Passage</t>
  </si>
  <si>
    <t>DEEP-SEA RESEARCH PART I-OCEANOGRAPHIC RESEARCH PAPERS</t>
  </si>
  <si>
    <t>Southern Ocean; Drake Passage; Elephant Island; Antarctic Circumpolar Current; Shelf water; Mesoscale; Jets; Eddies; Mixing</t>
  </si>
  <si>
    <t>ELEPHANT ISLAND; WATER MASSES; SCOTIA SEA; PHYTOPLANKTON BIOMASS; BRANSFIELD STRAIT; WEDDELL SEA; VARIABILITY; IRON; CIRCULATION; TRANSPORT</t>
  </si>
  <si>
    <t>It has long been seen from satellite ocean color data that strong zonal gradients of phytoplankton biomass persistently occur in the southern Drake Passage during austral summer and fall, where the low productivity Antarctic Surface Water (ASW) within the Antarctic Circumpolar Current (ACC) region transforms to the high productivity water. An interdisciplinary cruise was conducted in February and March 2004 to investigate potential physical and biogeochemical processes, which are responsible for transporting nutrients and metals and for enhancing primary production. To explore physical processes at both the meso- and large-scales, surface drifters, a shipboard Acoustic Doppler Current Profiler and conductivity-temperature-depth sensors were used. Analyzing meso- and large-scale hydrography, circulation and eddy activities, it is shown that the topographic rise of the Shackleton Transverse Ridge plays the key role in steering an ACC branch southward west of the ridge, forming an eastward ACC jet through the gap between the ridge and Elephant Island and causing the offshelf transport of shelf waters approximately 1.2 Sv from the shelf near Elephant Island. High mesoscale eddy activities associated with this ACC southern branch and shelf waters transported off the shelf were found. The mixing between the iron-poor warmer ASW of the ACC and iron-rich waters on the shelf through horizontal transport and vertical upwelling processes provides a physical process which could be responsible for the enhanced primary productivity in this region and the southern Scotia Sea. Published by Elsevier Ltd.</t>
  </si>
  <si>
    <t>[Zhou, Meng; Zhu, Yiwu; Dorland, Ryan D.] Univ Massachusetts, Dept Environm Earth &amp; Ocean Sci, Boston, MA 02125 USA; [Measures, Christopher I.] Univ Hawaii Manoa, Honolulu, HI 96822 USA</t>
  </si>
  <si>
    <t>University of Massachusetts System; University of Massachusetts Boston; University of Hawaii System; University of Hawaii Manoa</t>
  </si>
  <si>
    <t>Zhou, M (corresponding author), Univ Massachusetts, Dept Environm Earth &amp; Ocean Sci, 100 Morrissey Blvd, Boston, MA 02125 USA.</t>
  </si>
  <si>
    <t>meng.zhou@umb.edu</t>
  </si>
  <si>
    <t>National Science Foundation [OPP-0229966, ANT-0444040]; Division Of Polar Programs; Directorate For Geosciences [0739566] Funding Source: National Science Foundation</t>
  </si>
  <si>
    <t>National Science Foundation(National Science Foundation (NSF)); Division Of Polar Programs; Directorate For Geosciences(National Science Foundation (NSF)NSF - Directorate for Geosciences (GEO))</t>
  </si>
  <si>
    <t>This project was supported by the National Science Foundation grant numbers OPP-0229966 and ANT-0444040 to M. Zhou. We would like to acknowledge Raytheon Polar Service Co. for assisting with networking, data transferring and CTD casts and the crew of the A.S.R.V. L.M. Gould and the crew of the R.V.I.B. N.B. Palmer for tirelessly fighting the rough sea.</t>
  </si>
  <si>
    <t>0967-0637</t>
  </si>
  <si>
    <t>1879-0119</t>
  </si>
  <si>
    <t>DEEP-SEA RES PT I</t>
  </si>
  <si>
    <t>Deep-Sea Res. Part I-Oceanogr. Res. Pap.</t>
  </si>
  <si>
    <t>10.1016/j.dsr.2010.05.012</t>
  </si>
  <si>
    <t>651LT</t>
  </si>
  <si>
    <t>WOS:000281929900001</t>
  </si>
  <si>
    <t>Kapitsa, AP; Gavrilov, AA</t>
  </si>
  <si>
    <t>Kapitsa, A. P.; Gavrilov, A. A.</t>
  </si>
  <si>
    <t>Assessment and forecast of the teleconnection between the Antarctic ozone and water vapor and the circulation and temperature of the lower thermosphere over the regions of Russia</t>
  </si>
  <si>
    <t>DOKLADY EARTH SCIENCES</t>
  </si>
  <si>
    <t>TIDES</t>
  </si>
  <si>
    <t>[Kapitsa, A. P.; Gavrilov, A. A.] Moscow MV Lomonosov State Univ, Moscow 119899, Russia</t>
  </si>
  <si>
    <t>Kapitsa, AP (corresponding author), Moscow MV Lomonosov State Univ, Moscow 119899, Russia.</t>
  </si>
  <si>
    <t>1028-334X</t>
  </si>
  <si>
    <t>DOKL EARTH SCI</t>
  </si>
  <si>
    <t>Dokl. Earth Sci.</t>
  </si>
  <si>
    <t>10.1134/S1028334X10090126</t>
  </si>
  <si>
    <t>655BR</t>
  </si>
  <si>
    <t>WOS:000282217600012</t>
  </si>
  <si>
    <t>Shulmeister, J; Fink, D; Hyatt, OM; Thackray, GD; Rother, H</t>
  </si>
  <si>
    <t>Shulmeister, James; Fink, David; Hyatt, Olivia M.; Thackray, Glenn D.; Rother, Henrik</t>
  </si>
  <si>
    <t>Cosmogenic 10Be and 26Al exposure ages of moraines in the Rakaia Valley, New Zealand and the nature of the last termination in New Zealand glacial systems</t>
  </si>
  <si>
    <t>glacial geology; deglaciation; glacial lakes; LGM; New Zealand; cosmogenic dating</t>
  </si>
  <si>
    <t>GEOMAGNETIC DIPOLE-MOMENT; ABRUPT CLIMATE-CHANGE; FRANZ-JOSEF-GLACIER; YOUNGER DRYAS; PRODUCTION-RATES; SOUTHERN ALPS; HALF-LIFE; HOLOCENE; NUCLIDES; ADVANCE</t>
  </si>
  <si>
    <t>New Zealand glaciers reached their last glacial maximum position at or before similar to 25 ka, and, as early as 23 ka, commenced a slow and continual retreat. New cosmogenic exposure ages and field mapping from the Rakaia Valley in the South Island suggest that extensive ice survived well into the latter half of the Last Glacial-Interglacial Transition (18-11 ka), with the post-15 ka period inferred to have near Holocene climate conditions based on ecological proxy data. By as late as similar to 15.5 ka, glacier termini had retreated as little as 5-10 km from glacial maximum positions. Numerous minor ice still-stand positions and oscillations are recognized, but the record specifically excludes evidence for either a major climatic amelioration at similar to 15-16 ka or a significant glacial re-advance during the Antarctic Cold Reversal (ACR) or the Younger Dryas (YD). We conclude that the currently widespread interpretation of an episodic New Zealand glacial record since the LGM is an artifact of valley-dependent retreat processes. Pro-glacial lake formation and local site conditions combined to give an apparent, but misleading, picture of glacial retreat punctuated by major, climatically driven, re-advances. (C) 2010 Elsevier B.V. All rights reserved.</t>
  </si>
  <si>
    <t>[Shulmeister, James] Univ Queensland, Sch Geog Planning &amp; Environm Management, St Lucia, Qld 4072, Australia; [Fink, David; Rother, Henrik] Australian Nucl Sci &amp; Technol Org, Inst Environm Res, Menai, NSW 2234, Australia; [Hyatt, Olivia M.] Univ Canterbury, Dept Geol Sci, Christchurch 1, New Zealand; [Thackray, Glenn D.] Idaho State Univ, Dept Geosci, Pocatello, ID 83209 USA</t>
  </si>
  <si>
    <t>University of Queensland; Australian Nuclear Science &amp; Technology Organisation; University of Canterbury; Idaho; Idaho State University</t>
  </si>
  <si>
    <t>Shulmeister, J (corresponding author), Univ Queensland, Sch Geog Planning &amp; Environm Management, St Lucia, Qld 4072, Australia.</t>
  </si>
  <si>
    <t>James.shulmeister@uq.edu.au</t>
  </si>
  <si>
    <t>fink, David/A-9518-2012; shulmeister, james/J-2859-2015</t>
  </si>
  <si>
    <t>fink, David/0000-0001-7156-4602; shulmeister, james/0000-0001-5863-9462</t>
  </si>
  <si>
    <t>Marsden [U0C301]</t>
  </si>
  <si>
    <t>Marsden(Royal Society of New ZealandMarsden Fund (NZ))</t>
  </si>
  <si>
    <t>This research was supported by Marsden contract U0C301. We thank the landholders in the Rakaia Valley, especially the Todhunters at Cleardale and the McElwains at Blackford Station for access to sites and continuous support. Chemical procedures for processing greywacke samples based on sequential cleaning of quartz with phosphoric acid to provide measurable AMS targets for 26Al were developed at ANSTO from information kindly given to us by Derek Fabel (U. Glasgow).</t>
  </si>
  <si>
    <t>10.1016/j.epsl.2010.07.007</t>
  </si>
  <si>
    <t>654ZE</t>
  </si>
  <si>
    <t>WOS:000282209300022</t>
  </si>
  <si>
    <t>Rost, S; Earle, PS</t>
  </si>
  <si>
    <t>Rost, Sebastian; Earle, Paul S.</t>
  </si>
  <si>
    <t>Identifying regions of strong scattering at the core-mantle boundary from analysis of PKKP precursor energy</t>
  </si>
  <si>
    <t>core-mantle boundary; scattering; chemical heterogeneity; seismology; seismic arrays; small-scale structure</t>
  </si>
  <si>
    <t>SEISMIC-WAVE SCATTERING; SEISMOLOGICAL CONSTRAINTS; SUBDUCTED LITHOSPHERE; BENEATH AFRICA; PARTIAL MELT; ARRAY; HETEROGENEITY; BASE; EXPLOSIONS; DYNAMICS</t>
  </si>
  <si>
    <t>We detect seismic scattering from the core-mantle boundary related to the phase PKKP (PK.KP) in data from small aperture seismic arrays in India and Canada. The detection of these scattered waves in data from small aperture arrays is new and allows a better characterization of the fine-scale structure of the deep Earth especially in the southern hemisphere. Their slowness vector is determined from array processing allowing location of the heterogeneities at the core-mantle boundary using back-projection techniques through 1D Earth models. We identify strong scattering at the core-mantle boundary (CMB) beneath the Caribbean. Patagonia and the Antarctic Peninsula as well as beneath southern Africa. An analysis of the scattering regions relative to sources and receivers indicates that these regions represent areas of increased scattering likely due to increased heterogeneities close to the CMB. The 1 Hz array data used in this study is most sensitive to heterogeneity with scale lengths of about 10 km. Given the small size of the scatterers, a chemical origin of the heterogeneities is likely. By comparing the location of the fine-scale heterogeneity to geodynamical models and tomographic images, we identify different scattering mechanisms in regions related to subduction (Caribbean and Patagonia) and dense thermo chemical piles (Southern Africa). (C) 2010 Elsevier B.V. All rights reserved.</t>
  </si>
  <si>
    <t>[Rost, Sebastian] Univ Leeds, Inst Geophys &amp; Tecton, Sch Earth &amp; Environm, Leeds LS2 9JT, W Yorkshire, England; [Earle, Paul S.] US Geol Survey, DFC, Denver, CO 80225 USA</t>
  </si>
  <si>
    <t>University of Leeds; United States Department of the Interior; United States Geological Survey</t>
  </si>
  <si>
    <t>Rost, S (corresponding author), Univ Leeds, Inst Geophys &amp; Tecton, Sch Earth &amp; Environm, Leeds LS2 9JT, W Yorkshire, England.</t>
  </si>
  <si>
    <t>s.rost@leeds.ac.uk; pearle@usgs.gov</t>
  </si>
  <si>
    <t>Rost, Sebastian/GOH-2868-2022</t>
  </si>
  <si>
    <t>10.1016/j.epsl.2010.07.014</t>
  </si>
  <si>
    <t>WOS:000282209300028</t>
  </si>
  <si>
    <t>Bailleul, F; Authier, M; Ducatez, S; Roquet, F; Charrassin, JB; Cherel, Y; Guinet, C</t>
  </si>
  <si>
    <t>Bailleul, Frederic; Authier, Matthieu; Ducatez, Simon; Roquet, Fabien; Charrassin, Jean-Benoit; Cherel, Yves; Guinet, Christophe</t>
  </si>
  <si>
    <t>Looking at the unseen: combining animal bio-logging and stable isotopes to reveal a shift in the ecological niche of a deep diving predator</t>
  </si>
  <si>
    <t>ECOGRAPHY</t>
  </si>
  <si>
    <t>SOUTHERN ELEPHANT SEALS; MIROUNGA-LEONINA; FORAGING AREAS; KERGUELEN ISLANDS; OCEANOGRAPHIC CONDITIONS; FRONTAL STRUCTURE; MACQUARIE ISLAND; DEPTH PROFILES; ADULT MALE; OCEAN</t>
  </si>
  <si>
    <t>Understanding how marine top predators exploit their environment is a central topic in marine ecology. Among all methodologies used to investigate this part of ecology, electronic devices are very useful to track animals' movements and foraging habitats, but they do not provide any dietary information. Stable isotopes provide information on trophic levels but remain imprecise to identify small spatial-scale habitats. In this study, we combined the two approaches to obtain a synoptic view of the foraging behaviour variability of southern elephant seals Mirounga leonina. Our results suggested marked differences in distribution, diving behaviour, foraging habitats, trophic levels, and dietary habits of elephant seals according to their sex and age. Thus, we characterized main foraging habitats over the Kerguelen-Heard Plateau and the Antarctic shelf for juvenile males, while females foraged mainly in oceanic waters of the Polar Frontal Zone and the Antarctic Zone. In addition, we highlighted the ontogeny of niche partitioning in this sexually dimorphic species. While females did not exhibit a major dietary shift in relation to their age and their breeding status, a different picture emerged for males. Young males had a trophic level identical to that of all females. However, at 3-4 yr of age, males showed a progressive increase in trophic level. The inter-annual combination of bio-logging and stable isotopes could provide a powerful tool to investigate possible shifts in ecological niche between years according to environmental changes.</t>
  </si>
  <si>
    <t>[Bailleul, Frederic; Authier, Matthieu; Ducatez, Simon; Cherel, Yves; Guinet, Christophe] CNRS, Ctr Etud Biol Chize, UPR 1934, FR-79360 Villiers En Bois, France; [Roquet, Fabien; Charrassin, Jean-Benoit] Museum Natl Hist Nat, Unite Sci Museum 402, Lab Oceanog &amp; Climat Experimentat &amp; Approches Num, Dept Milieux &amp; Peuplements Aquat, F-75231 Paris 05, France</t>
  </si>
  <si>
    <t>Centre National de la Recherche Scientifique (CNRS); Museum National d'Histoire Naturelle (MNHN); Sorbonne Universite</t>
  </si>
  <si>
    <t>Bailleul, F (corresponding author), Inst Maurice Lamontagne, 850 Route Mer,POB 1000 Mont Joli, Mont Joli, PQ G5H 3Z4, Canada.</t>
  </si>
  <si>
    <t>Frederic.Bailleul@dfo-mpo.gc.ca</t>
  </si>
  <si>
    <t>Roquet, Fabien/D-4848-2013; Guinet, Christophe/AAR-8457-2020; Roquet, Fabien/N-3221-2019; Ducatez, Simon/AAA-5378-2020</t>
  </si>
  <si>
    <t>Roquet, Fabien/0000-0003-1124-4564; Ducatez, Simon/0000-0003-2865-4674; Bailleul, Frederic/0000-0002-4186-4708; Authier, Matthieu/0000-0001-7394-1993</t>
  </si>
  <si>
    <t>Inst. Paul Emile Victor (IPEV); ANR-VMC</t>
  </si>
  <si>
    <t>Inst. Paul Emile Victor (IPEV); ANR-VMC(Agence Nationale de la Recherche (ANR))</t>
  </si>
  <si>
    <t>This work was included in two different international research programmes: SEaOS (Southern Elephant seals as Oceanographic Samplers) and MEOP (Marine Mammal Exploration of the Oceans Pole to Pole). This study was also included in a national research program (no. 109, Henri Weimerskirch) supported by the Inst. Paul Emile Victor (IPEV). The Territoire des Terres Australes et Antarctiques Francaises (TAAF), the Region Poitou-Charentes, the Centre National d'Etudes Spatiales (CNES-programme Tosca) and the group CORIOLIS - MERCATOR largely contributed to this study, which was also supported by the ANR-VMC 07 IPSOS-SEAL program. The authors would like to thank the members of the 53rd, 54th and 55th research missions at Kerguelen Islands, together with the IPEV logistical staff for their assistance in the field. We wish particularly to thank M. Biuw, I. Field, C. McMahon, M. Hindell, Y.-H. Park, P. Richard and G. Guillou. We thank also all the members of the Centre d'Etudes Biologiques de Chize for their assistance in the small daily problems. The ethics committee of the French Polar Inst. (IPEV) approved this study. All animals in this study were cared for in accordance with its guidelines.</t>
  </si>
  <si>
    <t>0906-7590</t>
  </si>
  <si>
    <t>Ecography</t>
  </si>
  <si>
    <t>10.1111/j.1600-0587.2009.06034.x</t>
  </si>
  <si>
    <t>654OC</t>
  </si>
  <si>
    <t>WOS:000282176800010</t>
  </si>
  <si>
    <t>Casper, RM; Sumner, MD; Hindell, MA; Gales, NJ; Staniland, IJ; Goldsworthy, SD</t>
  </si>
  <si>
    <t>Casper, Ruth M.; Sumner, Michael D.; Hindell, Mark A.; Gales, Nicholas J.; Staniland, Iain J.; Goldsworthy, Simon D.</t>
  </si>
  <si>
    <t>The influence of diet on foraging habitat models: a case study using nursing Antarctic fur seals</t>
  </si>
  <si>
    <t>SOUTHERN ELEPHANT SEALS; ARCTOCEPHALUS-GAZELLA; STABLE-ISOTOPES; MARINE PREDATOR; NORTH PACIFIC; HOT-SPOTS; INDIVIDUAL SPECIALIZATION; TROPHIC INTERACTIONS; SURFACE TEMPERATURE; SEASONAL-CHANGES</t>
  </si>
  <si>
    <t>Predictable sources of food underpin lifetime reproductive output in long lived animals. The most important foraging areas of top marine predators are therefore likely to be related to environmental features that enhance productivity in predictable spatial and temporal patterns. Even so, although productive areas within the marine environment are distributed patchily in space and time, most studies assess the relationships between feeding activity and proximate, not long term, environmental characteristics. In addition, individuals within a population may exploit different prey types, and these are often associated with different hydrographic features. Until now, models attempting to associate core foraging areas (CFAs) of marine predators with the environmental characteristics of those areas have not considered the diet of individual animals, despite the influence this could have on these relationships. We used bathymetry and multi-year (n=24) mean sea surface temperature and variability as predictors of CFAs of lactating Antarctic fur seals Arctocephalus gazella at Heard Island. The effect of prey types on the predictability of these models was explored by matching diet and foraging trip data of individual seals (n=40 seals, n=1 trip each). Differences in diet between seals were mirrored by their spatial behaviour. Foraging strategies differed both between and within groups of seals consuming different diets. Long-term environmental parameters were useful for predicting the foraging activity of seals that consumed a single prey type with relatively specific habitat preferences, but not for those that consumed single or multiple prey types associated with more varied habitats. Ignoring individual variation in predator diet probably contributes to the poor performance of foraging habitat models. These findings highlight the importance of incorporating individual specialization in foraging behaviour into ecological models and management of predator populations.</t>
  </si>
  <si>
    <t>[Casper, Ruth M.; Sumner, Michael D.; Hindell, Mark A.] Univ Tasmania, Antarctic Wildlife Res Unit, Sch Zool, Hobart, Tas 7001, Australia; [Casper, Ruth M.; Gales, Nicholas J.] Australian Antarctic Div, So Ocean Ecosyst, Kingston, Tas 7050, Australia; [Staniland, Iain J.] British Antarctic Survey, NERC, Cambridge CB3 0ET, England; [Goldsworthy, Simon D.] S Australian Res &amp; Dev Inst, Henley Beach, SA 5022, Australia</t>
  </si>
  <si>
    <t>University of Tasmania; Australian Antarctic Division; UK Research &amp; Innovation (UKRI); Natural Environment Research Council (NERC); NERC British Antarctic Survey</t>
  </si>
  <si>
    <t>Casper, RM (corresponding author), Univ Tasmania, Antarctic Wildlife Res Unit, Sch Zool, Private Bag 5, Hobart, Tas 7001, Australia.</t>
  </si>
  <si>
    <t>Ruth.Casper@utas.edu.au</t>
  </si>
  <si>
    <t>Hindell, Mark A/K-1131-2013; Hindell, Mark A/C-8368-2013; Staniland, Iain/I-4725-2012; Sumner, Michael D/J-3478-2013</t>
  </si>
  <si>
    <t>Staniland, Iain/0000-0003-2736-9134; Goldsworthy, Simon/0000-0003-4988-9085; Hindell, Mark/0000-0002-7823-7185; Sumner, Michael/0000-0002-2471-7511</t>
  </si>
  <si>
    <t>Australian Antarctic Division; Univ. of Tasmania; Natural Environment Research Council [bas0100025] Funding Source: researchfish; NERC [bas0100025] Funding Source: UKRI</t>
  </si>
  <si>
    <t>Australian Antarctic Division; Univ. of Tasmania; Natural Environment Research Council(UK Research &amp; Innovation (UKRI)Natural Environment Research Council (NERC)); NERC(UK Research &amp; Innovation (UKRI)Natural Environment Research Council (NERC))</t>
  </si>
  <si>
    <t>We gratefully acknowledge the support of all members of the 2003/2004 Heard Island expedition. We thank S. Frydman for filtering the PTT data and R. Williams for sharing unpublished data. We also thank Douglas Kelt and 4 anonymous referees for their time and helpful comments. This research was funded by the Australian Antarctic Division and R. M. Casper was a recipient of a Univ. of Tasmania Postgraduate Scholarship. All procedures complied with the current laws of Australia and were carried out under Antarctic Science Advisory Committee Permit 2388 and Univ. of Tasmania Animal Ethics Permit A7503.</t>
  </si>
  <si>
    <t>10.1111/j.1600-0587.2009.06155.x</t>
  </si>
  <si>
    <t>WOS:000282176800014</t>
  </si>
  <si>
    <t>Fu, BY; Vasudevan, PT</t>
  </si>
  <si>
    <t>Fu, Boyi; Vasudevan, Palligarnai T.</t>
  </si>
  <si>
    <t>Effect of Solvent-Co-solvent Mixtures on Lipase-Catalyzed Transesterification of Canola Oil</t>
  </si>
  <si>
    <t>ENERGY &amp; FUELS</t>
  </si>
  <si>
    <t>CANDIDA-ANTARCTICA LIPASE; ACID METHYL-ESTERS; BIODIESEL PRODUCTION; IMMOBILIZED LIPASE; ORGANIC-SOLVENTS; ENZYMATIC PRODUCTION; ALKYL ESTERS; METHANOLYSIS; SYSTEM; OPTIMIZATION</t>
  </si>
  <si>
    <t>In this work, various solvent-co-solvent mixtures were established to enhance both enzyme activity and mass transfer of substrates in the enzymatic transesterification of canola oil catalyzed by Candida antarctic lipase. The solvent-co-solvent mixture comprised a hydrophobic solvent and a hydrophilic co-solvent. Dependent upon the co-solvent, at low co-solvent concentrations, the yield of biodiesel was enhanced because of the improvement in the dispersion of methanol in the co-solvent media. However, at higher co-solvent concentrations, the biodiesel yield was reduced because of the inactivation of lipase. The polarity of solvent-co-solvent mixtures was correlated with the yield of biodiesel to assess the potential relationship between the polarity of reaction media and lipase activity. The effect of the water content on lipase activity in the transesterification reaction was also ascertained.</t>
  </si>
  <si>
    <t>[Fu, Boyi; Vasudevan, Palligarnai T.] Univ New Hampshire, Dept Chem Engn, Durham, NH 03824 USA</t>
  </si>
  <si>
    <t>University System Of New Hampshire; University of New Hampshire</t>
  </si>
  <si>
    <t>Vasudevan, PT (corresponding author), Univ New Hampshire, Dept Chem Engn, Durham, NH 03824 USA.</t>
  </si>
  <si>
    <t>vasu@unh.edu</t>
  </si>
  <si>
    <t>Fu, Boyi/O-2079-2015</t>
  </si>
  <si>
    <t>Fu, Boyi/0000-0001-9012-9059</t>
  </si>
  <si>
    <t>0887-0624</t>
  </si>
  <si>
    <t>1520-5029</t>
  </si>
  <si>
    <t>ENERG FUEL</t>
  </si>
  <si>
    <t>Energy Fuels</t>
  </si>
  <si>
    <t>10.1021/ef901176h</t>
  </si>
  <si>
    <t>Energy &amp; Fuels; Engineering, Chemical</t>
  </si>
  <si>
    <t>Energy &amp; Fuels; Engineering</t>
  </si>
  <si>
    <t>666JM</t>
  </si>
  <si>
    <t>WOS:000283111000004</t>
  </si>
  <si>
    <t>Paul, FUJ; Mandal, MK; Ramachandran, K; Panwar, MR</t>
  </si>
  <si>
    <t>Paul, F. U. John; Mandal, Manas Kumar; Ramachandran, K.; Panwar, M. R.</t>
  </si>
  <si>
    <t>Interpersonal Behavior in an Isolated and Confined Environment</t>
  </si>
  <si>
    <t>ENVIRONMENT AND BEHAVIOR</t>
  </si>
  <si>
    <t>interpersonal behavior; FIRO-B; Antarctica; isolation; confinement</t>
  </si>
  <si>
    <t>PERSONALITY-CHARACTERISTICS; EXPEDITION TEAM; SPACE MISSIONS</t>
  </si>
  <si>
    <t>The article discusses a study that focused on interpersonal needs and investigated whether interpersonal behavior of Antarctic personnel deteriorated after the halfway point of prolonged isolation and confinement. Twenty-three personnel who resided in Antarctica for 14 months served as participants. The mean age of participants was 39 years (SD = 8.7 years). This study uses the FIRO-B questionnaire that assessed the dimensions of interpersonal behavior. The findings indicate a greater need to associate with other personnel but with less intimacy. Inversely, personnel want others to establish close relationships with them but with a low level of interaction. Besides, the overall interpersonal behavior (the mean score of six scales of FIRO-B) reveals a significant improvement in the first versus the second half of a prolonged isolated and confined environment.</t>
  </si>
  <si>
    <t>[Paul, F. U. John; Mandal, Manas Kumar; Ramachandran, K.] Minist Def, Def Inst Psychol Res, Def Res &amp; Dev Org, Delhi 110054, India</t>
  </si>
  <si>
    <t>Defence Research &amp; Development Organisation (DRDO); Defence Institute of Psychological Research (DIPR)</t>
  </si>
  <si>
    <t>Paul, FUJ (corresponding author), Minist Def, Def Inst Psychol Res, Def Res &amp; Dev Org, Delhi 110054, India.</t>
  </si>
  <si>
    <t>johnpaul_dipr@rediffmail.com</t>
  </si>
  <si>
    <t>SAGE PUBLICATIONS INC</t>
  </si>
  <si>
    <t>THOUSAND OAKS</t>
  </si>
  <si>
    <t>2455 TELLER RD, THOUSAND OAKS, CA 91320 USA</t>
  </si>
  <si>
    <t>0013-9165</t>
  </si>
  <si>
    <t>ENVIRON BEHAV</t>
  </si>
  <si>
    <t>Environ. Behav.</t>
  </si>
  <si>
    <t>10.1177/0013916509336889</t>
  </si>
  <si>
    <t>Environmental Studies; Psychology, Multidisciplinary</t>
  </si>
  <si>
    <t>Environmental Sciences &amp; Ecology; Psychology</t>
  </si>
  <si>
    <t>637FN</t>
  </si>
  <si>
    <t>WOS:000280801600008</t>
  </si>
  <si>
    <t>Nash, SB; Rintoul, SR; Kawaguchi, S; Staniland, I; van den Hoff, J; Tierney, M; Bossi, R</t>
  </si>
  <si>
    <t>Nash, Susan Bengtson; Rintoul, Stephen R.; Kawaguchi, So; Staniland, Iain; van den Hoff, John; Tierney, Megan; Bossi, Rossana</t>
  </si>
  <si>
    <t>Perfluorinated compounds in the Antarctic region: Ocean circulation provides prolonged protection from distant sources</t>
  </si>
  <si>
    <t>ENVIRONMENTAL POLLUTION</t>
  </si>
  <si>
    <t>Perfluorinated compounds; Antarctica; Long range environmental transport; Antarctic circumpolar current</t>
  </si>
  <si>
    <t>PERFLUOROOCTANE SULFONATE PFOS; SOUTHERN ELEPHANT SEALS; PERFLUOROCARBOXYLIC ACIDS; FLUOROCHEMICALS; CONTAMINANTS; BEHAVIOR; SERUM</t>
  </si>
  <si>
    <t>In order to investigate the extent to which Perfluorinated Contaminants (PFCs) have permeated the Southern Ocean food web to date, a range of Antarctic, sub-Antarctic and Antarctic-migratory biota were analysed for key ionic PFCs. Based upon the geographical distribution pattern and ecology of biota with detectable vs. non-detectable PFC burdens, an evaluation of the potential contributory roles of alternative system input pathways is made. Our analytical findings, together with previous reports, reveal only the occasional occurrence of PFCs in migratory biota and vertebrate predators with foraging ranges extending into or north of the Antarctic Circumpolar Current (ACC). Geographical contamination patterns observed correspond most strongly with those expected from delivery via hydrospheric transport as governed by the unique oceanographic features of the Southern Ocean. We suggest that hydrospheric transport will form a slow, but primary, input pathway of PFCs to the Antarctic region. (C) 2010 Elsevier Ltd. All rights reserved.</t>
  </si>
  <si>
    <t>[Nash, Susan Bengtson] Griffith Univ, AERC, Nathan, Qld 4111, Australia; [Rintoul, Stephen R.] Wealth Oceans Flagship &amp; Antarctic Climate &amp; Ecos, Ctr Australian Weather &amp; Climate Res, Hobart, Tas, Australia; [Kawaguchi, So; van den Hoff, John; Tierney, Megan] Australian Antarctic Div, Kingston, Tas, Australia; [Staniland, Iain] British Antarctic Survey, NERC, Cambridge CB3 0ET, England; [Bossi, Rossana] Aarhus Univ, NERI, Roskilde, Denmark</t>
  </si>
  <si>
    <t>Griffith University; Commonwealth Scientific &amp; Industrial Research Organisation (CSIRO); Australian Antarctic Division; UK Research &amp; Innovation (UKRI); Natural Environment Research Council (NERC); NERC British Antarctic Survey; Aarhus University</t>
  </si>
  <si>
    <t>Nash, SB (corresponding author), Griffith Univ, AERC, 170 Kessels Rd, Nathan, Qld 4111, Australia.</t>
  </si>
  <si>
    <t>s.bengtsonnash@griffith.edu.au</t>
  </si>
  <si>
    <t>Bengtson Nash, Susan/I-3942-2015; Bengtson Nash, Susan/GMX-4611-2022; Staniland, Iain/I-4725-2012; Rintoul, Stephen R/A-1471-2012; Kawaguchi, So/N-1795-2017</t>
  </si>
  <si>
    <t>Bengtson Nash, Susan/0000-0001-5928-0850; Bengtson Nash, Susan/0000-0001-5928-0850; Staniland, Iain/0000-0003-2736-9134; Rintoul, Stephen R/0000-0002-7055-9876; Kawaguchi, So/0000-0002-2042-5095</t>
  </si>
  <si>
    <t>Australian Research Council (ARC) [DP0666891]; University of Queensland; Natural Environment Research Council [bas0100025] Funding Source: researchfish; NERC [bas0100025] Funding Source: UKRI; Australian Research Council [DP0666891] Funding Source: Australian Research Council</t>
  </si>
  <si>
    <t>Australian Research Council (ARC)(Australian Research Council); University of Queensland(University of Queensland); Natural Environment Research Council(UK Research &amp; Innovation (UKRI)Natural Environment Research Council (NERC)); NERC(UK Research &amp; Innovation (UKRI)Natural Environment Research Council (NERC)); Australian Research Council(Australian Research Council)</t>
  </si>
  <si>
    <t>The authors thank both known and anonymous reviewers for their helpful comments throughout the production of this article. This work was funded by an Australian Research Council (ARC) Discovery grant (DP0666891) and associated travel supported by a University of Queensland Start-up grant. This work was supported, in part, by the Australian Government's Cooperative Research Centre (CRC) programme through the Antarctic Climate and Ecosystems CRC and in part by the Australian Climate Change Science Program - an Australian Government Initiative. Table 1 of the manuscript was produced by the Australian Antarctic Data Centre and is 0 Commonwealth of Australia 2010.</t>
  </si>
  <si>
    <t>0269-7491</t>
  </si>
  <si>
    <t>1873-6424</t>
  </si>
  <si>
    <t>ENVIRON POLLUT</t>
  </si>
  <si>
    <t>Environ. Pollut.</t>
  </si>
  <si>
    <t>10.1016/j.envpol.2010.05.024</t>
  </si>
  <si>
    <t>643OL</t>
  </si>
  <si>
    <t>WOS:000281306400026</t>
  </si>
  <si>
    <t>Boniek, D; Figueiredo, D; Pylro, VS; Duarte, GF</t>
  </si>
  <si>
    <t>Boniek, Douglas; Figueiredo, Debora; Pylro, Victor Satler; Duarte, Gabriela Frois</t>
  </si>
  <si>
    <t>Characterization of bacterial strains capable of desulphurisation in soil and sediment samples from Antarctica</t>
  </si>
  <si>
    <t>EXTREMOPHILES</t>
  </si>
  <si>
    <t>Antarctic microbiology; Biodesulphurisation; 4S pathway; Dibenzothiophene; Pseudomonas; Acinetobacter</t>
  </si>
  <si>
    <t>ORGANIC SULFUR-COMPOUNDS; MICROBIAL DESULFURIZATION; RESTING CELLS; DIESEL OILS; DIBENZOTHIOPHENE; DIVERSITY</t>
  </si>
  <si>
    <t>The presence of sulphur in fossil fuels and the natural environment justifies the study of sulphur-utilising bacterial species and genes involved in the biodesulphurisation process. Technology has been developed based on the natural ability of microorganisms to remove sulphur from polycyclic aromatic hydrocarbon chains. This biotechnology aims to minimise the emission of sulphur oxides into the atmosphere during combustion and prevent the formation of acid rain. In this study, the isolation and characterization of desulphurising microorganisms in rhizosphere and bulk soil samples from Antarctica that were either contaminated with oil or uncontaminated was described. The growth of selected isolates and their capacity to utilise sulphur based on the formation of the terminal product of desulphurisation via the 4S pathway, 2-hydroxybiphenyl, was analysed. DNA was extracted from the isolates and BOX-PCR and DNA sequencing were performed to obtain a genomic diversity profile of cultivable desulphurising bacterial species. Fifty isolates were obtained showing the ability of utilising dibenzothiophene as a substrate and sulphur source for maintenance and growth when plated on selective media. However, only seven genetically diverse isolates tested positive for sulphur removal using the Gibbs assay. DNA sequencing revealed that these isolates were related to the genera Acinetobacter and Pseudomonas.</t>
  </si>
  <si>
    <t>[Figueiredo, Debora; Duarte, Gabriela Frois] Univ Fed Ouro Preto, Inst Biol &amp; Exact Sci, Dept Biol Sci, Biodivers &amp; Microbial Ecol Lab, BR-35400000 Ouro Preto, MG, Brazil; [Pylro, Victor Satler] Univ Fed Vicosa, Dept Microbiol, Grad Program Agr Microbiol, Vicosa, MG, Brazil; [Boniek, Douglas] Univ Fed Ouro Preto, Inst Biol &amp; Exact Sci, Grad Program Environm Engn, BR-35400000 Ouro Preto, MG, Brazil</t>
  </si>
  <si>
    <t>Universidade Federal de Ouro Preto; Universidade Federal de Vicosa; Universidade Federal de Ouro Preto</t>
  </si>
  <si>
    <t>Duarte, GF (corresponding author), Univ Fed Ouro Preto, Inst Biol &amp; Exact Sci, Dept Biol Sci, Biodivers &amp; Microbial Ecol Lab, BR-35400000 Ouro Preto, MG, Brazil.</t>
  </si>
  <si>
    <t>gfduarte.ufop@yahoo.com.br</t>
  </si>
  <si>
    <t>Pylro, Victor Satler/G-6045-2010; Duarte, Gabriela F/K-8892-2013; Boniek, Douglas/B-1674-2018</t>
  </si>
  <si>
    <t>Pylro, Victor Satler/0000-0003-2154-9150; Boniek, Douglas/0000-0001-6923-7143</t>
  </si>
  <si>
    <t>Brazilian Antarctic Program, PROANTAR</t>
  </si>
  <si>
    <t>We would like to thank Dr. Alexandre Rosado for providing samples from Antarctica and for relevant information regarding the material, Dr. Raquel Peixoto and Dr. Juliano Cury for the DNA sequencing, and Dr. Silvana Queiroz for the DNA purification. This study received financial and logistic support from the Brazilian Antarctic Program, PROANTAR.</t>
  </si>
  <si>
    <t>SPRINGER JAPAN KK</t>
  </si>
  <si>
    <t>SHIROYAMA TRUST TOWER 5F, 4-3-1 TORANOMON, MINATO-KU, TOKYO, 105-6005, JAPAN</t>
  </si>
  <si>
    <t>1431-0651</t>
  </si>
  <si>
    <t>1433-4909</t>
  </si>
  <si>
    <t>Extremophiles</t>
  </si>
  <si>
    <t>10.1007/s00792-010-0326-3</t>
  </si>
  <si>
    <t>Biochemistry &amp; Molecular Biology; Microbiology</t>
  </si>
  <si>
    <t>672GJ</t>
  </si>
  <si>
    <t>WOS:000283570700006</t>
  </si>
  <si>
    <t>Warren, PH; Rubin, AE</t>
  </si>
  <si>
    <t>Warren, Paul H.; Rubin, Alan E.</t>
  </si>
  <si>
    <t>Pyroxene-selective impact smelting in ureilites</t>
  </si>
  <si>
    <t>ANTARCTIC UREILITES; ORIGIN; METEORITES; PETROLOGY; SILICA; SHOCK; MELT; PLAGIOCLASE; MINERALOGY; PIGEONITE</t>
  </si>
  <si>
    <t>A characteristic feature of ureilite meteorites is reduction of FeO. But the reduction is usually confined to the rims of olivine. In the LAR 04315, LAP 03587 and Almahata Sitta ureilites, pyroxene was extensively reduced by impact smelting. In LAR 04315, the impact caused nearly all of the original pigeonite to melt or otherwise become sufficiently structurally compromised to allow smelting, and yet a minor proportion of the pyroxene escaped smelting and survived with its original composition (En(74.1)Wo(10.2)). Olivine mosaicism confirms that LAR 04315 experienced a major shock event. The smelted pyroxenes also show a distinctive patchiness in their interference colors (although each grain's basic optical continuity, often including twinning, is still discernible). They also have reduced compositions, are ubiquitously porous (similar to 15%), and contain sprinklings of Fe-metal and felsic glass. For the most part the olivine underwent only very slight reduction. Much of the (small) pyroxene component of LAP 03587 shows the same oddly porous texture. LA R 04315 also contains large traces of silica and felsic glass (with a typical composition of, in wt%, 61 SiO2, 23 A(2)O(3), 11 CaO, 3.7 Na2O) glass; these two phases together form selvages that line the walls of many of the largest voids in the rock. Silica is a by-product of pyroxene smelting. The felsic glass probably derives largely from interstitial basaltic melt that predated the impact. However, the comparatively stiff surrounding/ included silica may have promoted unusually high melt retention within. LAR 04315 through the smelting episode (one aspect of which was a major stream-out, through the same large voids, of COx gas). The impact-smelted pyroxene of LAP 03587 is enigmatic because this ureilite also features little-shocked euhedral graphite laths and no olivine mosaicism. The fine-grained ureilitic component of Almahata Sitta appears to have likewise formed by impact smelting, but with more extensive melting of pyroxene (especially a Ca-rich pyroxene component), more pulverization and melting of olivine, and more displacement of both. However, in places the original coarse-equant ureilite texture is still discernible in relict form. Ordinarily, an impact shock melts olivine before, or at least no later than, pyroxene. But in the case of LAR 04315 and LAP 03587, the great shock event evidently occurred when the material was already anatectic or very nearly so; and thus the difference in melting temperature between pyroxene and olivine, similar to 300 degrees lower for pyroxene, was decisive. If literature inferences of extremely fast cooling rates, implying shallow burial depths, are accurate, the proportion of COx gas generated by ureilite smelting exceeded by a very large factor (of order 10(3) but possibly much greater) the volume represented as porosity in the final ureilites. The outflow of so much gas may have, by near-surface explosive expansion and jetting, enhanced the thoroughness of the impact-triggered catastrophic impact disruption of the parent asteroid. (C) 2010 Elsevier Ltd. All rights reserved.</t>
  </si>
  <si>
    <t>[Warren, Paul H.; Rubin, Alan E.] Univ Calif Los Angeles, Inst Geophys &amp; Planetary Phys, Los Angeles, CA 90095 USA</t>
  </si>
  <si>
    <t>Warren, PH (corresponding author), Univ Calif Los Angeles, Inst Geophys &amp; Planetary Phys, Los Angeles, CA 90095 USA.</t>
  </si>
  <si>
    <t>pwarren@ucla.edu</t>
  </si>
  <si>
    <t>NASA [NNGO6GE86G, NNGO6GF95G]</t>
  </si>
  <si>
    <t>We thank Anonymous and C. Goodrich for helpful, constructive reviews; also Tim McCoy and John Wasson for helpful advice; and Peter Jenniskens, John Kashuba, and the Meteorite Working Group for donations and loans of samples. This work was supported by NASA grants NNG06GE86G (P.H.W.) and NNG06GF95G (A.E.R.).</t>
  </si>
  <si>
    <t>10.1016/j.gca.2010.05.026</t>
  </si>
  <si>
    <t>636PT</t>
  </si>
  <si>
    <t>WOS:000280751400015</t>
  </si>
  <si>
    <t>Holbourn, A; Kuhnt, W; Regenberg, M; Schulz, M; Mix, A; Andersen, N</t>
  </si>
  <si>
    <t>Holbourn, Ann; Kuhnt, Wolfgang; Regenberg, Marcus; Schulz, Michael; Mix, Alan; Andersen, Nils</t>
  </si>
  <si>
    <t>Does Antarctic glaciation force migration of the tropical rain belt?</t>
  </si>
  <si>
    <t>INTERTROPICAL CONVERGENCE ZONE; CLIMATE-CHANGE; TIBETAN PLATEAU; ASIAN MONSOON; PACIFIC; RECORD; CHINA; EVOLUTION; MAXIMUM; MARGIN</t>
  </si>
  <si>
    <t>High-resolution (similar to 3-6 k.y.) upper ocean temperature and salinity estimates derived from planktic foraminiferal delta O-18 and Mg/Ca in Ocean Drilling Program (ODP) Site 1146 reveal stepwise changes in the precipitation-evaporation balance of the subtropical northwestern Pacific during the Middle Miocene (15.7 to 12.7 Ma). We attribute the punctuated pattern of surface warming and freshening following Antarctic ice growth episodes at 14.6, 14.2, 13.9, and 13.1 Ma to successive northward movements of the Intertropical Convergence Zone, implying high sensitivity of tropical rain belts to the interhemispheric temperature gradient driven by high-latitude climate. This dynamic interaction has implications for future warmer climate regimes with differential warming of the Northern Hemisphere, as it may lead to changes in the latitudinal penetration of tropical Pacific moisture over Southeast Asia.</t>
  </si>
  <si>
    <t>[Holbourn, Ann; Kuhnt, Wolfgang; Regenberg, Marcus] Univ Kiel, Inst Geosci, D-24118 Kiel, Germany; [Schulz, Michael] Univ Bremen, MARUM Ctr Marine Environm Sci, D-28334 Bremen, Germany; [Schulz, Michael] Univ Bremen, Fac Geosci, D-28334 Bremen, Germany; [Mix, Alan] Oregon State Univ, COAS, Corvallis, OR 97331 USA; [Andersen, Nils] Univ Kiel, Leibniz Lab Radiometr Dating &amp; Stable Isotope Re, D-24118 Kiel, Germany</t>
  </si>
  <si>
    <t>University of Kiel; University of Bremen; University of Bremen; Oregon State University; University of Kiel</t>
  </si>
  <si>
    <t>Holbourn, A (corresponding author), Univ Kiel, Inst Geosci, Olshaussenstr 40, D-24118 Kiel, Germany.</t>
  </si>
  <si>
    <t>; Schulz, Michael/P-7276-2016</t>
  </si>
  <si>
    <t>Holbourn, Ann/0000-0002-3167-0862; Schulz, Michael/0000-0001-6500-2697</t>
  </si>
  <si>
    <t>Deutsche Forschungsgemeinschaft [Ku649/27]</t>
  </si>
  <si>
    <t>We thank Heiko Palike and two anonymous reviewers for insightful critical comments. This research used samples provided by the Ocean Drilling Program, and was funded by the Deutsche Forschungsgemeinschaft (grant Ku649/27).</t>
  </si>
  <si>
    <t>10.1130/G31043.1</t>
  </si>
  <si>
    <t>641LE</t>
  </si>
  <si>
    <t>WOS:000281126600004</t>
  </si>
  <si>
    <t>DiFiore, PJ; Sigman, DM; Karsh, KL; Trull, TW; Dunbar, RB; Robinson, RS</t>
  </si>
  <si>
    <t>DiFiore, Peter J.; Sigman, Daniel M.; Karsh, Kristen L.; Trull, Thomas W.; Dunbar, Robert B.; Robinson, Rebecca S.</t>
  </si>
  <si>
    <t>Poleward decrease in the isotope effect of nitrate assimilation across the Southern Ocean</t>
  </si>
  <si>
    <t>NITROGEN; FRACTIONATION; PHYTOPLANKTON; WATERS</t>
  </si>
  <si>
    <t>Recent studies provide seasonally and spatially resolved information on the isotopic characteristics of nitrate supply and N cycling in Southern Ocean surface waters. The new data improve our understanding of the nitrate supply to the Antarctic surface and its isotopic characteristics, especially with regard to the summertime subsurface minimum temperature (T(min)) layer in the Antarctic. We use these findings to update and compile estimates of the N isotope effect of nitrate assimilation, epsilon, in the Southern Ocean near Australia. A poleward decrease in epsilon emerges, from 8-9% in the Subantarctic Zone (SAZ, 40-52 degrees S) to similar to 5% in the Polar Antarctic Zone (PAZ, similar to 66 degrees S). epsilon is strongly correlated with mixed layer depth at the time of sampling. We hypothesize that the correlation is driven by the physiological response of diatoms to light availability, with light limitation leading to higher cellular efflux of nitrate and thus higher epsilon. Citation: DiFiore, P. J., D. M. Sigman, K. L. Karsh, T. W. Trull, R. B. Dunbar, and R. S. Robinson (2010), Poleward decrease in the isotope effect of nitrate assimilation across the Southern Ocean, Geophys. Res. Lett., 37, L17601, doi: 10.1029/2010GL044090.</t>
  </si>
  <si>
    <t>[DiFiore, Peter J.; Sigman, Daniel M.; Karsh, Kristen L.] Princeton Univ, Dept Geosci, Princeton, NJ 08544 USA; [Karsh, Kristen L.; Trull, Thomas W.] Univ Tasmania, Antarctic Climate &amp; Ecosyst CRC, Hobart, Tas 7001, Australia; [Dunbar, Robert B.] Stanford Univ, Dept Geol &amp; Environm Sci, Stanford, CA 94305 USA; [Robinson, Rebecca S.] Univ Rhode Isl, Grad Sch Oceanog, Narragansett, RI 02882 USA</t>
  </si>
  <si>
    <t>Princeton University; University of Tasmania; Stanford University; University of Rhode Island</t>
  </si>
  <si>
    <t>DiFiore, PJ (corresponding author), Princeton Univ, Dept Geosci, Princeton, NJ 08544 USA.</t>
  </si>
  <si>
    <t>Trull, Tom W/B-7028-2014; Sigman, Daniel M./IYJ-2613-2023; Sigman, Daniel M./A-2649-2008</t>
  </si>
  <si>
    <t>Sigman, Daniel M./0000-0002-7923-1973; Robinson, Rebecca/0000-0002-8072-1603; Dunbar, Robert/0000-0002-9728-5609</t>
  </si>
  <si>
    <t>U.S. NSF [OPP-9909837, -0207305,, -0338350, OCE-0447570, OPP-0453680]; Australian Antarctic Sciences [1156]</t>
  </si>
  <si>
    <t>U.S. NSF(National Science Foundation (NSF)); Australian Antarctic Sciences</t>
  </si>
  <si>
    <t>This research was supported by U.S. NSF grants OPP-9909837, -0207305, and -0338350 to R. D. and OCE-0447570, and OPP-0453680 to D.M.S., and by Australian Antarctic Sciences Award 1156 to T.W.T. A review by B. Popp improved the manuscript.</t>
  </si>
  <si>
    <t>L17601</t>
  </si>
  <si>
    <t>10.1029/2010GL044090</t>
  </si>
  <si>
    <t>646VV</t>
  </si>
  <si>
    <t>WOS:000281572900001</t>
  </si>
  <si>
    <t>Peck, LS; Barnes, DKA; Cook, AJ; Fleming, AH; Clarke, A</t>
  </si>
  <si>
    <t>Peck, L. S.; Barnes, D. K. A.; Cook, A. J.; Fleming, A. H.; Clarke, A.</t>
  </si>
  <si>
    <t>Negative feedback in the cold: ice retreat produces new carbon sinks in Antarctica</t>
  </si>
  <si>
    <t>benthos; climate change; community; glacier; ice shelf; phytoplankton; polar; productivity</t>
  </si>
  <si>
    <t>SOUTHERN-OCEAN; INTERANNUAL VARIABILITY; PHYTOPLANKTON BIOMASS; COPEPODA CALANOIDA; CONTINENTAL-SHELF; ATLANTIC SECTOR; ORGANIC-MATTER; SIGNY ISLAND; LIFE-CYCLE; PENINSULA</t>
  </si>
  <si>
    <t>Feedbacks on climate change so far identified are predominantly positive, enhancing the rate of change. Loss of sea-ice, increase in desert areas, water vapour increase, loss of tropical rain forest and the restriction of significant areas of marine productivity to higher latitude (thus smaller geographical zones) all lead to an enhancement of the rate of change. The other major feedback identified, changes in cloud radiation, will produce either a positive feedback, if high level clouds are produced, or a negative feedback if low level clouds are produced. Few significant negative feedbacks have been identified, let alone quantified. Here, we show that the loss of ice shelves and retreat of coastal glaciers around the Antarctic Peninsula in the last 50 years has exposed at least 2.4 x 104 km2 of new open water. We estimate that these new areas of open water have allowed new phytoplankton blooms containing a total standing stock of similar to 5.0 x 105 tonnes of carbon to be produced. New marine zooplankton and seabed communities have also been produced, which we estimate contain similar to 4.1 x 105 tonnes of carbon. This previously unquantified carbon sink acts as a negative feedback to climate change. New annual productivity, as opposed to standing stock, amounts to 3.5 x 106 tonnes yr-1 of carbon, of which 6.9 x 105 tonnes yr-1 deposits to the seabed. By comparison the total aboveground biomasses of lowland American tropical rainforest is 160-435 tonnes ha-1. Around 50% of this is carbon. On this basis the carbon held in new biomass described here is roughly equivalent to 6000-17 000 ha of tropical rainforest. As ice loss increases in polar regions this feedback will become stronger, and eventually, over thousands to hundreds of thousands of years, over 50 Mtonnes of new carbon could be fixed annually in new coastal phytoplankton blooms and over 10 Mtonnes yr-1 locked in biological standing stock around Antarctica.</t>
  </si>
  <si>
    <t>[Peck, L. S.; Barnes, D. K. A.; Cook, A. J.; Fleming, A. H.; Clarke, A.] British Antarctic Survey, NERC, Cambridge CB3 0ET, England</t>
  </si>
  <si>
    <t>Peck, LS (corresponding author), British Antarctic Survey, NERC, High Cross,Madingley Rd, Cambridge CB3 0ET, England.</t>
  </si>
  <si>
    <t>NERC [bas0100025, dml011000] Funding Source: UKRI; Natural Environment Research Council [bas0100025, dml011000] Funding Source: researchfish</t>
  </si>
  <si>
    <t>1365-2486</t>
  </si>
  <si>
    <t>10.1111/j.1365-2486.2009.02071.x</t>
  </si>
  <si>
    <t>635CR</t>
  </si>
  <si>
    <t>WOS:000280633700017</t>
  </si>
  <si>
    <t>Li, GZ; Ning, BQ; Ren, ZP; Hu, LH</t>
  </si>
  <si>
    <t>Li, Guozhu; Ning, Baiqi; Ren, Zhipeng; Hu, Lianhuan</t>
  </si>
  <si>
    <t>Statistics of GPS ionospheric scintillation and irregularities over polar regions at solar minimum</t>
  </si>
  <si>
    <t>GPS SOLUTIONS</t>
  </si>
  <si>
    <t>GPS; Ionospheric scintillation; Polar latitude irregularity; IMF</t>
  </si>
  <si>
    <t>AURORAL OVAL; F-REGION; SCALE IRREGULARITIES; PHASE SCINTILLATION; VELOCITY SHEARS; NORTHERN EUROPE; HIGH-LATITUDES; CAP; DENSITY; PATCHES</t>
  </si>
  <si>
    <t>A statistical study of the occurrence characteristic of GPS ionospheric scintillation and irregularity in the polar latitude is presented. These measurements were made at Ny-Alesund, Svalbard [78.9A degrees N, 11.9A degrees E; 75.8A degrees N corrected geomagnetic latitude (CGMLat)] and Larsemann Hills, East Antarctica (69.4A degrees S, 76.4A degrees E; 74.6A degrees S CGMLat) during 2007-2008. It is found that the GPS phase scintillation and irregularity activity mainly takes place in the months 10, 11 and 12 at Ny-Alesund, and in the months 5, 6 at Larsemann Hills. The seasonal pattern of phase scintillation with respect to the station indicates that the GPS phase scintillation occurrence is a local winter phenomenon, which shows consistent results with past studies of 250 MHz satellite beacon measurements. The occurrence rates of GPS amplitude scintillation at the two stations are below 1%. A comparison with the interplanetary magnetic field (IMF) B (y) and B (z) components shows that the phase scintillation occurrence level is higher during the period from later afternoon to sunset (16-19 h) at Ny-Alesund, and from sunset to pre-midnight (18-23 h) at Larsemann Hills for negative IMF components. The findings seem to indicate that the dependence of scintillation and irregularity occurrence on geomagnetic activity appears to be associated with the magnetic local time (MLT).</t>
  </si>
  <si>
    <t>[Li, Guozhu; Ning, Baiqi; Ren, Zhipeng; Hu, Lianhuan] Chinese Acad Sci, Inst Geol &amp; Geophys, Beijing Natl Observ Space Environm, Beijing, Peoples R China</t>
  </si>
  <si>
    <t>Chinese Academy of Sciences; Institute of Geology &amp; Geophysics, CAS</t>
  </si>
  <si>
    <t>Li, GZ (corresponding author), Chinese Acad Sci, Inst Geol &amp; Geophys, Beijing Natl Observ Space Environm, Beijing, Peoples R China.</t>
  </si>
  <si>
    <t>gzlee@mail.igcas.ac.cn</t>
  </si>
  <si>
    <t>Ren, Zhipeng/B-4923-2012; Ning, Baiqi/A-2573-2012; Li, Guozhu/D-4322-2009</t>
  </si>
  <si>
    <t>Li, Guozhu/0000-0002-7669-3590</t>
  </si>
  <si>
    <t>Chinese Arctic and Antarctic Administration [20070209]; National Natural Science Foundation of China [40774091, 40574072]; National Important Basic Research Project [2006CB806306]</t>
  </si>
  <si>
    <t>Chinese Arctic and Antarctic Administration; National Natural Science Foundation of China(National Natural Science Foundation of China (NSFC)); National Important Basic Research Project(National Basic Research Program of China)</t>
  </si>
  <si>
    <t>This work was supported by the Chinese Arctic and Antarctic Administration (20070209), National Natural Science Foundation of China (40774091, 40574072) and National Important Basic Research Project (2006CB806306). The authors acknowledge CDAWeb for providing the IMF datasets.</t>
  </si>
  <si>
    <t>1080-5370</t>
  </si>
  <si>
    <t>GPS SOLUT</t>
  </si>
  <si>
    <t>GPS Solut.</t>
  </si>
  <si>
    <t>10.1007/s10291-009-0156-x</t>
  </si>
  <si>
    <t>647DY</t>
  </si>
  <si>
    <t>WOS:000281597800004</t>
  </si>
  <si>
    <t>Two new species of Antarctic gorgonians (Octocorallia: Primnoidae) with a redescription of Thouarella laxa Versluys, 1906</t>
  </si>
  <si>
    <t>HELGOLAND MARINE RESEARCH</t>
  </si>
  <si>
    <t>Cnidaria; Octocorallia; Primnoidae; Antarctica; Thouarella; New species</t>
  </si>
  <si>
    <t>GENUS; COELENTERATA; GORGONACEA; ANTHOZOA</t>
  </si>
  <si>
    <t>Two new species of the genus Thouarella from Antarctic waters are described and illustrated from material collected on the Polarstern cruises ANT XVII/3 (EASIZ III), ANT XIX/5 (LAMPOS) and ANT XXI/2 (BENDEX). On the one hand, Thouarella viridis sp. nov. is placed in the subgenus Epithouarella due to the characteristic ornamentation of its marginal scales (the previously most recent species in this group was included by Kukenthal in Zool Anz 33(1): 9-20, 1908). On the other hand, Thouarella minuta sp. nov. is included in subgenus Thouarella among the 14 species currently recognised, the main distinct feature being tiny polyps. Furthermore, a complete redescription is given of Thouarella laxa Versluys, 1906. Using the new technology available nowadays, such as images obtained with SEM, we provide accurate images of the polyps and sclerites. In addition, as a result of this study, T. laxa and its closest congener T. tydemani Versluys, 1906 are maintained as separate species, mainly due to their internal sculpture of body and coenenchymal scales.</t>
  </si>
  <si>
    <t>[Zapata-Guardiola, Rebeca; Lopez-Gonzalez, Pablo J.] Univ Seville, Dept Fisiol &amp; Zool, Fac Biol, E-41012 Seville, Spain</t>
  </si>
  <si>
    <t>Zapata-Guardiola, R (corresponding author), Univ Seville, Dept Fisiol &amp; Zool, Fac Biol, Reina Mercedes 6, E-41012 Seville, Spain.</t>
  </si>
  <si>
    <t>rebzapgua@alum.us.es; pjlopez@us.es</t>
  </si>
  <si>
    <t>Zapata-Guardiola, Rebeca/E-6310-2010; Lopez-González, Pablo J./Y-6440-2018</t>
  </si>
  <si>
    <t>Zapata-Guardiola, Rebeca/0000-0001-9106-3696; Lopez-González, Pablo J./0000-0002-7348-6270</t>
  </si>
  <si>
    <t>Spanish CICYT [ANT98-1739-E, ANT99-1608-E, REN2001-4929-E/ANT, REN2003-04236, POL2006-06399/CGL]</t>
  </si>
  <si>
    <t>The authors thank Dr. R. van Soest and E.J. Beglinger (Universiteit van Amsterdam), Bernhard Ruthensteiner and Eva Lodde (Zoologische Staatssammlung Munchen) for lending the specimens of Thouarella laxa and T. tydemani for examination and Emma Sherlock (NHM in London) for information about the type material of T. brucei. We also acknowledge the valuable assistance of the officers and crew of the R/V Polarstern and many colleagues on board during the EASIZ III, LAMPOS and BENDEX cruises. We extend our thanks to the cruise leaders and steering committee of the cruises especially Wolf E. Arntz (Alfred Wegener Institut, Bremerhaven), who kindly facilitated the work on board and for the opportunity to collaborate in these Antarctic programmes. Special thanks are addressed to some friends and colleagues for their valuable assistance during EASIZ III (Ma Isabel Alfonso, Josep-Maria Gili), LAMPOS (Neus Vert and Estefania Rodriguez) and BENDEX (Estefania Rodriguez, Josep-Maria Gili) cruises. Support for this work was provided by the Spanish CICYT projects ANT98-1739-E and ANT99-1608-E (EASIZ III), REN2001-4929-E/ANT (LAMPOS), REN2003-04236 (BENDEX) and POL2006-06399/CGL (CLIMANT). Mr. Tony Krupa is thanked for reviewing the English version.</t>
  </si>
  <si>
    <t>1438-387X</t>
  </si>
  <si>
    <t>1438-3888</t>
  </si>
  <si>
    <t>HELGOLAND MAR RES</t>
  </si>
  <si>
    <t>Helgoland Mar. Res.</t>
  </si>
  <si>
    <t>10.1007/s10152-009-0176-5</t>
  </si>
  <si>
    <t>640CV</t>
  </si>
  <si>
    <t>Green Published, Green Submitted, Bronze</t>
  </si>
  <si>
    <t>WOS:000281026300003</t>
  </si>
  <si>
    <t>Cavalieri, DJ; Markus, T; Hall, DK; Ivanoff, A; Glick, E</t>
  </si>
  <si>
    <t>Cavalieri, Donald J.; Markus, Thorsten; Hall, Dorothy K.; Ivanoff, Alvaro; Glick, Emily</t>
  </si>
  <si>
    <t>Assessment of AMSR-E Antarctic Winter Sea-Ice Concentrations Using Aqua MODIS</t>
  </si>
  <si>
    <t>IEEE TRANSACTIONS ON GEOSCIENCE AND REMOTE SENSING</t>
  </si>
  <si>
    <t>Advanced Microwave Scanning Radiometer for the Earth Observing System (AMSR-E); antarctic; sea-ice concentration; validation</t>
  </si>
  <si>
    <t>PRODUCT; ALBEDO; EOS</t>
  </si>
  <si>
    <t>An assessment of the standard Advanced Microwave Scanning Radiometer for the Earth Observing System (AMSR-E) sea-ice concentrations for the Antarctic winter is made from a comparison of nearly 40 000 AMSR-E sea-ice concentration values with geolocated sea-ice concentrations derived from ten Aqua Moderate Resolution Imaging Spectroradiometer (MODIS) scenes acquired on October 1st and 2nd of 2005 and 2006. The standard AMSR-E sea-ice concentration products are produced using the National Aeronautics and Space Administration Team 2 sea-ice algorithm. The ten MODIS scenes cover portions of almost all the sea-ice regions surrounding the Antarctic continent. The AMSR-E averaged ice concentration biases relative to MODIS (AMSR-E minus MODIS) ranged from less than -0.5% to -18%, and the corresponding averaged root-mean-square (rms) errors ranged from 2% to 24%. One scene [October 1, 2006 (0550 UT)] had both the largest bias (-18%) and rms error (24%), whereas the other nine scenes had an average bias of -1.5% and an average rms error of 4.9%. The biases and rms errors are correlated with the fractions of new ice and open water. This is consistent with the findings that the largest errors in ice concentration derived from the AMSR-E occur in the marginal ice zone (MIZ) and along the ice edge and are likely caused by sea-ice flooding in the MIZ and new-ice production at the ice edge.</t>
  </si>
  <si>
    <t>[Cavalieri, Donald J.; Markus, Thorsten; Hall, Dorothy K.] NASA Goddard Space Flight Ctr, Atmospheres Lab, Greenbelt, MD 20771 USA; [Ivanoff, Alvaro] ADNET Syst Inc, Rockville, MD 20852 USA; [Glick, Emily] Bryn Mawr Coll, Dept Math, Bryn Mawr, PA 19010 USA</t>
  </si>
  <si>
    <t>National Aeronautics &amp; Space Administration (NASA); NASA Goddard Space Flight Center; Bryn Mawr College</t>
  </si>
  <si>
    <t>Cavalieri, DJ (corresponding author), NASA Goddard Space Flight Ctr, Atmospheres Lab, Greenbelt, MD 20771 USA.</t>
  </si>
  <si>
    <t>Donald.J.Cavalieri@nasa.gov</t>
  </si>
  <si>
    <t>Hall, Dorothy K./D-5562-2012; Markus, Thorsten/D-5365-2012</t>
  </si>
  <si>
    <t>Earth Observing System Aqua Project Office, National Aeronautics and Space Administration (NASA) [NNH06ZDA001N-EOS]</t>
  </si>
  <si>
    <t>Earth Observing System Aqua Project Office, National Aeronautics and Space Administration (NASA)(National Aeronautics &amp; Space Administration (NASA))</t>
  </si>
  <si>
    <t>Manuscript received September 24, 2009; revised January 28, 2010. Date of publication June 3, 2010; date of current version August 25, 2010. This work was supported in part by the Earth Observing System Aqua Project Office, National Aeronautics and Space Administration (NASA), and in part by NASA's Cryospheric Sciences Program through NNH06ZDA001N-EOS.</t>
  </si>
  <si>
    <t>IEEE-INST ELECTRICAL ELECTRONICS ENGINEERS INC</t>
  </si>
  <si>
    <t>PISCATAWAY</t>
  </si>
  <si>
    <t>445 HOES LANE, PISCATAWAY, NJ 08855-4141 USA</t>
  </si>
  <si>
    <t>0196-2892</t>
  </si>
  <si>
    <t>1558-0644</t>
  </si>
  <si>
    <t>IEEE T GEOSCI REMOTE</t>
  </si>
  <si>
    <t>IEEE Trans. Geosci. Remote Sensing</t>
  </si>
  <si>
    <t>10.1109/TGRS.2010.2046495</t>
  </si>
  <si>
    <t>Geochemistry &amp; Geophysics; Engineering, Electrical &amp; Electronic; Remote Sensing; Imaging Science &amp; Photographic Technology</t>
  </si>
  <si>
    <t>Geochemistry &amp; Geophysics; Engineering; Remote Sensing; Imaging Science &amp; Photographic Technology</t>
  </si>
  <si>
    <t>666TK</t>
  </si>
  <si>
    <t>WOS:000283142800001</t>
  </si>
  <si>
    <t>Hemmings, AD; Kriwoken, LK</t>
  </si>
  <si>
    <t>Hemmings, Alan D.; Kriwoken, Lorne K.</t>
  </si>
  <si>
    <t>High level Antarctic EIA under the Madrid Protocol: state practice and the effectiveness of the Comprehensive Environmental Evaluation process</t>
  </si>
  <si>
    <t>INTERNATIONAL ENVIRONMENTAL AGREEMENTS-POLITICS LAW AND ECONOMICS</t>
  </si>
  <si>
    <t>Antarctica; Antarctic Treaty system; International environmental management; Environmental impact assessment; Effectiveness of multilateral environmental agreements</t>
  </si>
  <si>
    <t>The 1991 Protocol on Environmental Protection to the Antarctic Treaty (Madrid Protocol), the latest instrument of the Antarctic Treaty system (ATS), establishes environmental standards to manage 10% of the planet. Under the Madrid Protocol, all activities subject to advance notice reporting obligations under the 1959 Antarctic Treaty are required to undergo prior Environmental Impact Assessment (EIA). The highest level EIA-termed a Comprehensive Environmental Evaluation (CEE)-requires international scrutiny. This is the only form of EIA where such scrutiny occurs and the only context under the Madrid Protocol or any other part of the ATS where the proposed actions of State Parties, or operators subject to their jurisdiction, are subject to formal international review. Whilst this review does not provide a veto, it has been viewed as an important development in the Antarctic multilateral regime. To date, there have been 19 CEEs. This article reviews the Antarctic CEE process and evaluates its application in practice against the environmental obligations established in the Protocol. Whilst most CEEs are substantial documents and processes, which have raised the standard of environmental care in the area, there are significant generic limitations. Not one CEE appears to have led to substantial modification of the activity as first elaborated by the proponent, let alone a decision not to proceed with the activity, despite this being a mandatory consideration. There are indications that the imperatives in the CEE process are often administrative and diplomatic rather than environmental and that notwithstanding the international scrutiny of draft CEEs, state action may not be significantly changed. Suggestions are made on improvements to the CEE process. The Madrid Protocol is a framework convention, designed so that its technical annexes, including that addressing EIA, may be periodically updated. Twelve years after its entry into force, and almost 20 years after its adoption, such updating may now be useful.</t>
  </si>
  <si>
    <t>[Kriwoken, Lorne K.] Univ Tasmania, Antarctic Climate &amp; Ecosyst Cooperat Res Ctr, Hobart, Tas 7001, Australia; [Kriwoken, Lorne K.] Univ Tasmania, Sch Geog &amp; Environm Studies, Hobart, Tas 7001, Australia; [Hemmings, Alan D.] Univ Canterbury, Gateway Antarctic Ctr Antarctic Studies &amp; Res, Christchurch 8020, New Zealand</t>
  </si>
  <si>
    <t>University of Tasmania; Antarctic Climate &amp; Ecosystems Cooperative Research Centre (ACE CRC); University of Tasmania; University of Canterbury</t>
  </si>
  <si>
    <t>Kriwoken, LK (corresponding author), Univ Tasmania, Antarctic Climate &amp; Ecosyst Cooperat Res Ctr, Private Bag 78, Hobart, Tas 7001, Australia.</t>
  </si>
  <si>
    <t>ahe30184@bigpond.net.au; l.k.kriwoken@utas.edu.au</t>
  </si>
  <si>
    <t>1567-9764</t>
  </si>
  <si>
    <t>1573-1553</t>
  </si>
  <si>
    <t>INT ENVIRON AGREEM-P</t>
  </si>
  <si>
    <t>Int. Environ. Agreem.-Polit. Law Econom.</t>
  </si>
  <si>
    <t>10.1007/s10784-010-9119-5</t>
  </si>
  <si>
    <t>Economics; Environmental Studies; Law; Political Science</t>
  </si>
  <si>
    <t>Business &amp; Economics; Environmental Sciences &amp; Ecology; Government &amp; Law</t>
  </si>
  <si>
    <t>637DJ</t>
  </si>
  <si>
    <t>WOS:000280795600002</t>
  </si>
  <si>
    <t>Niemi, A; Fernández, C</t>
  </si>
  <si>
    <t>Niemi, Aki; Fernandez, Carmen</t>
  </si>
  <si>
    <t>Bayesian Spatial Point Process Modeling of Line Transect Data</t>
  </si>
  <si>
    <t>JOURNAL OF AGRICULTURAL BIOLOGICAL AND ENVIRONMENTAL STATISTICS</t>
  </si>
  <si>
    <t>Animal density; Distance sampling; Reversible Jump MCMC; Sightings survey; Spatial covariate; Spatial smoothing</t>
  </si>
  <si>
    <t>This paper develops a Bayesian approach for spatial inference on animal density from line transect survey data. We model the spatial distribution of animals within a geographical area of interest by an inhomogeneous Poisson process whose intensity function incorporates both covariate effects and spatial smoothing of residual variation. Independently thinning the animal locations according to their estimated detection probabilities results into another spatial Poisson process for the sightings (the observations). Prior distributions are elicited for all unknown model parameters. Due to the sparsity of data in the application we consider, eliciting sensible prior distributions is important in order to get meaningful estimation results. A reversible jump Markov Chain Monte Carlo (MCMC) algorithm for simulation of the posterior distribution is developed. We present results for simulated data and a real data set of minke whale pods from Antarctic waters. The main advantages of our method compared to design-based analyses are that it can use data arising from sources other than specifically designed surveys and its ability to link covariate effects to variation of animal density. The Bayesian paradigm provides a coherent framework for quantifying uncertainty in estimation results.</t>
  </si>
  <si>
    <t>[Niemi, Aki] Univ Jyvaskyla, Dept Math &amp; Stat, Jyvaskyla 40014, Finland; [Niemi, Aki] Finnish Forest Res Inst, Vantaa Res Unit, Vantaa 01301, Finland; [Fernandez, Carmen] Inst Espanol Oceanog, Vigo 36200, Spain</t>
  </si>
  <si>
    <t>University of Jyvaskyla; Natural Resources Institute Finland (Luke); Spanish Institute of Oceanography</t>
  </si>
  <si>
    <t>Niemi, A (corresponding author), Univ Jyvaskyla, Dept Math &amp; Stat, POB 35, Jyvaskyla 40014, Finland.</t>
  </si>
  <si>
    <t>aki.t.niemi@jyu.fi; carmen.fernandez@vi.ieo.es</t>
  </si>
  <si>
    <t>Emil Aaltonen Foundation, European Commission</t>
  </si>
  <si>
    <t>Emil Aaltonen Foundation, European Commission(European Union (EU)European Commission Joint Research Centre)</t>
  </si>
  <si>
    <t>Aki Niemi was funded by Emil Aaltonen Foundation, European Commission via a one year Marie Curie Visiting Doctoral Studentship in Computer Intensive Methods in Applied Statistical Modeling at Lancaster University, where Carmen Fernandez was a lecturer at the time, and University of Jyvaskyla. We thank the International Whaling Commission for providing the data. Use of computing facilities at Finnish Forest Research Institute is highly appreciated. We thank Antti Penttinen and Steve Buckland for valuable comments and discussions, and acknowledge constructive comments from two referees and the Associate Editor.</t>
  </si>
  <si>
    <t>1085-7117</t>
  </si>
  <si>
    <t>1537-2693</t>
  </si>
  <si>
    <t>J AGR BIOL ENVIR ST</t>
  </si>
  <si>
    <t>J. Agric. Biol. Environ. Stat.</t>
  </si>
  <si>
    <t>10.1007/s13253-010-0024-8</t>
  </si>
  <si>
    <t>Biology; Mathematical &amp; Computational Biology; Statistics &amp; Probability</t>
  </si>
  <si>
    <t>Life Sciences &amp; Biomedicine - Other Topics; Mathematical &amp; Computational Biology; Mathematics</t>
  </si>
  <si>
    <t>689FL</t>
  </si>
  <si>
    <t>WOS:000284912600004</t>
  </si>
  <si>
    <t>Jarvis, MJ</t>
  </si>
  <si>
    <t>Jarvis, M. J.</t>
  </si>
  <si>
    <t>The ineffectiveness of Joule heating in the stratosphere</t>
  </si>
  <si>
    <t>JOURNAL OF ATMOSPHERIC AND SOLAR-TERRESTRIAL PHYSICS</t>
  </si>
  <si>
    <t>Stratosphere; Joule heating; Solar wind; Lightning</t>
  </si>
  <si>
    <t>MIDDLE ATMOSPHERE; SOLAR-WIND; CIRCULATION; OZONE; MODEL</t>
  </si>
  <si>
    <t>Several papers have recently invoked Joule heating in the stratosphere, generated from electric currents induced by solar wind interactions with Earth, as possibly playing a significant role in warming the polar stratosphere. This commentary assesses the accuracy of that contention and demonstrates that in situ Joule heating can take no significant part in warming the stratosphere, and thus cannot be used to suggest a link between stratospheric temperatures and solar activity. (C) 2010 Elsevier Ltd. All rights reserved.</t>
  </si>
  <si>
    <t>Jarvis, MJ (corresponding author), British Antarctic Survey, Madingley Rd, Cambridge CB3 0ET, England.</t>
  </si>
  <si>
    <t>mjja@bas.ac.uk</t>
  </si>
  <si>
    <t>Natural Environment Research Council [bas0100023] Funding Source: researchfish; NERC [bas0100023] Funding Source: UKRI</t>
  </si>
  <si>
    <t>1364-6826</t>
  </si>
  <si>
    <t>1879-1824</t>
  </si>
  <si>
    <t>J ATMOS SOL-TERR PHY</t>
  </si>
  <si>
    <t>J. Atmos. Sol.-Terr. Phys.</t>
  </si>
  <si>
    <t>14-15</t>
  </si>
  <si>
    <t>10.1016/j.jastp.2010.07.015</t>
  </si>
  <si>
    <t>646XL</t>
  </si>
  <si>
    <t>WOS:000281578100006</t>
  </si>
  <si>
    <t>Gilg, O; Strom, H; Aebischer, A; Gavrilo, MV; Volkov, AE; Miljeteig, C; Sabard, B</t>
  </si>
  <si>
    <t>Gilg, Olivier; Strom, Hallvard; Aebischer, Adrian; Gavrilo, Maria V.; Volkov, Andrei E.; Miljeteig, Cecilie; Sabard, Brigitte</t>
  </si>
  <si>
    <t>Post-breeding movements of northeast Atlantic ivory gull Pagophila eburnea populations</t>
  </si>
  <si>
    <t>JOURNAL OF AVIAN BIOLOGY</t>
  </si>
  <si>
    <t>SEA-ICE; SATELLITE-TRACKING; LOCATION ACCURACY; GREENLAND; ABUNDANCE; SEABIRDS; SUMMER; AUTUMN; DECLINES; SYSTEM</t>
  </si>
  <si>
    <t>The post-breeding movements of three northeast Atlantic populations (north Greenland, Svalbard and Franz Josef Land) of the ivory gull Pagophila eburnea, a threatened high-Arctic sea-ice specialist, were studied between July and December 2007 using 31 satellite transmitters. After leaving their breeding grounds, all birds first dispersed eastward in August-September, to an area extending from the Fram Strait to the northwestern Laptev Sea (off Severnaya Zemlya). Most returned along the same flyway in October-November, hence describing a loop migration before moving south, off east Greenland. Wintering grounds were reached in December, in southeast Greenland and along the Labrador Sea ice-edge, where Canadian birds also overwinter. One to two birds from each population however continued eastwards towards a third wintering area in the Bering Strait region, hence demonstrating a bi-directional migration pattern for the populations and elucidating the origin of the birds found in the north Pacific during winter time. Overall, all birds breeding in the northeast Atlantic region used the same flyways, had similar rates of travel, and showed a peak in migratory activity in November. Though the total length of the main flyway, to the Labrador Sea, is only and at most 7500 km on a straight line, the mean total distance travelled by Greenland birds between July and December was 50 000 km when estimated from hourly rates of travel. Our study presents the first comprehensive and complete picture for the post-breeding movements of the different ivory gull populations breeding in the northeast Atlantic.</t>
  </si>
  <si>
    <t>[Gilg, Olivier] Univ Helsinki, Div Pop Biol, Dept Biol &amp; Environm Sci, FI-00014 Helsinki, Finland; [Strom, Hallvard; Miljeteig, Cecilie] Norwegian Polar Res Inst, Polar Environm Ctr, NO-9296 Tromso, Norway; [Aebischer, Adrian] Musee Hist Nat Fribourg, CH-1700 Fribourg, Switzerland; [Gavrilo, Maria V.] Arctic &amp; Antarctic Res Inst, RU-199397 St Petersburg, Russia; [Volkov, Andrei E.] Fund Sustainable Dev, RU-117312 Moscow, Russia; [Sabard, Brigitte] GREA, FR-21440 Francheville, France</t>
  </si>
  <si>
    <t>University of Helsinki; Norwegian Polar Institute</t>
  </si>
  <si>
    <t>Gilg, O (corresponding author), Univ Bourgogne, Lab Biogeosci, CNRS, Equipe Ecol Evol,UMR 5561, 6 Blvd Gabriel, FR-21000 Dijon, France.</t>
  </si>
  <si>
    <t>olivier.gilg@libertysurf.fr</t>
  </si>
  <si>
    <t>GILG, Olivier/C-2588-2008; Gavrilo, Maria V/R-7091-2016</t>
  </si>
  <si>
    <t>Gavrilo, Maria V/0000-0002-3500-9617; GILG, Olivier/0000-0002-9083-4492; Andrey E., Volkov/0000-0001-5140-0715; Miljeteig, Cecilie/0000-0003-1527-1703</t>
  </si>
  <si>
    <t>Danish Polar Center and Norlandair; National Geographic Society, Prix Gore-tex initiative, Fondation Avenir Finance; Arctic Ocean Diversity Census of Marine; CNES; CLS</t>
  </si>
  <si>
    <t>Danish Polar Center and Norlandair; National Geographic Society, Prix Gore-tex initiative, Fondation Avenir Finance(National Geographic Society); Arctic Ocean Diversity Census of Marine; CNES(Centre National D'etudes Spatiales); CLS</t>
  </si>
  <si>
    <t>In Greenland, we are grateful to Luc Hardy, Franc,ois Bernard and Vladimir Gilg who helped in the field and to John Lau Hansen (Greenland Command), the military staff of Station Nord, the Sirius Sledge Patrols, the Greenland Home Rule, the Danish Polar Center and Norlandair (formerly Air Iceland) who helped with the permits and the logistics. Funding and equipment were provided by the National Geographic Society, Prix Gore-tex initiative, Fondation Avenir Finance, the Arctic Ocean Diversity Census of Marine Life Project, CNES, CLS, Sagax expeditions, Magasins Intermarche, Societe Henry Maire, Lestra, MSR, Vitagermine, Moulin des Moines, GREA, F. Mariaux, R. Cuvillier, E. Bourgois and F. Paulsen. The work in Norway and Russia was funded by the Norwegian oil company Statoil, the Norwegian Ministry of Environment, the Norwegian Polar Institute and Arctic and Antarctic Research Institute. The project was part of the work plan of the Joint Norwegian-Russian Commission on Environmental Protection. We thank Ingar Jostein Oien, Tomas Aarvak and Elena Volkova for help in preparing the harnesses, Audun Igesund and Mikhail Ivanov who helped in the field, Boele Ruurd Kuipers who helped in the data handling, the pilots of Airlift Svalbard and SPARC+ aviation enterprise and the personnel of the Krenkel polar station (Franz Josef Land). The work in Russia was part of the Russian IPY program and was supported by the expedition 'Arctica-2007' led by V. Sokolov and A. Chilingarov. We are also indebted to Glenn Yannic and Eugene Potapov for constructive discussions or comments on previous drafts of the manuscript, to Rob Barrett for improving the language and to Anders Skoglund for preparing Fig. 4.</t>
  </si>
  <si>
    <t>0908-8857</t>
  </si>
  <si>
    <t>1600-048X</t>
  </si>
  <si>
    <t>J AVIAN BIOL</t>
  </si>
  <si>
    <t>J. Avian Biol.</t>
  </si>
  <si>
    <t>10.1111/j.1600-048X.2010.05125.x</t>
  </si>
  <si>
    <t>650KX</t>
  </si>
  <si>
    <t>WOS:000281849500005</t>
  </si>
  <si>
    <t>Barnes, DKA; Kuklinski, P</t>
  </si>
  <si>
    <t>Barnes, David K. A.; Kuklinski, Piotr</t>
  </si>
  <si>
    <t>Bryozoans of the Weddell Sea continental shelf, slope and abyss: did marine life colonize the Antarctic shelf from deep water, outlying islands or in situ refugia following glaciations?</t>
  </si>
  <si>
    <t>JOURNAL OF BIOGEOGRAPHY</t>
  </si>
  <si>
    <t>ANDEEP; Antarctica; benthos; ice sheet; Last Glacial Maximum; Pleistocene refugia; Southern Ocean</t>
  </si>
  <si>
    <t>SOUTHERN-OCEAN; CRYPTIC SPECIATION; BIODIVERSITY; BIOGEOGRAPHY; DIVERSITY; HISTORY; BENTHOS</t>
  </si>
  <si>
    <t>Aim At the height of glaciations such as the Last Glacial Maximum (LGM), benthic life on polar continental shelves was bulldozed off nearly all of the Antarctic shelf by grounded ice sheets. The origins of the current shelf benthos have become a subject of considerable debate. There are several possible sources for the current Antarctic shelf fauna, the first of which is the continental slope and deep sea of the Southern Ocean. The high levels of reported eurybathy for many Antarctic species are taken as evidence supporting this. A second possible source for colonists is the southern margins of other continents. Finally, shelves could have been recolonized from refugia on the continental shelves or slopes around Antarctica. The current study investigates whether the patchily rich and abundant biota that now occurs on the Antarctic continental shelf recolonized from refugia in situ or elsewhere. Location Weddell Sea, Antarctica. Methods We examined bryozoan samples of the BENDEX, ANDEEP III and SYSTCO expeditions, as well as the literature. Using similarity matrices (S circle divide rensen coefficient), we assessed similarities of benthos sampled from around Antarctica. By assessing numbers of species shared between differing depths and adjacent shelf areas, we evaluated the origins of cheilostome bryozoan communities. Results Bryozoans decreased from 28, 6.5 and 0.3 colonies per trawl, and 0.16, 0.046 and 0.0026 colonies per cm2 of hard surface from shelf to slope to abyssal depths. We found little and no support for recolonization of the Weddell Sea shelf by bryozoans from the adjacent slope and abyss, in the scenario of LGM faunal wipe-out. The Weddell Sea shelf bryozoan fauna was considerably more similar to those on other Antarctic shelves than to that of the adjacent (Weddell Sea) continental slope. The known bryozoan fauna of the Weddell Sea shelf is not a subset of the Weddell Sea slope or abyssal faunas. Main conclusions We consider that the composition of the current Weddell Sea bryozoan fauna is most easily explained by in situ survival. Thus we consider that at least some of the Weddell Sea fauna persisted throughout the LGM, although not necessarily at the same locations throughout, to recolonize the large area currently occupied.</t>
  </si>
  <si>
    <t>[Barnes, David K. A.] British Antarctic Survey, NERC, Cambridge CB3 0ET, England; [Kuklinski, Piotr] Polish Acad Sci, Inst Oceanol, PL-81712 Sopot, Poland; [Kuklinski, Piotr] Nat Hist Museum, Dept Zool, London SW7 5BD, England</t>
  </si>
  <si>
    <t>UK Research &amp; Innovation (UKRI); Natural Environment Research Council (NERC); NERC British Antarctic Survey; Polish Academy of Sciences; Institute of Oceanology of the Polish Academy of Sciences; Natural History Museum London</t>
  </si>
  <si>
    <t>Polish Ministry of Science and Higher Education [539/N-CAML/2009/0]; NERC [bas0100025] Funding Source: UKRI; Natural Environment Research Council [bas0100025] Funding Source: researchfish</t>
  </si>
  <si>
    <t>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t>
  </si>
  <si>
    <t>We thank Angelika Brandt, Wolf Arntz and Katrin Linse for provision of samples, Huw Griffiths for aiding analysis, and Claus-Dieter Hillenbrand for discussion leading to an improved manuscript. We are also very grateful to Mike Tarbecki for rock-saw work to cut colony-bearing areas of rock off large boulders. Finally, we would like to thank Julian Gutt and an anonymous referee for very constructive comments leading to a much improved manuscript. This study was completed thanks to the financial support to one of us (P.K.) from the Polish Ministry of Science and Higher Education (539/N-CAML/2009/0).</t>
  </si>
  <si>
    <t>0305-0270</t>
  </si>
  <si>
    <t>J BIOGEOGR</t>
  </si>
  <si>
    <t>J. Biogeogr.</t>
  </si>
  <si>
    <t>10.1111/j.1365-2699.2010.02320.x</t>
  </si>
  <si>
    <t>Ecology; Geography, Physical</t>
  </si>
  <si>
    <t>639ND</t>
  </si>
  <si>
    <t>WOS:000280980600003</t>
  </si>
  <si>
    <t>Jacobs, SS; Giulivi, CF</t>
  </si>
  <si>
    <t>Jacobs, Stanley S.; Giulivi, Claudia F.</t>
  </si>
  <si>
    <t>Large Multidecadal Salinity Trends near the Pacific-Antarctic Continental Margin</t>
  </si>
  <si>
    <t>BOTTOM WATER PRODUCTION; SOUTHERN ANNULAR MODE; ROSS-SEA; ICE; VARIABILITY; CIRCULATION; OCEAN; SHELF; MASSES; LAND</t>
  </si>
  <si>
    <t>Ocean temperature and salinity measurements on and near the Antarctic continental shelf in the southwest Pacific sector are evaluated for evidence of temporal change. Shelf water in the southwest Ross Sea has declined in salinity by 0.03 decade(-1) from 1958 to 2008, while its temperatures have increased in proportion to the influence of salinity on the sea surface freezing point. Modified deep-water intrusions that reach the central Ross Ice Shelf have freshened at a similar rate and cooled by similar to 0.5 degrees C since the late 1970s. Salinity has decreased by 0.08 decade(-1) in the westward coastal and slope front currents, consistent with increased melting of continental ice upstream in the Amundsen Sea. Overturning of those near-surface waters during winter sea ice formation and mixing across the slope front is sufficient to account for the 5-decade shelf water salinity change. A strong correlation between the freshening and change in the southern annular mode index suggests a link with the large-scale atmospheric circulation. Salinity has decreased by similar to 0.01 decade(-1) in bottom and lower deep waters north of the continental slope between 140E degrees and 180 degrees. Accompanying abyssal temperature changes are minor and variability is high, but density has declined along with salinity. Continued increases in water column stratification will modify the mode and formation rate as well as the properties of bottom and deep waters produced in this region.</t>
  </si>
  <si>
    <t>[Jacobs, Stanley S.; Giulivi, Claudia F.] Columbia Univ, Lamont Doherty Earth Observ, Palisades, NY 10964 USA</t>
  </si>
  <si>
    <t>Columbia University</t>
  </si>
  <si>
    <t>Jacobs, SS (corresponding author), Columbia Univ, Lamont Doherty Earth Observ, Palisades, NY 10964 USA.</t>
  </si>
  <si>
    <t>sjacobs@ldeo.columbia.edu</t>
  </si>
  <si>
    <t>NASA; NOAA; NSF [NNG05GN99G, NA08OAR4210912, ANT-06-32282]; [ANT-04-40823]; [04-40775]; [07-41510]</t>
  </si>
  <si>
    <t>NASA(National Aeronautics &amp; Space Administration (NASA)); NOAA(National Oceanic Atmospheric Admin (NOAA) - USA); NSF(National Science Foundation (NSF)); ; ;</t>
  </si>
  <si>
    <t>This work results from the efforts of many individuals who have assisted over many years in data acquisition, processing, and analysis. Several colleagues and anonymous reviewers made helpful comments on an earlier version of this paper. The work has been supported by grants from NASA, NOAA, and NSF, most recently NNG05GN99G, NA08OAR4210912 and ANT-06-32282, plus observations provided by ANT-04-40823, 04-40775, and 07-41510.</t>
  </si>
  <si>
    <t>10.1175/2010JCLI3284.1</t>
  </si>
  <si>
    <t>647YB</t>
  </si>
  <si>
    <t>WOS:000281655600004</t>
  </si>
  <si>
    <t>Purdie, H; Bertler, N; Mackintosh, A; Baker, J; Rhodes, R</t>
  </si>
  <si>
    <t>Purdie, Heather; Bertler, Nancy; Mackintosh, Andrew; Baker, Joel; Rhodes, Rachael</t>
  </si>
  <si>
    <t>Isotopic and Elemental Changes in Winter Snow Accumulation on Glaciers in the Southern Alps of New Zealand</t>
  </si>
  <si>
    <t>PENNY ICE CAP; DEUTERIUM-EXCESS; STABLE-ISOTOPE; BAFFIN-ISLAND; TIME-SERIES; CORE; PRECIPITATION; TEMPERATURE; RECORD; TRAJECTORIES</t>
  </si>
  <si>
    <t>The authors present stable water isotope and trace element data for fresh winter snow from two temperate maritime glaciers located on opposite sides of the New Zealand Southern Alps. The isotopes delta O-18 and delta D were more depleted at the eastern Tasman Glacier site because of prevailing westerly flow and preferential rainout of heavy isotopes as air masses crossed the Alps. The deuterium excess provided some indication of moisture provenance, with the Tasman Sea contributing similar to 70% of the moisture received at Franz Josef and Tasman Glaciers. This source signal was also evident in trace elements, with a stronger marine signal (Na, Mg, and Sr) associated with snow from the Tasman Sea and larger concentrations of terrestrial species (Pb, V, and Zr) in air masses from the Southern and Pacific Oceans. Although postdepositional modification of signals was detected, the results indicate that there is exciting potential to learn more about climate trends and moisture source pathways and to learn from geochemical signals contained in snow and ice in the New Zealand region.</t>
  </si>
  <si>
    <t>[Purdie, Heather] Univ Canterbury, Dept Geog, Christchurch 1, New Zealand; [Purdie, Heather; Bertler, Nancy; Mackintosh, Andrew; Rhodes, Rachael] Victoria Univ Wellington, Antarctic Res Ctr, Wellington, New Zealand; [Purdie, Heather; Mackintosh, Andrew; Baker, Joel] Victoria Univ Wellington, Sch Geog Environm &amp; Earth Sci, Wellington, New Zealand; [Bertler, Nancy; Rhodes, Rachael] GNS Sci, New Zealand Ice Core Res Lab, Lower Hutt, New Zealand</t>
  </si>
  <si>
    <t>University of Canterbury; Victoria University Wellington; Victoria University Wellington; GNS Science - New Zealand</t>
  </si>
  <si>
    <t>Purdie, H (corresponding author), Heather Purdie, POB 136,12 Cass Cres, Twizel 7901, New Zealand.</t>
  </si>
  <si>
    <t>heather.purdie@gmail.com</t>
  </si>
  <si>
    <t>Bertler, Nancy A N/F-3967-2011; Baker, Joel A/A-3477-2008</t>
  </si>
  <si>
    <t>Mackintosh, Andrew/0000-0002-6430-4711; Purdie, Heather/0000-0002-2723-6908; Baker, Joel/0000-0001-6371-5060; Bertler, Nancy/0000-0001-6028-4891; Rhodes, Rachael/0000-0001-7511-1969</t>
  </si>
  <si>
    <t>Victoria University; Victoria University science faculty, and School of Geography, Environment and Earth Sciences; University of Canterbury Geography Department; New Zealand Mountain Safety Council; New Zealand Alpine Club; Comer Science and Education Foundation; Foundation for Research, Science and Technology by Victoria University; GNS [VICX0704, CO5X0202]</t>
  </si>
  <si>
    <t>Victoria University; Victoria University science faculty, and School of Geography, Environment and Earth Sciences; University of Canterbury Geography Department; New Zealand Mountain Safety Council; New Zealand Alpine Club; Comer Science and Education Foundation; Foundation for Research, Science and Technology by Victoria University; GNS</t>
  </si>
  <si>
    <t>This study was made possible by assistance from a Victoria University doctorate scholarship; Victoria University science faculty, and School of Geography, Environment and Earth Sciences; University of Canterbury Geography Department; New Zealand Mountain Safety Council; New Zealand Alpine Club; Comer Science and Education Foundation; and Foundation for Research, Science and Technology by Victoria University, and GNS Science (Grants VICX0704 and CO5X0202). Thanks to the Department of Conservation, National Institute of Water and Atmospheric Science, Mount Cook Ski Planes, and Fox Glacier Helicopter Services. Lastly, thanks to Jason Watson and Ewan Paterson for their assistance in the field and to Kate Sinclair for her assistance with interpretation.</t>
  </si>
  <si>
    <t>10.1175/2010JCLI3701.1</t>
  </si>
  <si>
    <t>660WU</t>
  </si>
  <si>
    <t>WOS:000282678000002</t>
  </si>
  <si>
    <t>Neelakanta, G; Sultana, H; Fish, D; Anderson, JF; Fikrig, E</t>
  </si>
  <si>
    <t>Neelakanta, Girish; Sultana, Hameeda; Fish, Durland; Anderson, John F.; Fikrig, Erol</t>
  </si>
  <si>
    <t>Anaplasma phagocytophilum induces Ixodes scapularis ticks to express an antifreeze glycoprotein gene that enhances their survival in the cold</t>
  </si>
  <si>
    <t>JOURNAL OF CLINICAL INVESTIGATION</t>
  </si>
  <si>
    <t>BORRELIA-BURGDORFERI; POLAR FISH; ANTARCTIC FISHES; BABESIA-MICROTI; WINTER ACTIVITY; PROTEINS; ACARI; ICE; IXODIDAE; BIOLOGY</t>
  </si>
  <si>
    <t>In the United States, Ixodes scapularis ticks overwinter in the Northeast and Upper Midwest and transmit the agent of human granulocytic anaplasmosis, Anaplasma phagocytophilum, among other pathogens. We now show that the presence of A. phagocytophilum in I. scapularis ticks increases their ability to survive in the cold. We identified an I. scapularis antifreeze glycoprotein, designated IAFGP, and demonstrated via RNAi knockdown studies the importance of IAFGP for the survival of I. scapularis ticks in a cold environment. Transfection studies also show that IAFGP increased the viability of yeast cells subjected to cold temperature. Remarkably, A. phagocytophilum induced the expression of iafgp, thereby increasing the cold tolerance and survival of I. scapularis. These data define a molecular basis for symbiosis between a human pathogenic bacterium and its arthropod vector and delineate what we believe to be a new pathway that may be targeted to alter the life cycle of this microbe and its invertebrate host.</t>
  </si>
  <si>
    <t>[Neelakanta, Girish; Sultana, Hameeda; Fikrig, Erol] Yale Univ, Sch Med, Infect Dis Sect, Dept Internal Med, New Haven, CT 06520 USA; [Sultana, Hameeda; Fikrig, Erol] Howard Hughes Med Inst, Chevy Chase, MD USA; [Fish, Durland] Yale Univ, Dept Epidemiol &amp; Publ Hlth, Sch Med, New Haven, CT 06520 USA; [Anderson, John F.] Connecticut Agr Expt Stn, Dept Entomol, New Haven, CT 06504 USA</t>
  </si>
  <si>
    <t>Yale University; Howard Hughes Medical Institute; Yale University; Connecticut Agricultural Experiment Station</t>
  </si>
  <si>
    <t>Fikrig, E (corresponding author), Yale Univ, Sch Med, Infect Dis Sect, Dept Internal Med, Room 169,300 Cedar St, New Haven, CT 06520 USA.</t>
  </si>
  <si>
    <t>erol.fikrig@yale.edu</t>
  </si>
  <si>
    <t>USDA [58-0790-6-139]; NIH [41440, 32947]; Arthritis Foundation</t>
  </si>
  <si>
    <t>USDA(United States Department of Agriculture (USDA)); NIH(United States Department of Health &amp; Human ServicesNational Institutes of Health (NIH) - USA); Arthritis Foundation</t>
  </si>
  <si>
    <t>We thank A. Shaw for helpful discussions and D. Beck, K. DePonte, and L. Rollend for technical assistance. This work was supported by USDA grant 58-0790-6-139 and NIH grants 41440 and 32947. G. Neelakanta is a recipient of a postdoctoral fellowship from the Arthritis Foundation. E. Fikrig is an investigator of the Howard Hughes Medical Institute.</t>
  </si>
  <si>
    <t>AMER SOC CLINICAL INVESTIGATION INC</t>
  </si>
  <si>
    <t>ANN ARBOR</t>
  </si>
  <si>
    <t>2015 MANCHESTER RD, ANN ARBOR, MI 48104 USA</t>
  </si>
  <si>
    <t>0021-9738</t>
  </si>
  <si>
    <t>1558-8238</t>
  </si>
  <si>
    <t>J CLIN INVEST</t>
  </si>
  <si>
    <t>J. Clin. Invest.</t>
  </si>
  <si>
    <t>10.1172/JCI42868</t>
  </si>
  <si>
    <t>Medicine, Research &amp; Experimental</t>
  </si>
  <si>
    <t>Research &amp; Experimental Medicine</t>
  </si>
  <si>
    <t>645LJ</t>
  </si>
  <si>
    <t>WOS:000281458800024</t>
  </si>
  <si>
    <t>Hoffman, JI; Hanson, N; Forcada, J; Trathan, PN; Amos, W</t>
  </si>
  <si>
    <t>Hoffman, Joseph I.; Hanson, Nora; Forcada, Jaume; Trathan, Phil N.; Amos, William</t>
  </si>
  <si>
    <t>Getting Long in the Tooth: A Strong Positive Correlation between Canine Size and Heterozygosity in Antarctic Fur Seals Arctocephalus gazella</t>
  </si>
  <si>
    <t>body size; canine tooth; heterozygosity-fitness correlation; marine mammal; otariid; pinniped; skull size</t>
  </si>
  <si>
    <t>PARENTAL RELATEDNESS; BODY-SIZE; MICROSATELLITE VARIATION; REPRODUCTIVE SUCCESS; CALLORHINUS-URSINUS; NATURAL-POPULATIONS; HALICHOERUS-GRYPUS; GENOTYPING ERRORS; AGE-DETERMINATION; PHOCA-VITULINA</t>
  </si>
  <si>
    <t>Most studies of heterozygosity-fitness correlations (HFCs) in natural populations relate to fitness traits expressed early in life, whereas traits that are often more difficult to measure such as longevity and adult body size remain elusive. Teeth provide a window on an individual's life history, allowing the reliable estimation of both age and body size. Consequently, we collected paired upper canine teeth and tissue samples from 84 adult male Antarctic fur seals Arctocephalus gazella that died of natural causes at Bird Island, South Georgia. Tooth size is a good predictor of skull and body size both within and across taxa, and we similarly find a strong relationship with skull size in our species. In turn, tooth size is itself predicted strongly by genetic heterozygosity estimated using 9 microsatellites. With only 9 loci, the exact mechanisms involved remain unclear, although the observed pattern appears largely attributable to a small subset of loci, suggesting that associative overdominance rather than inbreeding depression provides the proximate mechanism. In addition, locating these markers in the dog genome reveals proximity to genes involved with fat metabolism and growth. Our study illustrates how canine teeth, and potentially other structures such as tympano-periotic bone, waxy inner earplugs, or otoliths, may be used to explore links between genetic variation and important life-history traits in free-ranging vertebrate populations.</t>
  </si>
  <si>
    <t>[Hoffman, Joseph I.; Amos, William] Univ Cambridge, Dept Zool, Cambridge CB2 3EJ, England; [Hanson, Nora] Univ St Andrews, Sea Mammal Res Unit, St Andrews, Fife, Scotland; [Hanson, Nora] Univ St Andrews, Scottish Oceans Inst, St Andrews, Fife, Scotland; [Forcada, Jaume; Trathan, Phil N.] British Antarctic Survey, NERC, Cambridge CB3 0ET, England</t>
  </si>
  <si>
    <t>University of Cambridge; University of St Andrews; University of St Andrews; UK Research &amp; Innovation (UKRI); Natural Environment Research Council (NERC); NERC British Antarctic Survey</t>
  </si>
  <si>
    <t>Hoffman, JI (corresponding author), Univ Cambridge, Dept Zool, Downing St, Cambridge CB2 3EJ, England.</t>
  </si>
  <si>
    <t>jih24@cam.ac.uk</t>
  </si>
  <si>
    <t>Forcada, Jaume/GYU-0677-2022; Hoffman, Joseph/K-7725-2012</t>
  </si>
  <si>
    <t>Hoffman, Joseph/0000-0001-5895-8949; Hanson, Nora/0000-0002-0017-8963</t>
  </si>
  <si>
    <t>Natural Environment Research Council [bas0100025, smru10001] Funding Source: researchfish; NERC [bas0100025] Funding Source: UKRI</t>
  </si>
  <si>
    <t>10.1093/jhered/esq045</t>
  </si>
  <si>
    <t>630ZS</t>
  </si>
  <si>
    <t>WOS:000280316600001</t>
  </si>
  <si>
    <t>Hoffman, JI; Forcada, J; Amos, W</t>
  </si>
  <si>
    <t>Hoffman, Joseph I.; Forcada, Jaume; Amos, William</t>
  </si>
  <si>
    <t>Exploring the Mechanisms Underlying a Heterozygosity-Fitness Correlation for Canine Size in the Antarctic Fur Seal Arctocephalus gazella</t>
  </si>
  <si>
    <t>associative overdominance; cross-amplification; heterozygosity-fitness correlation; local effect; otariid; pinniped</t>
  </si>
  <si>
    <t>ZALOPHUS-CALIFORNIANUS-WOLLEBAEKI; GENOME-WIDE HETEROZYGOSITY; MICROSATELLITE LOCI; INBREEDING DEPRESSION; PHOCA-VITULINA; MULTILOCUS HETEROZYGOSITY; REPRODUCTIVE SUCCESS; PARENTAL RELATEDNESS; GENOTYPING ERRORS; MARKERS</t>
  </si>
  <si>
    <t>Although heterozygosity-fitness correlations (HFCs) are widely reported in the literature, most studies use too few markers to allow the proximate mechanisms to be convincingly resolved. Two competing hypotheses have been proposed: the general effect hypothesis, in which marker heterozygosity correlates with genome-wide heterozygosity and hence the inbreeding coefficient f, and the local effect hypothesis, in which one or more of the markers by chance exhibit associative overdominance. To explore the relative contributions of general and local effects in a free-ranging marine mammal population, we revisited a strong HFC found using 9 microsatellite loci for canine tooth size in 84 male Antarctic fur seals Arctocephalus gazella (Hoffman JI, Hanson N, Forcada J, Trathan PN, Amos W. 2010. Getting long in the tooth: a strong positive correlation between canine size and heterozygosity in the Antarctic fur seal Arctocephalus gazella. J Hered.). Increasing the number of markers to 76, we find that heterozygosity is uncorrelated across loci, indicating that inbred individuals are rare or absent. Similarly, while the HFC based on overall heterozygosity is lost, stochastic simulations indicate that when an HFC is due to inbreeding depression, increasing marker number invariably strengthens the HFC. Together these observations argue strongly that the original HFC was not due to inbreeding depression. In contrast, a subset of markers show individually significant effects, and these are nonrandomly distributed across the marker panel, being preferentially associated with markers cloned from other species. Using basic alignment search tool searches, we were able to locate 94% of loci to unique locations in the dog genome, but the local genes are functionally diverse, and the majority cannot be linked directly to growth. Our results suggest that inbreeding depression contributes little if at all to the relationship between heterozygosity and tooth size but that instead the primary mechanism involves associative overdominance. These findings contribute to a growing body of evidence suggesting that general effects are likely to be uncommon in natural populations.</t>
  </si>
  <si>
    <t>[Hoffman, Joseph I.; Amos, William] Univ Cambridge, Dept Zool, Cambridge CB2 3EJ, England; [Forcada, Jaume] British Antarctic Survey, NERC, Cambridge CB3 0ET, England</t>
  </si>
  <si>
    <t>University of Cambridge; UK Research &amp; Innovation (UKRI); Natural Environment Research Council (NERC); NERC British Antarctic Survey</t>
  </si>
  <si>
    <t>Hoffman, Joseph/0000-0001-5895-8949</t>
  </si>
  <si>
    <t>Natural Environment Research Council British Antarctic Survey Strategic Alliance Fellowship; Natural Environment Research Council BAS Strategic Alliance Fellowship; NERC [bas0100025] Funding Source: UKRI; Natural Environment Research Council [bas0100025] Funding Source: researchfish</t>
  </si>
  <si>
    <t>Natural Environment Research Council British Antarctic Survey Strategic Alliance Fellowship; Natural Environment Research Council BAS Strategic Alliance Fellowship; NERC(UK Research &amp; Innovation (UKRI)Natural Environment Research Council (NERC)); Natural Environment Research Council(UK Research &amp; Innovation (UKRI)Natural Environment Research Council (NERC))</t>
  </si>
  <si>
    <t>Natural Environment Research Council British Antarctic Survey Strategic Alliance Fellowship awarded to J.I.H.; We are grateful to D. Briggs, M. Jessop, K. Reid, R. Taylor, T. Walker, and N. Warren for tissue sampling and logistical support. This work contributes to the British Antarctic Survey (BAS) Dynamics and Management of Ocean Ecosystems science programme. J.I.H. currently holds a Natural Environment Research Council BAS Strategic Alliance Fellowship. Fieldwork was approved by BAS and the University of Cambridge Animal Ethics Board. Samples were collected and retained under permits issued by the Department for Environment, Food and Rural Affairs and in accordance with the Convention on International Trade in Endangered Species of Wild Fauna and Flora.</t>
  </si>
  <si>
    <t>10.1093/jhered/esq046</t>
  </si>
  <si>
    <t>WOS:000280316600002</t>
  </si>
  <si>
    <t>Ortega-Retuerta, E; Siegel, DA; Nelson, NB; Duarte, CM; Reche, I</t>
  </si>
  <si>
    <t>Ortega-Retuerta, E.; Siegel, D. A.; Nelson, N. B.; Duarte, C. M.; Reche, I.</t>
  </si>
  <si>
    <t>Observations of chromophoric dissolved and detrital organic matter distribution using remote sensing in the Southern Ocean: Validation, dynamics and regulation</t>
  </si>
  <si>
    <t>JOURNAL OF MARINE SYSTEMS</t>
  </si>
  <si>
    <t>Chromophoric dissolved organic matter; Detrital absorption; Ocean color; Remote sensing; Antarctic peninsula; Southern ocean</t>
  </si>
  <si>
    <t>BIOOPTICAL PROPERTIES; SEA-ICE; MARINE; COLOR; IMPACT; MODEL; PHYTOPLANKTON; ECOSYSTEMS; WEST; COEFFICIENTS</t>
  </si>
  <si>
    <t>Chromophoric dissolved and detrital organic matter (CDM), the optically active fraction of organic matter, affects significantly the underwater light environment and interferes with ocean color algorithms. Here, we studied the distribution and dynamics of CDM in waters around the Antarctic Peninsula, Southern Ocean, using remotely sensed data in austral summers from 1997 to 2005. First, we validated the global semi-analytic algorithm Garver-Siegel-Maritorena (GSM) by comparing simultaneous field and satellite measurements of CDM. These comparisons confirmed the validity of CDM satellite measurements obtained by the GSM algorithm (r(2) = 0.74, slope value = 1.01 +/- 0.16, n = 15). We found a higher (20%) contribution of detrital particles to the CDM signal compared to other studies in lower latitudes (average 12%). Patches of higher CDM were observed in coastal areas and zones with recent ice melting. The seasonal variability of CDM, with maximum values at the end of austral summer, appeared to be ultimately controlled by the dynamics of ice, both directly and indirectly through the growth of phytoplankton and other organisms which are potential sources of CDM. At an interannual timescale, CDM dynamics may be driven by climatic forcing such as the Antarctic Oscillation. (C)2010 Elsevier B.V. All rights reserved,</t>
  </si>
  <si>
    <t>[Ortega-Retuerta, E.] Univ Paris 06, CNRS, UMR 7621, Observ Oceanol,LOMIC, F-66651 Banyuls Sur Mer, France; [Ortega-Retuerta, E.; Reche, I.] Univ Granada, Fac Ciencias, Dept Ecol, E-18071 Granada, Spain; [Siegel, D. A.; Nelson, N. B.] Univ Calif Santa Barbara, Inst Computat Earth Syst Sci, Santa Barbara, CA 93106 USA; [Duarte, C. M.] Inst Mediterraneo Estudios Avanzados, IMEDEA CSIC UIB, Dept Global Change Res, Esporles 07190, Spain; [Reche, I.] Univ Granada, Inst Agua, E-18071 Granada, Spain</t>
  </si>
  <si>
    <t>Centre National de la Recherche Scientifique (CNRS); CNRS - National Institute for Earth Sciences &amp; Astronomy (INSU); Sorbonne Universite; University of Granada; University of California System; University of California Santa Barbara; Universitat de les Illes Balears; Consejo Superior de Investigaciones Cientificas (CSIC); ATTITUS Educacao; University of Granada</t>
  </si>
  <si>
    <t>Ortega-Retuerta, E (corresponding author), Univ Paris 06, CNRS, UMR 7621, Observ Oceanol,LOMIC, F-66651 Banyuls Sur Mer, France.</t>
  </si>
  <si>
    <t>ortega@obs-banyuls.fr</t>
  </si>
  <si>
    <t>Duarte Quesada, Carlos Manuel/ABD-6208-2021; Reche, Isabel/K-7120-2014; Nelson, Norman B/B-7343-2014; Duarte, Carlos M/A-7670-2013; Siegel, David A/C-5587-2008; Ortega-Retuerta, Eva/I-2432-2015</t>
  </si>
  <si>
    <t>Reche, Isabel/0000-0003-2908-1724; Duarte, Carlos M/0000-0002-1213-1361; Ortega-Retuerta, Eva/0000-0003-0780-8347; Siegel, David/0000-0003-1674-3055</t>
  </si>
  <si>
    <t>Spanish Ministry of Science and Technology [REN2002-04165-CO3-02, CGL2005-00076]; Spanish Ministry of Science and Education; University of Granada</t>
  </si>
  <si>
    <t>Spanish Ministry of Science and Technology(Spanish Government); Spanish Ministry of Science and Education(Spanish Government); University of Granada</t>
  </si>
  <si>
    <t>We gratefully thank K.W. Patterson and the SeaBass database, particularly B.G. Mitchell, PI of AMLR cruises, for CDOM and detrital absorption data, and D. Thomas for CDOM data on ice. AAO Index data were obtained from NOAA/National Weather Service. We also acknowledge S. Maritorena and E. Fields for assistance in data and image processing, and the responsible editor and two anonymous referees for insightful comments in a previous version of this MS. This work was funded by the Spanish Ministry of Science and Technology (ICEPOS, REN2002-04165-CO3-02 to CMD and DISPAR, CGL2005-00076 to IR) E. O.-R. was supported by fellowships from the Spanish Ministry of Science and Education and the University of Granada.</t>
  </si>
  <si>
    <t>0924-7963</t>
  </si>
  <si>
    <t>1879-1573</t>
  </si>
  <si>
    <t>J MARINE SYST</t>
  </si>
  <si>
    <t>J. Mar. Syst.</t>
  </si>
  <si>
    <t>10.1016/j.jmarsys.2010.06.004</t>
  </si>
  <si>
    <t>Geosciences, Multidisciplinary; Marine &amp; Freshwater Biology; Oceanography</t>
  </si>
  <si>
    <t>Geology; Marine &amp; Freshwater Biology; Oceanography</t>
  </si>
  <si>
    <t>647LT</t>
  </si>
  <si>
    <t>WOS:000281620700011</t>
  </si>
  <si>
    <t>Billany, W; Swart, S; Hermes, J; Reason, CJC</t>
  </si>
  <si>
    <t>Billany, W.; Swart, S.; Hermes, J.; Reason, C. J. C.</t>
  </si>
  <si>
    <t>Variability of the Southern Ocean fronts at the Greenwich Meridian</t>
  </si>
  <si>
    <t>Fronts; Southern Ocean; Variability</t>
  </si>
  <si>
    <t>ANTARCTIC CIRCUMPOLAR CURRENT; TRENDS; CIRCULATION; ATMOSPHERE; MODE; ICE</t>
  </si>
  <si>
    <t>Maps of Absolute Dynamic Topography (MADT) at the Greenwich Meridian are used to identify the locations and gradients of the various fronts in the Southern Ocean (Subtropical Front, Sub-Antarctic Front, Antarctic Polar Front, Southern ACC Front, and Southern Boundary of the ACC). It is found that the frontal gradients in Sea Surface Height (SSH) used to determine these fronts are consistent with those determined from hydrographic data. A strong relationship was found to exist between the position of all the fronts and the gradients of SSH except for the Southern Boundary (SBdy) front. Substantial seasonality and interannual variability in the frontal positions is found. All the fronts except the Antarctic Polar Front (APF) show a poleward tendency in position over the last 15-years. Using the MADT-derived frontal positions, the meridional zones between the fronts are examined and the mean zonal sea surface temperature (SST) is used to consider the surface variability in these frontal zones. In addition to the strong seasonality and interannual variability in the SST of these frontal zones, there is also a tendency towards warming (cooling) of the Sub-Antarctic and Antarctic Polar Zones (Southern Boundary Zone). The tendencies in the frontal positions are consistent with a warming in the Southern Ocean except near the APF and the Southern ACC Front (SACCF). (C) 2010 Elsevier B.V. All rights reserved.</t>
  </si>
  <si>
    <t>[Billany, W.; Swart, S.; Hermes, J.; Reason, C. J. C.] Univ Cape Town, Dept Oceanog, ZA-7701 Rondebosch, South Africa</t>
  </si>
  <si>
    <t>University of Cape Town</t>
  </si>
  <si>
    <t>Billany, W (corresponding author), Univ Cape Town, Dept Oceanog, ZA-7701 Rondebosch, South Africa.</t>
  </si>
  <si>
    <t>Chris.Reason@uct.ac.za</t>
  </si>
  <si>
    <t>; Swart, Sebastiaan/U-5498-2017</t>
  </si>
  <si>
    <t>Hermes, Juliet/0000-0001-7858-514X; Swart, Sebastiaan/0000-0002-2251-8826</t>
  </si>
  <si>
    <t>National Oceanographic Partnership Program (NOPP); NASA; CHPC, Cape Town, South Africa</t>
  </si>
  <si>
    <t>National Oceanographic Partnership Program (NOPP); NASA(National Aeronautics &amp; Space Administration (NASA)); CHPC, Cape Town, South Africa</t>
  </si>
  <si>
    <t>The Ssalto/Duacs MADT data set is distributed by Aviso, with support from CNES. MOI SST data are produced by Remote Sensing Systems and sponsored by National Oceanographic Partnership Program (NOPP), the NASA Earth Science Physical Oceanography Program, and the NASA REASON DISCOVER Project. Data are available at www.remss.com. We thank G. Marshall at the British Antarctic Survey and K. Wolter at NOAA for their provision of the SAM index (http://www.antarctica.ac.uk/met/gjma/sam.html) and the MEI index (http://www.cdc.noaa.gov/people/klaus.wolter/MEI/) respectively. W. Billany especially thanks S. Swart for support in this project and technical support from fellow postgraduate students at UCT, noticeably Neil Hart and Natalie Burls. Funding for this study from the CHPC, Cape Town, South Africa is acknowledged. The work presented stems from the taught MSc research project of the first author.</t>
  </si>
  <si>
    <t>10.1016/j.jmarsys.2010.06.005</t>
  </si>
  <si>
    <t>WOS:000281620700012</t>
  </si>
  <si>
    <t>Martin, MT; Wall, DH; Peat, SM; Adhikari, BN; Adams, BJ</t>
  </si>
  <si>
    <t>Martin, Mac T.; Wall, D. H.; Peat, S. M.; Adhikari, B. N.; Adams, B. J.</t>
  </si>
  <si>
    <t>RESPONSE OF SCOTTNEMA LINDSAYAE TO ANTARCTIC GLACIAL CYCLES</t>
  </si>
  <si>
    <t>JOURNAL OF NEMATOLOGY</t>
  </si>
  <si>
    <t>[Martin, Mac T.; Peat, S. M.; Adhikari, B. N.; Adams, B. J.] Brigham Young Univ, Dept Biol, Provo, UT 84604 USA; [Martin, Mac T.; Peat, S. M.; Adhikari, B. N.; Adams, B. J.] Brigham Young Univ, Evolutionary Ecol Labs, Provo, UT 84604 USA; [Wall, D. H.] Colorado State Univ, Dept Biol, Ft Collins, CO 80523 USA; [Wall, D. H.] Colorado State Univ, Nat Resource Ecol Lab, Ft Collins, CO 80523 USA</t>
  </si>
  <si>
    <t>Brigham Young University; Brigham Young University; Colorado State University; Colorado State University</t>
  </si>
  <si>
    <t>Adhikari, Bishwo N/E-8144-2013; Wall, Diana H/F-5491-2011; Adams, Byron/C-3808-2009</t>
  </si>
  <si>
    <t>Adams, Byron/0000-0002-7815-3352; Adhikari, Bishwo/0000-0003-4840-9609</t>
  </si>
  <si>
    <t>SOC NEMATOLOGISTS</t>
  </si>
  <si>
    <t>MARCELINE</t>
  </si>
  <si>
    <t>PO BOX 311, MARCELINE, MO 64658 USA</t>
  </si>
  <si>
    <t>0022-300X</t>
  </si>
  <si>
    <t>J NEMATOL</t>
  </si>
  <si>
    <t>J. Nematol.</t>
  </si>
  <si>
    <t>792BL</t>
  </si>
  <si>
    <t>WOS:000292715400079</t>
  </si>
  <si>
    <t>Rousseau, S; Kunze, E; Dewey, R; Bartlett, K; Dower, J</t>
  </si>
  <si>
    <t>Rousseau, Shani; Kunze, Eric; Dewey, Richard; Bartlett, Kevin; Dower, John</t>
  </si>
  <si>
    <t>On Turbulence Production by Swimming Marine Organisms in the Open Ocean and Coastal Waters</t>
  </si>
  <si>
    <t>EUPHAUSIID EUPHAUSIA-PACIFICA; DIEL VERTICAL MIGRATION; SURFACE MIXED-LAYER; SAANICH INLET; ANTARCTIC KRILL; LIFE-HISTORIES; ZOOPLANKTON; DISSIPATION; FISH; TEMPERATURE</t>
  </si>
  <si>
    <t>Microstructure and acoustic profile time series were collected near Ocean Station P in the eastern subarctic North Pacific and in Saanich Inlet at the south end of Vancouver Island, British Columbia, Canada, to examine production of turbulent dissipation by swimming marine organisms. At Ocean Station P, although a number of zooplankton species are large enough to generate turbulence with Reynolds numbers Re. 1000, biomass densities are typically less than 10(3) individuals per cubic meter (&lt;0.01% by volume), and turbulent kinetic energy dissipation rates epsilon were better correlated with 16-m vertical shear than acoustic backscatter layers. In Saanich Inlet, where krill densities are up to 10(4) individuals per cubic meter (0.1% by volume), no dramatic elevation of dissipation rates epsilon was associated with dusk and dawn vertical migrations of the acoustic backscatter layer. Dissipation rates are a factor of 2 higher [ = 1.4 x 10 (8) W kg (1), corresponding to buoyancy Re = /(nu N-2) similar to 140] in acoustic backscatter layers than in acoustically quiet waters, regardless of whether they are vertically migrating. The O(1 m) thick turbulence patches have vertical wavenumber spectra for microscale shear commensurate with the Nasmyth model turbulence spectrum. However, the turbulence bursts of O(10(-5) W kg(-1)) proposed to occur in such dense swarms appear to be rare. Thus far, intense turbulent bursts have been found infrequently, even in very dense aggregations O(10(4) individuals per cubic meter) characteristic of coastal and high-latitude environs. Based on sampling to date, this corresponds to a frequency of occurrence of less than 4%, suggesting that turbulence production by the marine biosphere is not efficient.</t>
  </si>
  <si>
    <t>[Kunze, Eric] Univ Victoria, SEOS, STN CSC, Victoria, BC V8W 3P6, Canada</t>
  </si>
  <si>
    <t>University of Victoria</t>
  </si>
  <si>
    <t>Kunze, E (corresponding author), Univ Victoria, SEOS, STN CSC, POB 3055, Victoria, BC V8W 3P6, Canada.</t>
  </si>
  <si>
    <t>kunze@uvic.ca</t>
  </si>
  <si>
    <t>NSERC; ONR [N0000140810700]</t>
  </si>
  <si>
    <t>NSERC(Natural Sciences and Engineering Research Council of Canada (NSERC)); ONR(Office of Naval Research)</t>
  </si>
  <si>
    <t>We thank the captains and crews of the MSV John Strickland and CCGS John P. Tully for their assistance. Chris MacKay and Ian Beveridge played critical roles in the data collection, Moira Galbraith analyzed the OSP zooplankton samples, Doug Yelland instructed us in operation of the Tully acoustics, and Marie Robert served as chief scientist. MATLAB routines were used to process data from the EK60 were developed by Richard Towler (NOAA Alaska Fisheries Science Center 2009, personal communication), ADCP by Richard Dewey (University of Victoria 2009, personal communication), and VMP by Kevin Bartlett (University of Victoria 2009, personal communication). Ann Gargett and an anonymous reviewer are thanked for their useful comments on the manuscript. The VENUS observatory program kindly loaned us the ZAP bioacoustic profiler. The Rockland Scientific microstructure instrumentation was purchased with an NSERC CFI grant. Additional support for this work came from NSERC Discovery Grants, an NSERC Shiptime Grant, and ONR Grant N0000140810700.</t>
  </si>
  <si>
    <t>1520-0485</t>
  </si>
  <si>
    <t>10.1175/2010JPO4415.1</t>
  </si>
  <si>
    <t>654VK</t>
  </si>
  <si>
    <t>WOS:000282198900011</t>
  </si>
  <si>
    <t>Narcisi, B; Petit, JR; Chappellaz, J</t>
  </si>
  <si>
    <t>Narcisi, Biancamaria; Petit, Jean Robert; Chappellaz, Jerome</t>
  </si>
  <si>
    <t>A 70 ka record of explosive eruptions from the TALDICE ice core (Talos Dome, East Antarctic plateau)</t>
  </si>
  <si>
    <t>Eastern Antarctic plateau; major element geochemistry; polar ice cores; tephra layers; volcanic stratigraphy</t>
  </si>
  <si>
    <t>NORTHERN VICTORIA LAND; LAST GLACIAL MAXIMUM; VOLCANIC-ERUPTION; TEPHRA LAYERS; MARINE; TEPHROCHRONOLOGY; VARIABILITY; SUMMIT; DUST</t>
  </si>
  <si>
    <t>The new Antarctic TALDICE ice core (72 degrees 49' S, 159 degrees 11' E, 1620 m depth), containing abundant primary tephras, provides the opportunity to elucidate the late Quaternary volcanic history of the south polar region, as well as to broaden the East Antarctic tephrostratigraphic framework. Here grain size and glass compositional data for representative tephra layers from the last 70 ka core section are used for source identification. Results point to origin of layers from centres of the Melbourne Volcanic Province (McMurdo Volcanic Group), located similar to 250 km from the coring site. Occurrence of tephra layers within the ice core record suggests that explosive activity in the identified source was not constant over the considered period, with a minimum of activity between 20 and 35 ka, and increased activity back to 65 ka. In addition to palaeovolcanic implications, the TALDICE tephra layers offer prospects for firm correlations between diverse widely separated palaeoarchives and for accurate dating of the Antarctic climatic record. Copyright (C) 2010 John Wiley &amp; Sons, Ltd.</t>
  </si>
  <si>
    <t>[Narcisi, Biancamaria] ENEA, CR Casaccia, I-00123 Rome, Italy; [Petit, Jean Robert; Chappellaz, Jerome] CNRS UJF, LGGE, F-38402 St Martin Dheres, France</t>
  </si>
  <si>
    <t>Italian National Agency New Technical Energy &amp; Sustainable Economics Development; Centre National de la Recherche Scientifique (CNRS); Communaute Universite Grenoble Alpes; Universite Grenoble Alpes (UGA)</t>
  </si>
  <si>
    <t>Narcisi, B (corresponding author), ENEA, CR Casaccia, Via Anguillarese 301, I-00123 Rome, Italy.</t>
  </si>
  <si>
    <t>biancamaria.narcisi@enea.it</t>
  </si>
  <si>
    <t>Chappellaz, Jérôme A./A-4872-2011</t>
  </si>
  <si>
    <t>10.1002/jqs.1427</t>
  </si>
  <si>
    <t>650OL</t>
  </si>
  <si>
    <t>WOS:000281858800003</t>
  </si>
  <si>
    <t>McAteer, CA; Daly, JS; Flowerdew, MJ; Whitehouse, MJ; Kirkland, CL</t>
  </si>
  <si>
    <t>McAteer, Claire A.; Daly, J. Stephen; Flowerdew, Michael J.; Whitehouse, Martin J.; Kirkland, Chris L.</t>
  </si>
  <si>
    <t>A Laurentian provenance for the Dalradian rocks of north Mayo, Ireland, and evidence for an original basement-cover contact with the underlying Annagh Gneiss Complex</t>
  </si>
  <si>
    <t>JOURNAL OF THE GEOLOGICAL SOCIETY</t>
  </si>
  <si>
    <t>PRE-CALEDONIAN BASEMENT; PRECAMBRIAN ERRIS COMPLEX; PB ZIRCON GEOCHRONOLOGY; NW COUNTY-MAYO; INISHKEA DIVISION; DETRITAL ZIRCON; MOINE SUPERGROUP; WESTERN IRELAND; TECTONIC IMPLICATIONS; SOUTHEAST LABRADOR</t>
  </si>
  <si>
    <t>Metasediments of the early Dalradian Grampian Group (Erris Group) and probable equivalents (Inishkea Division) structurally overlie Palaeoproterozoic to Neoproterozoic Annagh Gneiss Complex orthogneisses in NW Mayo, Ireland. Sm-Nd isotopic data suggest a Palaeoproterozoic source for the metasediments. K-feldspar and granitoid clasts from the Doonamo Formation, Erris Group, record U-Pb zircon ages of c. 1740 Ma and c. 980 Ma, respectively. These ages are within error of the c. 1730-1750 Ma Mullet gneisses and c. 990 Ma Grenvillian migmatitic leucosomes in the underlying Annagh Gneiss Complex. U-Pb detrital zircon data reveal that the Erris Group was deposited after c. 955 Ma, with predominant input from c. 1640, c. 1500 and c. 990 Ma interpreted Laurentian sources (Labradorian, Pinwarian and Grenvillian terranes, respectively). Limited detrital zircon data from the Inishkea Division yield similarly aged detritus and a tentative maximum depositional age of c. 1005 Ma. Correlation of both sequences with the Scottish Dalradian Grampian Group is considered valid based on detrital zircon U-Pb and whole-rock Sm-Nd data. The clast ages support the hypothesis that the Dalradian unconformably overlies the Annagh Gneiss Complex in north Mayo, whereas the detrital zircon data imply more distal Laurentian sources. Dalradian deposition is thereby tied to the margins of Laurentia.</t>
  </si>
  <si>
    <t>[McAteer, Claire A.; Daly, J. Stephen] Univ Coll Dublin, Sch Geol Sci, Dublin 4, Ireland; [Flowerdew, Michael J.] British Antarctic Survey, Cambridge CB3 0ET, England; [Whitehouse, Martin J.; Kirkland, Chris L.] Swedish Museum Nat Hist, Lab Isotope Geol, S-10405 Stockholm, Sweden</t>
  </si>
  <si>
    <t>University College Dublin; UK Research &amp; Innovation (UKRI); Natural Environment Research Council (NERC); NERC British Antarctic Survey; Swedish Museum of Natural History</t>
  </si>
  <si>
    <t>McAteer, CA (corresponding author), Univ Coll Dublin, Sch Geol Sci, Dublin 4, Ireland.</t>
  </si>
  <si>
    <t>claireamcateer@gmail.com</t>
  </si>
  <si>
    <t>Daly, J. Stephen/B-4836-2012; Whitehouse, Martin/E-1425-2013; Kirkland, Christopher/S-3305-2016</t>
  </si>
  <si>
    <t>Daly, J. Stephen/0000-0001-6390-905X; Whitehouse, Martin/0000-0003-2227-577X; Kirkland, Christopher/0000-0003-3367-8961; Flowerdew, Michael/0000-0002-9710-2593</t>
  </si>
  <si>
    <t>UCD; EU; IRCSET [SC/2002/248]; Natural Environment Research Council [bas0100026] Funding Source: researchfish; NERC [bas0100026] Funding Source: UKRI</t>
  </si>
  <si>
    <t>UCD; EU(European Union (EU)); IRCSET(Irish Research Council for Science, Engineering and Technology); Natural Environment Research Council(UK Research &amp; Innovation (UKRI)Natural Environment Research Council (NERC)); NERC(UK Research &amp; Innovation (UKRI)Natural Environment Research Council (NERC))</t>
  </si>
  <si>
    <t>Thanks go to T. Culligan, M. Murphy and P. Haughton (UCD School of Geological Sciences, University College Dublin) for thin sections, assistance with TIMS isotopic analysis and sedimentology advice, respectively. L. Ilyinsky and K. Linden are thanked for their help at the NORDSIM facility, Stockholm. We also thank N. Marsh (University of Leicester) for XRF analyses. I. Millar and B. Wade are thanked for careful and insightful reviews. This research was funded by a UCD Research Demonstratorship and an EU 'SYNTHESYS' grant awarded to C.A.M. and an IRCSET Basic Research grant SC/2002/248 awarded to J.S.D. This paper is NORDSIM Contribution 253.</t>
  </si>
  <si>
    <t>GEOLOGICAL SOC PUBL HOUSE</t>
  </si>
  <si>
    <t>BATH</t>
  </si>
  <si>
    <t>UNIT 7, BRASSMILL ENTERPRISE CENTRE, BRASSMILL LANE, BATH BA1 3JN, AVON, ENGLAND</t>
  </si>
  <si>
    <t>0016-7649</t>
  </si>
  <si>
    <t>J GEOL SOC LONDON</t>
  </si>
  <si>
    <t>J. Geol. Soc.</t>
  </si>
  <si>
    <t>10.1144/0016-76492009-147</t>
  </si>
  <si>
    <t>642FU</t>
  </si>
  <si>
    <t>WOS:000281190700016</t>
  </si>
  <si>
    <t>Nawrocki, J; Panczyk, M; Williams, IS</t>
  </si>
  <si>
    <t>Nawrocki, Jerzy; Panczyk, Magdalena; Williams, Ian S.</t>
  </si>
  <si>
    <t>Isotopic ages and palaeomagnetism of selected magmatic rocks from King George Island (Antarctic Peninsula)</t>
  </si>
  <si>
    <t>SOUTH SHETLAND ISLANDS; CARBON-DIOXIDE CONCENTRATIONS; VOLCANIC-ARC; SUBDUCTION; MARGIN; GEOCHRONOLOGY; STRATIGRAPHY; EVOLUTION; OLIGOCENE; STANDARD</t>
  </si>
  <si>
    <t>A range of mafic to intermediate extrusive and intrusive igneous rocks from the central part of King George Island were sampled for isotopic and palaeomagnetic studies. Single-grain U-Pb dating of zircon from basalts to trachytes from the upper part of the section gave Eocene ages (53.0 +/- 0.7 to 47.8 +/- 0.5 Ma), consistent with a whole-rock 40Ar-39Ar age of 52.7 +/- 0.6 Ma. These ages correspond to the first stages of the opening of the Drake Passage. A Late Cretaceous 40Ar-39Ar age (75.4 +/- 0.9 Ma) was obtained only from one basalt sample from the bottom part of the section (Uchatka Point Formation). These new age determinations change substantially the existing stratigraphic chart of King George Island. Palaeomagnetic poles show a marked departure from the East Antarctic apparent polar wander path, reflecting anticlockwise rotation of the rocks after the Early Eocene. The mean age of zircon grains from a basaltic lava flow overlying the tillite at Herve Cove (48.9 +/- 0.7 Ma) and the normal polarity magnetization of surrounding basalts allow correlation of the tillite with the upper part of the C22 polarity chron (49.4-48.6 Ma). The consistency in age, crystal morphology, and U and Th contents strongly suggests that the zircon records the magmatic event. However, derivation of the zircon from an older magma and a slightly younger age for the tillite cannot be totally excluded.</t>
  </si>
  <si>
    <t>[Nawrocki, Jerzy; Panczyk, Magdalena] Panstwowy Inst Badawczy, Panstwowy Inst Geol, Warsaw, Poland; [Nawrocki, Jerzy; Panczyk, Magdalena] Polish Acad Sci, Zaklad Biol Antarktyki, PL-02141 Warsaw, Poland; [Williams, Ian S.] Australian Natl Univ, Coll Phys Sci, Res Sch Earth Sci, Canberra, ACT 0200, Australia</t>
  </si>
  <si>
    <t>Polish Geological Institute - National Research Institute; Polish Academy of Sciences; Australian National University</t>
  </si>
  <si>
    <t>Nawrocki, J (corresponding author), Panstwowy Inst Badawczy, Panstwowy Inst Geol, Rakowiecka 4, Warsaw, Poland.</t>
  </si>
  <si>
    <t>jerzy.nawrocki@pgi.gov.pl</t>
  </si>
  <si>
    <t>SHRIMP, ANU/F-5312-2011; Williams, Ian S/F-4302-2012</t>
  </si>
  <si>
    <t>Panczyk, Magdalena/0000-0001-9435-8481; Nawrocki, Jerzy/0000-0002-9644-0224; Williams, Ian/0000-0003-4465-6493</t>
  </si>
  <si>
    <t>Polish Ministry of Science and Higher Education [N N307 058434]</t>
  </si>
  <si>
    <t>Polish Ministry of Science and Higher Education(Ministry of Science and Higher Education, Poland)</t>
  </si>
  <si>
    <t>This study was supported by a grant of the Polish Ministry of Science and Higher Education (No. N N307 058434). The field work was carried out during the 30th Polish Antarctic Expedition to Arctowski Station. We thank A. Tatur and K. Krajewski for support during the field work. We are grateful to E. Krzeminska and L. Giro for analytical work. We thank M. Flowerdew and an anonymous reviewer for careful reviews, which helped improve the manuscript. The zircon geochronology for this study was carried out under the auspices of a collaborative research agreement between The Polish Geological Institute and The Australian National University.</t>
  </si>
  <si>
    <t>2041-479X</t>
  </si>
  <si>
    <t>10.1144/0016-76492009-177</t>
  </si>
  <si>
    <t>WOS:000281190700018</t>
  </si>
  <si>
    <t>Sartoris, FJ; Thomas, DN; Cornils, A; Schnack-Schiel, SB</t>
  </si>
  <si>
    <t>Sartoris, Franz Josef; Thomas, David N.; Cornils, Astrid; Schnack-Schiel, Sigrid B.</t>
  </si>
  <si>
    <t>Buoyancy and diapause in Antarctic copepods: The role of ammonium accumulation</t>
  </si>
  <si>
    <t>CALANUS-PROPINQUUS COPEPODA; LIFE-CYCLE; CALANOIDES-ACUTUS; RHINCALANUS-GIGAS; INTRACELLULAR PH; ATLANTIC SECTOR; SOUTHERN-OCEAN; WEDDELL SEA; DORMANCY; FINMARCHICUS</t>
  </si>
  <si>
    <t>To test the hypothesis that copepods are able to regulate their buoyancy via altering their ionic content, we analyzed both the cation concentration in the hemolymph of Antarctic pelagic copepod species in late winter and the vertical distribution pattern and population structure. High concentrations of ammonia/ammonium (NH(3)/NH(4)(+)) were measured only in the hemolymph of Calanoides acutus, an Antarctic copepod definitely known to undergo vertical ontogenetic migrations and diapause at great depth, and in Rhincalanus gigas, in which a vertical ontogenetic migration pattern associated with diapause is still under debate. None of the other investigated species showed elevated ammonium concentrations in their hemolymph. We suggest that ion replacement by ammonium contributes to neutral buoyancy in diapausing calanoid copepods in the Southern Ocean. We hypothesize that ammonium buoyancy changes with season and is associated with shifts in extracellular pH and, therefore, most likely mediates metabolic depression during diapause.</t>
  </si>
  <si>
    <t>[Sartoris, Franz Josef; Cornils, Astrid; Schnack-Schiel, Sigrid B.] Alfred Wegener Inst Polar &amp; Marine Res, Bremerhaven, Germany; [Thomas, David N.] Bangor Univ, Coll Nat Sci, Menai Bridge, Anglesey, Wales</t>
  </si>
  <si>
    <t>Helmholtz Association; Alfred Wegener Institute, Helmholtz Centre for Polar &amp; Marine Research; Bangor University</t>
  </si>
  <si>
    <t>Sartoris, FJ (corresponding author), Alfred Wegener Inst Polar &amp; Marine Res, Bremerhaven, Germany.</t>
  </si>
  <si>
    <t>Franz-Josef.Sartoris@AWI.de</t>
  </si>
  <si>
    <t>Thomas, David Neville/B-1448-2010; Cornils, Astrid/P-2943-2014</t>
  </si>
  <si>
    <t>Thomas, David Neville/0000-0001-8832-5907; Cornils, Astrid/0000-0003-4536-9015; Sartoris, Franz-Josef/0000-0001-7228-3220</t>
  </si>
  <si>
    <t>Census of Marine Zooplankton (CMarZ); Census of Marine Life (CoML); Natural Environmental research Council, U.K.</t>
  </si>
  <si>
    <t>Census of Marine Zooplankton (CMarZ); Census of Marine Life (CoML); Natural Environmental research Council, U.K.(UK Research &amp; Innovation (UKRI)Natural Environment Research Council (NERC))</t>
  </si>
  <si>
    <t>We thank the captain, the crew, and colleagues aboard R/V Polarstern for their help and collaboration in the field, and Ruth Alheit for help in sorting the samples. Two anonymous reviewers are thanked for their constructive comments and suggestions on an earlier version of the manuscript. Census of Marine Zooplankton (CMarZ), a Census of Marine Life (CoML) project, and the Natural Environmental research Council, U.K., partly supported this study.</t>
  </si>
  <si>
    <t>AMER SOC LIMNOLOGY OCEANOGRAPHY</t>
  </si>
  <si>
    <t>WACO</t>
  </si>
  <si>
    <t>5400 BOSQUE BLVD, STE 680, WACO, TX 76710-4446 USA</t>
  </si>
  <si>
    <t>10.4319/lo.2010.55.5.1860</t>
  </si>
  <si>
    <t>673MI</t>
  </si>
  <si>
    <t>WOS:000283667100005</t>
  </si>
  <si>
    <t>McDonnell, AMP; Buesseler, KO</t>
  </si>
  <si>
    <t>McDonnell, Andrew M. P.; Buesseler, Ken O.</t>
  </si>
  <si>
    <t>Variability in the average sinking velocity of marine particles</t>
  </si>
  <si>
    <t>ZOOPLANKTON FECAL PELLETS; SEDIMENT TRAP FLUXES; SETTLING VELOCITIES; ANTARCTIC PENINSULA; SOUTHERN-OCEAN; VERTICAL FLUX; MU-M; SNOW; RATES; CARBON</t>
  </si>
  <si>
    <t>We used a new combination of sampling techniques involving in situ imaging of particles in the water column and the collection of particle flux in viscous polyacrylamide gels to estimate the average sinking velocities (W(i,avg)) of marine particles ranging from equivalent spherical diameters of 70 mu m to 6 mm at several locations, depths, and times along the west Antarctica Peninsula to explore the variability of W(i,avg). During the January 2009 deployments, W(i,avg) ranged from about 10 to 150 m d(-1), with the fastest velocities at the large and small ends of the sizes considered. A repeat occupation of one station in Marguerite Bay in February 2009 gave W(i,avg) size distributions that were quite different from those of the previous month, with rapidly sinking small particles and very slow W(i,avg) for the large particle classes. These results demonstrate the importance of diatom aggregates and krill fecal pellets with regard to the ocean's biological pump in this region. The observed variability in space and time indicates that global relationships between particle concentrations and fluxes, or simple theoretical formulations of sinking velocity as a function of particle size (such as a single parameterization of the Stokes' Law), are unsuitable for yielding accurate estimates of particle flux from measurements of the particle size distribution. Combining measurements of W(i,avg) with high-frequency sampling of the particle concentration size distribution would enable the estimation of particle fluxes at much higher temporal and spatial resolutions than is currently possible with conventional sediment trapping methods.</t>
  </si>
  <si>
    <t>[McDonnell, Andrew M. P.; Buesseler, Ken O.] Woods Hole Oceanog Inst, Marine Chem &amp; Geochem Dept, Woods Hole, MA 02543 USA</t>
  </si>
  <si>
    <t>Woods Hole Oceanographic Institution</t>
  </si>
  <si>
    <t>McDonnell, AMP (corresponding author), Woods Hole Oceanog Inst, Marine Chem &amp; Geochem Dept, Woods Hole, MA 02543 USA.</t>
  </si>
  <si>
    <t>drewmcd@whoi.edu</t>
  </si>
  <si>
    <t>McDonnell, Andrew/0000-0003-1408-4869</t>
  </si>
  <si>
    <t>Woods Hole Oceanographic Institution (WHOI) Rinehart Access; WHOI Coastal Oceans Institute; WHOI Academic Programs Office; National Science Foundation (NSF) Office of Polar Programs; Office of Polar Programs (OPP); Directorate For Geosciences [0838866, 0823101] Funding Source: National Science Foundation</t>
  </si>
  <si>
    <t>Woods Hole Oceanographic Institution (WHOI) Rinehart Access; WHOI Coastal Oceans Institute; WHOI Academic Programs Office; National Science Foundation (NSF) Office of Polar Programs(National Science Foundation (NSF)); Office of Polar Programs (OPP); Directorate For Geosciences(National Science Foundation (NSF)NSF - Directorate for Geosciences (GEO))</t>
  </si>
  <si>
    <t>We thank the principal investigators of the Palmer Long-Term Ecological Research Program (PAL) and the Food For Benthos on the Antarctic Continental Shelf Project (FOODBANCS) for accommodating our science on their respective cruises to the west Antarctic Peninsula in 2009. The captain, crew, and Raytheon Polar Services Company staff aboard the Antarctic Research and Supply Vessel Laurence M. Gould and onshore did an excellent job helping us achieve our sampling objectives in this challenging work environment. We are very grateful to Tom Trull, who first suggested this approach. Scott Gallager, Mick Follows, Phoebe Lam, Phil Boyd, Debbie Steinberg, Dave Siegel, Dave Glover, and Stephanie Owens provided constructive comments and suggestions. James Valdes made possible much of the underwater instrumentation associated with the drifting sediment trap array. Seascan provided valuable technical support for the Video Plankton Recorder. We thank Adrian Burd, Thomas Kiorboe, and an anonymous reviewer for their comments, which greatly improved this manuscript during the review process. Funding was provided by the Woods Hole Oceanographic Institution (WHOI) Rinehart Access to the Sea Program, the WHOI Coastal Oceans Institute, WHOI Academic Programs Office, and the National Science Foundation (NSF) Office of Polar Programs for support of PAL, FOODBANCS, and west Antarctic Peninsula Flux projects. A grant from NSF Carbon and Water Program supported the development of these methods.</t>
  </si>
  <si>
    <t>10.4319/lo.2010.55.5.2085</t>
  </si>
  <si>
    <t>WOS:000283667100025</t>
  </si>
  <si>
    <t>Maslov, AV</t>
  </si>
  <si>
    <t>Maslov, A. V.</t>
  </si>
  <si>
    <t>Glaciogenic and related sedimentary rocks: Main lithochemical features. Communication 2. The Paleozoic and Cenozoic</t>
  </si>
  <si>
    <t>LITHOLOGY AND MINERAL RESOURCES</t>
  </si>
  <si>
    <t>ANTARCTIC ICE-SHEET; PAGODROMA GROUP; SIRIUS GROUP; TRANSANTARCTIC MOUNTAINS; GEOCHEMICAL PROVENANCE; ELEMENT GEOCHEMISTRY; WEATHERING HISTORY; CLIMATE EVOLUTION; SOUTHERN-AFRICA; DWYKA FORMATION</t>
  </si>
  <si>
    <t>Lithochemical features of the Early-Late Paleozoic and Cenozoic glaciogenic and related sedimentary rocks around the world are considered. Comparison of the bulk chemical composition of diamictites with the average Post-Archean Australian Shale (PAAS) revealed that the diamictites do not show any lithochemical characteristics unambiguously indicating their formation under cool climatic conditions. The chemical index of alteration (CIA) often used in the paleoclimatic reconstructions should be considered as additional (though very important) tool, because it is controlled by local factors. Taking into account these facts, there are likely no grounds to expect that the amount of the redeposited sedimentary material in the Late Paleozoic and Cenozoic glaciogenic rocks is more than in their Early Proterozoic and Late Riphean-Vendian analogues.</t>
  </si>
  <si>
    <t>Russian Acad Sci, Uralian Div, Zavaritskii Inst Geol &amp; Geochem, Ekaterinburg 620075, Russia</t>
  </si>
  <si>
    <t>Russian Academy of Sciences</t>
  </si>
  <si>
    <t>Maslov, AV (corresponding author), Russian Acad Sci, Uralian Div, Zavaritskii Inst Geol &amp; Geochem, Pochtovyi Per 7, Ekaterinburg 620075, Russia.</t>
  </si>
  <si>
    <t>maslov@igg.uran.ru</t>
  </si>
  <si>
    <t>Russian Foundation for Basic Research [09-05-00279, 07-05-00455]; Presidium of the Russian Academy of Sciences [15]</t>
  </si>
  <si>
    <t>Russian Foundation for Basic Research(Russian Foundation for Basic Research (RFBR)Spanish Government); Presidium of the Russian Academy of Sciences(Russian Academy of Sciences)</t>
  </si>
  <si>
    <t>The studies were supported by the Russian Foundation for Basic Research (project nos. 09-05-00279 and 07-05-00455) and the Presidium of the Russian Academy of Sciences (Program No. 15).</t>
  </si>
  <si>
    <t>PLEIADES PUBLISHING INC</t>
  </si>
  <si>
    <t>MOSCOW</t>
  </si>
  <si>
    <t>PLEIADES PUBLISHING INC, MOSCOW, 00000, RUSSIA</t>
  </si>
  <si>
    <t>0024-4902</t>
  </si>
  <si>
    <t>1608-3229</t>
  </si>
  <si>
    <t>LITHOL MINER RESOUR+</t>
  </si>
  <si>
    <t>Lithol. Miner. Resour.</t>
  </si>
  <si>
    <t>10.1134/S0024490210050044</t>
  </si>
  <si>
    <t>Geochemistry &amp; Geophysics; Geology; Mineralogy</t>
  </si>
  <si>
    <t>649HZ</t>
  </si>
  <si>
    <t>WOS:000281761000004</t>
  </si>
  <si>
    <t>Quillfeldt, P; Michalik, A; Veit-Köhler, G; Strange, IJ; Masello, JF</t>
  </si>
  <si>
    <t>Quillfeldt, Petra; Michalik, Andreas; Veit-Koehler, Gritta; Strange, Ian J.; Masello, Juan F.</t>
  </si>
  <si>
    <t>Inter-annual changes in diet and foraging trip lengths in a small pelagic seabird, the thin-billed prion Pachyptila belcheri</t>
  </si>
  <si>
    <t>PARATHEMISTO-GAUDICHAUDI AMPHIPODA; SOUTH GEORGIA; ATLANTIC-OCEAN; ENVIRONMENTAL VARIABILITY; VERTICAL MIGRATION; FALKLAND-ISLANDS; BREEDING SUCCESS; FEEDING ECOLOGY; ANTARCTIC PRION; CHICK GROWTH</t>
  </si>
  <si>
    <t>Central place foragers are constrained in their foraging distribution by the necessity to return to their nest site at regular intervals. In many petrels that feed on patchily distributed prey from the sea surface over large foraging areas, alternating long and short foraging trips are used to balance the demands of the chick with the requirements of maintaining adult body condition. When the local conditions are favourable for prey density and quality, adults should be able to reduce the number of long foraging trips. We studied the flexibility in foraging trip lengths of a small pelagic petrel, the thin-billed prion Pachyptila belcheri, over three breeding seasons with increasingly favourable, cold-water conditions. During a warm-water influx in February 2006, chicks were fed less frequently and adults carried out foraging trips of up to 8 days. When conditions became more favourable with colder water temperatures in 2007 and 2008, thin-billed prions decreased trip lengths, more often attended their chick every day, and long foraging trips of six to eight days were not registered during 2008. Chick growth rates mirrored this, as chicks grew poorly during 2006, intermediate during 2007 and best during 2008. Thin-billed prions preyed mainly on squid during incubation and mainly on amphipods and euphausiids during chick-rearing. In the poorest season only, the diet was substantially supplemented with very small copepods. Together, the present results indicate that during warm-water conditions, thin-billed prions had difficulties in finding sufficient squid, amphipods or euphausiids and were forced to switch to lower trophic level prey, which they had to search for over large ocean areas.</t>
  </si>
  <si>
    <t>[Quillfeldt, Petra; Michalik, Andreas; Masello, Juan F.] Max Planck Inst Ornithol, Vogelwarte Radolfzell, Radolfzell am Bodensee, Germany; [Michalik, Andreas] Univ Osnabruck, Expt Ecol Grp, Dept Biol Chem, Osnabruck, Germany; [Veit-Koehler, Gritta] Forsch Inst Senckenberg, Deutsch Zentrum Marine Biodiversitatsforsch, Wilhelmshaven, Germany; [Strange, Ian J.] New Isl Conservat Trust, Stanley, Falkland Isl, Denmark</t>
  </si>
  <si>
    <t>Max Planck Society; University Osnabruck; Senckenberg Gesellschaft fur Naturforschung (SGN)</t>
  </si>
  <si>
    <t>Quillfeldt, P (corresponding author), Max Planck Inst Ornithol, Vogelwarte Radolfzell, Radolfzell am Bodensee, Germany.</t>
  </si>
  <si>
    <t>petra.quillfeldt@gmx.de</t>
  </si>
  <si>
    <t>Quillfeldt, Petra/A-9549-2009; Masello, Juan Francisco/C-7133-2009</t>
  </si>
  <si>
    <t>Quillfeldt, Petra/0000-0002-4450-8688; Masello, Juan Francisco/0000-0002-6826-4016</t>
  </si>
  <si>
    <t>German Science Foundation DFG [Qu 148/1ff]; Falkland Islands Government (Environmental Planning Office)</t>
  </si>
  <si>
    <t>German Science Foundation DFG(German Research Foundation (DFG)); Falkland Islands Government (Environmental Planning Office)</t>
  </si>
  <si>
    <t>The New Island Conservation Trust, Maria and Georgina Strange and Dan Birch facilitated fieldwork at New Island, which was approved and co-funded by the Falkland Islands Government (Environmental Planning Office). We are grateful for taxonomic determinations: Oliver Coleman (Amphipoda), Jens Hoeg and Benny Chan (Cirripedia), Knud Schulz and Jasmin Renz (Copepoda), Enrique Macpherson (Munida) and Volker Siegel (Euphausiacea). Two anonymous referees provided helpful comments on the manuscript. This study was funded by a grant provided by the German Science Foundation DFG (Qu 148/1ff.).</t>
  </si>
  <si>
    <t>10.1007/s00227-010-1472-y</t>
  </si>
  <si>
    <t>639YI</t>
  </si>
  <si>
    <t>WOS:000281012700013</t>
  </si>
  <si>
    <t>Peck, LS; Morley, SA; Clark, MS</t>
  </si>
  <si>
    <t>Peck, Lloyd S.; Morley, Simon A.; Clark, Melody S.</t>
  </si>
  <si>
    <t>Poor acclimation capacities in Antarctic marine ectotherms</t>
  </si>
  <si>
    <t>THERMAL TOLERANCE; LATERNULA-ELLIPTICA; CLIMATE-CHANGE; TEMPERATURE; LIMITS; OXYGEN; ADAPTATION; STRESS; FISH; METABOLISM</t>
  </si>
  <si>
    <t>Animals can respond to temperature change by the following means: using physiological flexibility (including acclimation); or adapting; or migrating, with acclimation proposed as the major mechanism dictating prospects for survival in marine groups. In this study, 6 species of Antarctic invertebrate covering 4 phyla, Echinodermata, Mollusca, Brachiopoda and Crustacea were subjected to acclimation trials at 3A degrees C for 60 days. Using acute upper lethal temperatures as a metric of ability to acclimate, only one species (Marseniopsis mollis) increased its acute upper limit. Furthermore, analysis of oxygen consumption on the urchin Sterechinus neumayeri and the amphipod Paraceradocus gibber showed their metabolic rates were also not compensated over the 60-day exposure period. Thus, 5 out of 6 species failed to acclimate to temperatures only 3.5A degrees C above the annual average and 1-2A degrees C above current summer maximum values. We discuss the proposal that the abilities of Antarctic marine species to adjust to elevated environmental temperatures are as limited, if not more so, than tropical species.</t>
  </si>
  <si>
    <t>[Peck, Lloyd S.; Morley, Simon A.; Clark, Melody S.] British Antarctic Survey, NERC, Cambridge CB3 0ET, England</t>
  </si>
  <si>
    <t>Clark, Melody/D-7371-2014</t>
  </si>
  <si>
    <t>Clark, Melody/0000-0002-3442-3824</t>
  </si>
  <si>
    <t>NERC; Natural Environment Research Council [dml011000, bas0100025] Funding Source: researchfish; NERC [dml011000, bas0100025]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</si>
  <si>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</si>
  <si>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staff of the Rothera Research station for their support in animal collection and maintenance, and this is especially so for the dive officers and marine assistants who were involved. This research was funded by NERC core funding to the British Antarctic Survey BIOFLAME programme.</t>
  </si>
  <si>
    <t>10.1007/s00227-010-1473-x</t>
  </si>
  <si>
    <t>WOS:000281012700014</t>
  </si>
  <si>
    <t>Clark, MR; Althaus, F; Williams, A; Niklitschek, E; Menezes, GM; Hareide, NR; Sutton, P; O'Donnell, C</t>
  </si>
  <si>
    <t>Clark, Malcolm R.; Althaus, Franziska; Williams, Alan; Niklitschek, Edwin; Menezes, Gui M.; Hareide, Nils-Roar; Sutton, Philip; O'Donnell, Ciaran</t>
  </si>
  <si>
    <t>Are deep-sea demersal fish assemblages globally homogenous? Insights from seamounts</t>
  </si>
  <si>
    <t>MARINE ECOLOGY-AN EVOLUTIONARY PERSPECTIVE</t>
  </si>
  <si>
    <t>Biogeography; deep-sea; fish assemblages; fish distribution; seamounts</t>
  </si>
  <si>
    <t>ROUGHY HOPLOSTETHUS-ATLANTICUS; GOMEZ SUBMARINE RIDGES; ORANGE ROUGHY; SPECIES COMPOSITION; CONTINENTAL-SHELF; PACIFIC-OCEAN; UPPER SLOPE; COMMUNITY; FAUNA; ZONATION</t>
  </si>
  <si>
    <t>Deep-sea fishes have been poorly sampled globally, and overall knowledge of demersal fish distributions and the drivers of community composition and diversity remain limited. Here, we used nine comparable datasets with species-level identification of fishes from research surveys around the world to test the hypothesis that deep-sea demersal fish assemblage composition on seamounts is consistent between major oceans. Two levels of analysis were undertaken: the first combined all presence-absence data from a seamount, while a second more detailed analysis included catch weight data based on a smaller number of seamounts. Overall, there was a consistent separation of seamounts by region based on the compositions of their fish assemblages. New Zealand and SE Australian seamounts have a very similar ichthyofauna, which differs substantially from seamounts in the eastern South Pacific Ocean off Chile. In the North Atlantic, Bear Seamount appears to be distinct from all others, while seamount fish assemblages off Ireland, the Azores, and Faraday Seamount have some affinities. The Tasman Sea and New Caledonian seamounts show strong intra-regional variation. On an ocean basin scale we therefore reject the hypothesis that the composition of deep-sea demersal fish fauna is homogeneous globally. However, regional patterns of both species composition and relative abundance show some similarities between widely separated geographical locations, especially where orange roughy is a dominant species. Salinity was the main environmental factor identified in a multivariate analysis of environmental covariate data. This is likely to be a result of salinity being a key characteristic defining both Antarctic Intermediate Water and North Atlantic Deep Water, the water masses found over most seamounts examined in this study, and which may explain similarities between deep-sea fish assemblages.</t>
  </si>
  <si>
    <t>[Clark, Malcolm R.; Sutton, Philip] Natl Inst Water &amp; Atmospher Res NIWA, Wellington 6021, New Zealand; [Althaus, Franziska; Williams, Alan] Commonwealth Sci &amp; Ind Res Org CSIRO Wealth Ocean, Marine Labs, Hobart, Tas, Australia; [Niklitschek, Edwin] Univ Austral Chile, Ctr Trapananda, Valdivia, Region De Aisen, Chile; [Menezes, Gui M.] Univ Acores, Dept Oceanog &amp; Pescas, Horta, Portugal; [Hareide, Nils-Roar] Runde Environm Ctr, Runde, Norway; [O'Donnell, Ciaran] Inst Marine, Galway, Ireland</t>
  </si>
  <si>
    <t>National Institute of Water &amp; Atmospheric Research (NIWA) - New Zealand; Commonwealth Scientific &amp; Industrial Research Organisation (CSIRO); Universidad Austral de Chile; Universidade dos Acores; Marine Institute Ireland</t>
  </si>
  <si>
    <t>Clark, MR (corresponding author), Natl Inst Water &amp; Atmospher Res NIWA, Wellington 6021, New Zealand.</t>
  </si>
  <si>
    <t>m.clark@niwa.co.nz</t>
  </si>
  <si>
    <t>Niklitschek, Edwin/A-7066-2008; Williams, Alan/C-6999-2012; Menezes, Gui M./A-3956-2009; Althaus, Franziska/B-6873-2015; Menezes, Gui M/HMV-5797-2023; Althaus, Franziska/E-4660-2017</t>
  </si>
  <si>
    <t>Niklitschek, Edwin/0000-0001-5561-3494; Williams, Alan/0000-0002-2867-7713; Menezes, Gui M/0000-0003-0781-4579; Althaus, Franziska/0000-0002-5336-4612</t>
  </si>
  <si>
    <t>CenSeam; CSIRO Wealth from Oceans Flagship; NIWA [CO1X0508]; Commonwealth Environment Research Facilities (CERF), an Australian Government initiative; Chilean Fisheries Research Fund [2004-13, 2005-13, 2006-09]; CERF Marine Biodiversity Hub</t>
  </si>
  <si>
    <t>CenSeam; CSIRO Wealth from Oceans Flagship(Commonwealth Scientific &amp; Industrial Research Organisation (CSIRO)); NIWA; Commonwealth Environment Research Facilities (CERF), an Australian Government initiative(Australian Government); Chilean Fisheries Research Fund; CERF Marine Biodiversity Hub</t>
  </si>
  <si>
    <t>Funding to support parts of this work was from CenSeam, CSIRO Wealth from Oceans Flagship, and NIWA (seamounts programme, FRST contract CO1X0508). CSIRO authors (FA &amp; AW) are supported through the Commonwealth Environment Research Facilities (CERF) programme, an Australian Government initiative, and in particular by the CERF Marine Biodiversity Hub. Chilean data collection and analysis was funded by the Chilean Fisheries Research Fund (grants 2004-13, 2005-13, 2006-09).</t>
  </si>
  <si>
    <t>0173-9565</t>
  </si>
  <si>
    <t>1439-0485</t>
  </si>
  <si>
    <t>MAR ECOL-EVOL PERSP</t>
  </si>
  <si>
    <t>Mar. Ecol.-Evol. Persp.</t>
  </si>
  <si>
    <t>10.1111/j.1439-0485.2010.00384.x</t>
  </si>
  <si>
    <t>649TO</t>
  </si>
  <si>
    <t>WOS:000281797000004</t>
  </si>
  <si>
    <t>Sardessai, S; Shetye, S; Maya, MV; Mangala, KR; Kumar, SP</t>
  </si>
  <si>
    <t>Sardessai, S.; Shetye, Suhas; Maya, M. V.; Mangala, K. R.; Kumar, S. Prasanna</t>
  </si>
  <si>
    <t>Nutrient characteristics of the water masses and their seasonal variability in the eastern equatorial Indian Ocean</t>
  </si>
  <si>
    <t>MARINE ENVIRONMENTAL RESEARCH</t>
  </si>
  <si>
    <t>Equatorial Indian Ocean; Thermohaline characteristics; Chemical properties; Water masses; Nutrients; Dissolved oxygen; N/P ratio; Nitrate deficit; Seasonal variability</t>
  </si>
  <si>
    <t>INDONESIAN THROUGHFLOW; ARABIAN SEA; DENITRIFICATION; CIRCULATION; PATHWAYS; TRACERS; IMPACT</t>
  </si>
  <si>
    <t>Nutrient characteristics of four water masses in the light of their thermohaline properties are examined in the eastern Equatorial Indian Ocean during winter, spring and summer monsoon. The presence of low salinity water mass with Surface enrichments of inorganic nutrients was observed relative to 20 m in the mixed layer. Lowest oxygen levels of 19 mu M at 3 degrees N in the euphotic zone indicate mixing of low oxygen high salinity Arabian Sea waters with the equatorial Indian Ocean. The seasonal variability of nutrients was regulated by seasonally varying physical processes like thermocline elevation, meridional and zonal transport, the equatorial undercurrent and biological processes of uptake and remineralisation. Circulation of Arabian Sea high salinity waters with nitrate deficit could also be seen from low N/P ratio with a minimum of 8.9 in spring and a maximum of 13.6 in winter. This large deviation from Redfield N/P ratio indicates the presence of denitrified high salinity waters with a seasonal nitrate deficit ranging from -4.85 to 1.52 in the Eastern Equatorial Indian Ocean. (C) 2010 Elsevier Ltd. All rights reserved.</t>
  </si>
  <si>
    <t>[Sardessai, S.] Natl Inst Oceanog, Chem Oceanog Div, Panaji 403004, Goa, India; [Shetye, Suhas] Natl Ctr Antarctic &amp; Ocean Res, Vasco Da Gama 403804, Goa, India</t>
  </si>
  <si>
    <t>Sardessai, S (corresponding author), Natl Inst Oceanog, Chem Oceanog Div, Panaji 403004, Goa, India.</t>
  </si>
  <si>
    <t>sugandha@nio.org; suhas@ncaor.org; elizabethm@nio.org; rmangalaa@nio.org; prasanna@nio.org</t>
  </si>
  <si>
    <t>M.V., Maya/Q-7251-2018</t>
  </si>
  <si>
    <t>National Institute of Oceanography; Ministry of Earth Sciences</t>
  </si>
  <si>
    <t>The authors would like to thank the Director, National Institute of Oceanography, for his interest and support in this work. The authors are also thankful to the Ministry of Earth Sciences for providing the ship time, financial and logistic support to carry out the observations for this project. The authors are also grateful to Dr. M. Dileep Kumar and the two anonymous reviewers for their comments and suggestions which greatly helped to improve the manuscript. The reprographical assistance given by Shri Arun Mahale, Shri Shyam Akerkar and shri U.K. Kumar is greatfully acknowledged. This is NIO contribution no. 4761.</t>
  </si>
  <si>
    <t>0141-1136</t>
  </si>
  <si>
    <t>1879-0291</t>
  </si>
  <si>
    <t>MAR ENVIRON RES</t>
  </si>
  <si>
    <t>Mar. Environ. Res.</t>
  </si>
  <si>
    <t>10.1016/j.marenvres.2010.05.009</t>
  </si>
  <si>
    <t>Environmental Sciences; Marine &amp; Freshwater Biology; Toxicology</t>
  </si>
  <si>
    <t>Environmental Sciences &amp; Ecology; Marine &amp; Freshwater Biology; Toxicology</t>
  </si>
  <si>
    <t>644CE</t>
  </si>
  <si>
    <t>WOS:000281347200003</t>
  </si>
  <si>
    <t>Russo, R; Giordano, D; Riccio, A; di Prisco, G; Verde, C</t>
  </si>
  <si>
    <t>Russo, Roberta; Giordano, Daniela; Riccio, Alessia; di Prisco, Guido; Verde, Cinzia</t>
  </si>
  <si>
    <t>Cold-adapted bacteria and the globin case study in the Antarctic bacterium Pseudoalteromonas haloplanktis TAC125</t>
  </si>
  <si>
    <t>MARINE GENOMICS</t>
  </si>
  <si>
    <t>Oxygen; Bacteria; Hemoglobins</t>
  </si>
  <si>
    <t>TRUNCATED HEMOGLOBIN; NITROSATIVE STRESS; NITRIC-OXIDE; CRYSTALLOGRAPHIC CHARACTERIZATION; TETRAMERIC HEMOGLOBIN; CRYSTAL-STRUCTURE; HEMICHROME STATE; ICE; FAMILY; MICROORGANISMS</t>
  </si>
  <si>
    <t>Environmental oxygen availability may play an important role in the evolution of polar marine organisms, as suggested by the physiological and biochemical strategies adopted by these organisms to acquire, deliver and scavenge oxygen. Stress conditions such as extreme temperatures increase the production of reactive oxygen species (ROS) in cells. Thus, in order to prevent cellular damage, adjustments in antioxidant defences are needed to maintain the steady-state concentration of ROS. Cold-adapted bacteria are generally acknowledged to achieve their physiological and ecological success in cold environments through structural and functional properties developed in their genomes. A short overview on the molecular adaptations of polar bacteria and in particular on the biological function of oxygen-binding proteins in Pseudoalteromonas haloplanktis TAC125, selected as a model, will be provided together with the role of oxygen and oxidative/nitrosative stress in regulating adaptive responses at cellular and molecular levels. (C) 2010 Elsevier B.V. All rights reserved.</t>
  </si>
  <si>
    <t>[Russo, Roberta; Giordano, Daniela; Riccio, Alessia; di Prisco, Guido; Verde, Cinzia] CNR, Inst Prot Biochem, I-80131 Naples, Italy</t>
  </si>
  <si>
    <t>Consiglio Nazionale delle Ricerche (CNR); Istituto di Biochimica delle Proteine (IBP-CNR)</t>
  </si>
  <si>
    <t>Verde, C (corresponding author), CNR, Inst Prot Biochem, Via Pietro Castellino 111, I-80131 Naples, Italy.</t>
  </si>
  <si>
    <t>c.verde@ibp.cnr.it</t>
  </si>
  <si>
    <t>Giordano, Daniela/AFK-7772-2022</t>
  </si>
  <si>
    <t>Giordano, Daniela/0000-0002-8891-6245; VERDE, Cinzia/0000-0001-6185-282X</t>
  </si>
  <si>
    <t>Italian National Programme for Antarctic Research (PNRA); European Commission [ENV.2007.2.2.1.6]; Ministero Italiano dell'Universita e della Ricerca Scientifica [2007SFZXZ7]; CNR; CAREX</t>
  </si>
  <si>
    <t>Italian National Programme for Antarctic Research (PNRA); European Commission(European Union (EU)European Commission Joint Research Centre); Ministero Italiano dell'Universita e della Ricerca Scientifica(Ministry of Education, Universities and Research (MIUR)); CNR(Consiglio Nazionale delle Ricerche (CNR)); CAREX</t>
  </si>
  <si>
    <t>This study is financially supported by the Italian National Programme for Antarctic Research (PNRA). It is in the framework of the SCAR programme Evolution and Biodiversity in the Antarctic (EBA), and of the project CAREX (Coordination Action for Research Activities on Life in Extreme Environments), European Commission FP7 call ENV.2007.2.2.1.6. It is partially supported by the Ministero Italiano dell'Universita e della Ricerca Scientifica (PRIN 2007SFZXZ7 Structure, function and evolution of heme proteins from Arctic and Antarctic marine organisms: cold adaptation mechanisms and acquisition of new functions). DG and RR acknowledge CNR for a Short-Term Mobility fellowship, and CAREX for a Transfer of Knowledge grant.</t>
  </si>
  <si>
    <t>1874-7787</t>
  </si>
  <si>
    <t>1876-7478</t>
  </si>
  <si>
    <t>MAR GENOM</t>
  </si>
  <si>
    <t>Mar. Genom.</t>
  </si>
  <si>
    <t>10.1016/j.margen.2010.09.001</t>
  </si>
  <si>
    <t>Genetics &amp; Heredity; Marine &amp; Freshwater Biology</t>
  </si>
  <si>
    <t>697CW</t>
  </si>
  <si>
    <t>WOS:000285491200001</t>
  </si>
  <si>
    <t>Using DNA barcoding and phylogenetics to identify Antarctic invertebrate larvae: Lessons from a large scale study</t>
  </si>
  <si>
    <t>Ross Sea; Larval identification; Meroplankton; Molecular taxonomy; DNA-barcoding; Larval biodiversity</t>
  </si>
  <si>
    <t>SPECIES IDENTIFICATION; SINGLE-STEP; MEROPLANKTON COMMUNITY; ROSS SEA; ASTEROIDEA; TOOL; PCR; SEQUENCES; SOFTWARE</t>
  </si>
  <si>
    <t>Ecological studies of the diversity and distribution of marine planktonic larvae are increasingly depending on molecular methods for accurate taxonomic identification. The greater coverage of reference marine species on genetic databases such as GenBank and BoLD (Barcoding of Life Data Systems; www.boldystems.org); together with the decreasing costs for DNA sequencing have made large scale larval identification studies using molecular methods more feasible. Here, we present the development and implementation of a practical molecular approach to identify over 2000 individual marine invertebrate larvae that were collected in the Ross Sea, Antarctica, during the austral summer over five years (2002-2007) as part of the LGP (Latitudinal Gradient Project). Larvae for molecular ID were morphologically identified to belong to the Phyla Mollusca, Echinodermata, Nemertea and Annelida (Class Polychaeta), but also included unidentified early developmental stages which could not be assigned a specific taxon (e.g., eggs, blastulae). The use of a 100 mu m mesh plankton net makes this one of the first larval identification studies to simultaneously consider both embryos and larvae. Molecular identification methods included amplification of up to three molecular loci for each specimen, a pre-identification step using BLAST with GenBank, phylogenetic reconstructions and cross-validation of assigned Molecular Operational Taxonomic Units (MOTUs). This combined approach of morphological and molecular methods assigned about 700 individuals to 53 MOTUs, which were identified to the lowest possible taxonomic level. During the course of this long-term study we identified several procedural difficulties, including issues with the collection of larvae, locus amplification, contamination, assignment and validation of MOTUs. The practical guidelines that we describe here should greatly assist other researchers to conduct reliable molecular identification studies of larvae in the future. (C)2010 Elsevier B.V. All rights reserved.</t>
  </si>
  <si>
    <t>Sewell, MA (corresponding author), Univ Auckland, Sch Biol Sci, Private Bag 92019, Auckland 1142, New Zealand.</t>
  </si>
  <si>
    <t>d.heimeier@auckland.ac.nz; s.lavery@auckland.ac.nz; m.sewell@auckland.ac.nz</t>
  </si>
  <si>
    <t>New Zealand Biodiversity Strategy through the Ministry of Fisheries Biodiversity [ZBD2002-02]; University of Auckland</t>
  </si>
  <si>
    <t>New Zealand Biodiversity Strategy through the Ministry of Fisheries Biodiversity; University of Auckland</t>
  </si>
  <si>
    <t>Thanks to M. Cameron, J. Jury, K. Ruggiero, L. Suberg, M. Hudson and S. van Dijken for field assistance; A. Norkko, V. Cummings, G. Hofmann, D. Ginsberg, and M. Chiantore for providing adult specimens; and S. Gordon and the staff of Antarctica New Zealand for logistics support and field assistance. DNA sequencing work was completed in the School of Biological Sciences DNA Sequencing unit with assistance from K. Boxen and D. Steel. This research was funded under the New Zealand Biodiversity Strategy through the Ministry of Fisheries Biodiversity of the Ross Sea Programme (Contract ZBD2002-02) and from University of Auckland research grants (UARC, VCUDF, FRDF).</t>
  </si>
  <si>
    <t>10.1016/j.margen.2010.09.004</t>
  </si>
  <si>
    <t>WOS:000285491200006</t>
  </si>
  <si>
    <t>Louro, B; Passos, ALS; Souche, EL; Tsigenopoulos, C; Beck, A; Lagnel, J; Bonhomme, F; Cancela, L; Cerdà, J; Clark, MS; Lubzens, E; Magoulas, A; Planas, JV; Volckaert, FAM; Reinhardt, R; Canario, AVM</t>
  </si>
  <si>
    <t>Louro, Bruno; Passos, Ana Lucia S.; Souche, Erika L.; Tsigenopoulos, Costas; Beck, Alfred; Lagnel, Jacques; Bonhomme, Francois; Cancela, Leonor; Cerda, Joan; Clark, Melody S.; Lubzens, Esther; Magoulas, Antonis; Planas, Josep V.; Volckaert, Filip A. M.; Reinhardt, Richard; Canario, Adelino V. M.</t>
  </si>
  <si>
    <t>Gilthead sea bream (Sparus auratus) and European sea bass (Dicentrarchus labrax) expressed sequence tags: Characterization, tissue-specific expression and gene markers</t>
  </si>
  <si>
    <t>Expressed Sequence Tag; Microsatellite; Single nucleotide polymorphism; Annotation; Aquaculture; Teleost fish</t>
  </si>
  <si>
    <t>SINGLE NUCLEOTIDE POLYMORPHISMS; MESSENGER-RNA; ATLANTIC SALMON; SNP DETECTION; IDENTIFICATION; TOOL; DIFFERENTIATION; PROTEIN; FISH; ESTS</t>
  </si>
  <si>
    <t>The gilthead sea bream. Sparus auratus, and the European sea bass, Dicentrarchus labrax, are two of the most important marine species cultivated in Southern Europe. This study aimed at increasing genomic resources for the two species and produced and annotated two sets of 30,000 expressed sequence tags (EST) each from 14 normalized tissue-specific cDNA libraries from sea bream and sea bass. Clustering and assembly of the ESTs formed 5268 contigs and 12,928 singletons for sea bream and 4573 contigs and 13,143 singletons for sea bass, representing 18,196 and 17,716 putative unigenes, respectively. Assuming a similar number of genes in sea bass, sea bream and in the model fish Gasterosteus aculeatus genomes, it was estimated that approximately two thirds of the sea bream and the sea bass transcriptomes were covered by the unigene collections. BLAST sequence similarity searches (using a cut off of e-value &lt;10(-5)) against fully the curated SwissProt (and TrEMBL) databases produced matches of 28%(37%) and 43%(53%) of the sea bream and sea bass unigene datasets respectively, allowing some putative designation of function. A comparative approach is described using human Ensembl peptide ID homolog's for functional annotation, which increased the number of unigenes with GO terms assigned and resulted in more GO terms assigned per unigene. This allowed the identification of tissue-specific genes using enrichment analysis for GO pathways and protein domains. The comparative annotation approach represents a good strategy for transferring more relevant biological information from highly studied species to genomic resource poorer species. It was possible to confirm by interspecies mRNA-to-genomic alignments 25 and 21 alternative splice events in sea bream and sea bass genes, respectively. Even using normalized cDNA from relatively few pooled individuals it was possible to identify 1145 SNPs and 1748 microsatellites loci for genetic marker development. The EST data are being applied to a range of projects, including the development microarrays, genetic and radiation hybrid maps and QTL genome scans. This highlights the important role of ESTs for generating genetic and genomic resources of aquaculture species. (C) 2010 Elsevier B.V. All rights reserved.</t>
  </si>
  <si>
    <t>[Louro, Bruno; Passos, Ana Lucia S.; Cancela, Leonor; Canario, Adelino V. M.] Univ Algarve, Ctr Marine Sci, P-8000139 Faro, Portugal; [Souche, Erika L.; Volckaert, Filip A. M.] Katholieke Univ Leuven, Lab Anim Divers &amp; Systemat, B-3000 Louvain, Belgium; [Tsigenopoulos, Costas; Lagnel, Jacques; Magoulas, Antonis] Ex US Base Gournes, Hellen Ctr Marine Res, Inst Marine Biol &amp; Genet, Iraklion 71500, Crete, Greece; [Beck, Alfred; Reinhardt, Richard] MPI Mol Genet, D-14195 Berlin, Germany; [Bonhomme, Francois] Univ Montpellier 2, Dept Integrat Biol, Inst Sci Evolut, UMR 5554, F-34095 Montpellier 5, France; [Cerda, Joan] CSIC, Lab Inst Recerca &amp; Tecnol Agroalimentaries IRTA, Inst Ciencias Mar, E-08003 Barcelona, Spain; [Clark, Melody S.] British Antarctic Survey, Nat Environm Res Council, Cambridge CB3 0ET, England; [Lubzens, Esther] Natl Inst Oceanog, IL-31080 Haifa, Israel; [Planas, Josep V.] Univ Barcelona, Dept Fisiol, Fac Biol, E-08028 Barcelona, Spain; [Louro, Bruno] Univ Edinburgh, Div Genet &amp; Genom, Roslin Inst, Roslin EH25 9PS, Midlothian, Scotland; [Louro, Bruno] Univ Edinburgh, Royal Dick Sch Vet Sci, Roslin EH25 9PS, Midlothian, Scotland</t>
  </si>
  <si>
    <t>Universidade do Algarve; KU Leuven; Hellenic Centre for Marine Research; Centre National de la Recherche Scientifique (CNRS); Institut de Recherche pour le Developpement (IRD); Universite de Montpellier; CNRS - Institute of Ecology &amp; Environment (INEE); IRTA; Consejo Superior de Investigaciones Cientificas (CSIC); CSIC - Centro Mediterraneo de Investigaciones Marinas y Ambientales (CMIMA); CSIC - Instituto de Ciencias del Mar (ICM); UK Research &amp; Innovation (UKRI); Natural Environment Research Council (NERC); NERC British Antarctic Survey; Israel Oceanographic &amp; Limnological Research Institute; University of Barcelona; University of Edinburgh; UK Research &amp; Innovation (UKRI); Biotechnology and Biological Sciences Research Council (BBSRC); Roslin Institute; University of Edinburgh</t>
  </si>
  <si>
    <t>Canario, AVM (corresponding author), Univ Algarve, Ctr Marine Sci, Bldg 7, P-8000139 Faro, Portugal.</t>
  </si>
  <si>
    <t>blouro@ualg.pt; ccmar@ualg.pt; erika.souche@pasteur.fr; tsigeno@her.hcmr.gr; beck@molgen.mpg.de; lagnel@her.hcmr.gr; bonhomme@crit.univ-montp2.fr; lcancela@ualg.pt; joan.cerda@irta.cat; mscl@bas.ac.uk; esther@ocean.org.il; magoulas@her.hcmr.gr; jplanas@ub.edu; Filip.Volckaert@bio.kuleuven.Be; rr@molgen.mpg.de; acanario@ualg.pt</t>
  </si>
  <si>
    <t>Passos, Ana/JJC-7440-2023; Tsigenopoulos, Costas/R-9467-2019; Passos-Castilho, Ana Maria/J-3512-2012; Canario, Adelino/C-7942-2009; Volckaert, Filip/AAC-7691-2019; Lubzens, Esther/KFE-8167-2024; Cancela, M. Leonor/F-4665-2012; Bonhomme, Francois/AAG-6558-2021; Clark, Melody/D-7371-2014; Cerda, Joan/M-1099-2016</t>
  </si>
  <si>
    <t>Tsigenopoulos, Costas/0000-0003-0615-7941; Passos-Castilho, Ana Maria/0000-0002-4814-5191; Canario, Adelino/0000-0002-6244-6468; Bonhomme, Francois/0000-0002-8792-9239; Cancela, M. Leonor/0000-0003-3114-6662; Reinhardt, Richard/0000-0001-9376-2132; Louro, Bruno/0000-0001-8164-581X; Clark, Melody/0000-0002-3442-3824; Planas, Josep/0000-0002-6525-9617; Cerda, Joan/0000-0003-2568-6398</t>
  </si>
  <si>
    <t>European Commission of the European Union through the Network of Excellence Marine Genomics Europe [GOCE-CT-2004-505403]; Portuguese National Science Foundation [SFRH/BD/29171/2006]; SABRETRAIN; NERC [bas0100025] Funding Source: UKRI; Natural Environment Research Council [bas0100025] Funding Source: researchfish; Fundação para a Ciência e a Tecnologia [SFRH/BD/29171/2006] Funding Source: FCT</t>
  </si>
  <si>
    <t>European Commission of the European Union through the Network of Excellence Marine Genomics Europe; Portuguese National Science Foundation(Fundacao para a Ciencia e a Tecnologia (FCT)); SABRETRAIN;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</si>
  <si>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The authors acknowledge funding by the European Commission of the European Union through the Network of Excellence Marine Genomics Europe (contract GOCE-CT-2004-505403). BL benefited from the Portuguese National Science Foundation (SFRH/BD/29171/2006) and SABRETRAIN Marie Curie EST fellowships. The authors thank Dr.Juan Fuentes and Carla Viegas (Centre of Marine Sciences) for the tissue collection and RNA extraction, respectively, and Sven Klages (MPI Molecular Genetics) for the bioinformatic support.</t>
  </si>
  <si>
    <t>10.1016/j.margen.2010.09.005</t>
  </si>
  <si>
    <t>WOS:000285491200007</t>
  </si>
  <si>
    <t>Palmer, AS; Snape, I; Townsend, AT; Stark, JS; Samson, C; Riddle, MJ</t>
  </si>
  <si>
    <t>Palmer, A. S.; Snape, I.; Townsend, A. T.; Stark, J. S.; Samson, C.; Riddle, M. J.</t>
  </si>
  <si>
    <t>Sediment profile characterisation at contaminated and reference locations in the Windmill Islands, East Antarctica</t>
  </si>
  <si>
    <t>MARINE POLLUTION BULLETIN</t>
  </si>
  <si>
    <t>Eh; pH; Depth profile; Contamination; Casey station; Partial extraction</t>
  </si>
  <si>
    <t>HEAVY-METAL CONTAMINATION; CASEY-STATION; MARINE-SEDIMENTS; ENVIRONMENTAL VARIABLES; COASTAL; COMMUNITIES; MOBILITY; PB</t>
  </si>
  <si>
    <t>Sediment profiles for pH, Eh, 28 elements, water and organic content are presented here for human impacted and reference locations in the Windmill islands, East Antarctica. Variations in element concentrations are observed with increasing depth, especially at Brown Bay where the impact of past human activities is most pronounced in the top 10 cm. Spatial differences were observed between sediment profiles at reference and impacted locations and were largely explained by Pb variability in the top 5 cm. Median element concentrations from surface, middle and bottom regions of the sediment profile were compared to composite sample medians (no depth stratigraphy) for 11 elements at O'Brien Bay (reference) and Brown Bay (impacted). Pronounced differences were observed for Brown Bay, particularly surface and middle sections, implying that composite samples dilute the near surface anthropogenic signal by mixing with deeper uncontaminated sediment. (C) 2010 Elsevier Ltd. All rights reserved.</t>
  </si>
  <si>
    <t>[Palmer, A. S.; Snape, I.; Stark, J. S.; Samson, C.; Riddle, M. J.] Australian Antarctic Div, Kingston, Tas 7050, Australia; [Palmer, A. S.] Univ Tasmania, Sch Chem, ACROSS, Hobart, Tas 7001, Australia; [Townsend, A. T.] Univ Tasmania, Cent Sci Lab, Hobart, Tas 7001, Australia</t>
  </si>
  <si>
    <t>Australian Antarctic Division; University of Tasmania; University of Tasmania</t>
  </si>
  <si>
    <t>Palmer, AS (corresponding author), Australian Antarctic Div, Kingston, Tas 7050, Australia.</t>
  </si>
  <si>
    <t>Anne.Palmer@utas.edu.au</t>
  </si>
  <si>
    <t>Stark, Jonathan/ABF-4025-2020; Townsend, Ashley/J-7445-2014</t>
  </si>
  <si>
    <t>Stark, Jonathan/0000-0002-4268-8072; Townsend, Ashley/0000-0002-2972-2678</t>
  </si>
  <si>
    <t>Australian Antarctic Science [2201, 2385]</t>
  </si>
  <si>
    <t>Australian Antarctic Science</t>
  </si>
  <si>
    <t>This work was supported by two Australian Antarctic Science Grants (Project No. 2201 and 2385). The authors wish to thank the personnel involved in the collection of material throughout this project, in particular Bronwyn Lamer and the diving teams from the summers of 2002/03,2003/04,2005/06 and 2006/07.</t>
  </si>
  <si>
    <t>0025-326X</t>
  </si>
  <si>
    <t>1879-3363</t>
  </si>
  <si>
    <t>MAR POLLUT BULL</t>
  </si>
  <si>
    <t>Mar. Pollut. Bull.</t>
  </si>
  <si>
    <t>10.1016/j.marpolbul.2010.04.013</t>
  </si>
  <si>
    <t>Environmental Sciences; Marine &amp; Freshwater Biology</t>
  </si>
  <si>
    <t>653FY</t>
  </si>
  <si>
    <t>WOS:000282075500028</t>
  </si>
  <si>
    <t>Macke, RJ; Consolmagno, GJ; Britt, DT; Hutson, ML</t>
  </si>
  <si>
    <t>Macke, Robert J.; Consolmagno, Guy J.; Britt, Daniel T.; Hutson, Melinda L.</t>
  </si>
  <si>
    <t>Enstatite chondrite density, magnetic susceptibility, and porosity</t>
  </si>
  <si>
    <t>METEORITES; CLASSIFICATION; BRECCIA; CLASTS; ORIGIN; METAMORPHISM; STONY; METAL; SHOCK; ABEE</t>
  </si>
  <si>
    <t>As part of our continuing survey of meteorite physical properties, we measured grain and bulk density, porosity, and magnetic susceptibility for 41 stones from 23 enstatite chondrites (ECs), all with masses greater than 10 g, representing the majority of falls and a significant percentage of all available non-Antarctic EC meteorites. Our sampling included a mix of falls and finds. For falls, grain densities range from 3.45 to 4.17 g cm-3, averaging 3.66 g cm-3; bulk densities range from 3.15 to 4.10 g cm-3, averaging 3.55 g cm-3; porosities range from 0 to 12% with the majority less than 7%, and magnetic susceptibilities (in log units of 10-9 m3 kg-1) from 5.30 to 5.64, with an average of 5.47. For finds, weathering reduces both grain and bulk densities as well as magnetic susceptibilities. On average, finds have much higher porosity than falls. The two EC subgroups EH and EL, nominally distinguished by total iron content, exhibit similar values for all of the properties measured, indicating similar metallic iron content in the bulk stones of both subgroups. We also observed considerable intra-meteorite variation, with inhomogeneities in bulk and grain densities at scales up to approximately 40 g (approximately 12 cm3).</t>
  </si>
  <si>
    <t>[Macke, Robert J.; Britt, Daniel T.] Univ Cent Florida, Dept Phys, Orlando, FL 32816 USA; [Consolmagno, Guy J.] Vatican Observ, V-00120 Citta Del Vaticano, Vatican; [Hutson, Melinda L.] Portland State Univ, Dept Geol, Portland, OR 97207 USA</t>
  </si>
  <si>
    <t>State University System of Florida; University of Central Florida; Vatican Observatory; Portland State University</t>
  </si>
  <si>
    <t>Macke, RJ (corresponding author), Univ Cent Florida, Dept Phys, 4000 Cent Florida Blvd, Orlando, FL 32816 USA.</t>
  </si>
  <si>
    <t>macke@alum.mit.edu</t>
  </si>
  <si>
    <t>NASA [NNG06GG62G]; Smithsonian Institution Graduate Student Fellowship</t>
  </si>
  <si>
    <t>NASA(National Aeronautics &amp; Space Administration (NASA)); Smithsonian Institution Graduate Student Fellowship</t>
  </si>
  <si>
    <t>We wish to thank many curators and collections managers for granting access to their collections: Glenn MacPherson and Linda Welzenbach at the Smithsonian Institution; Denton Ebel and Joe Boesenberg at the American Museum of Natural History; Caroline Smith at the Natural History Museum (London); Arthur Ehlmann and Teresa Moss at the Monnig Collection, Texas Christian University; Carl Agee and Jim Karner at the Institute of Meteoritics, University of New Mexico; and Meenakshi Wadhwa and Laurence Garvie at the Center for Meteorite Studies, Arizona State University. We also wish to thank Alan Rubin, Pierre Rochette, and Melissa Strait for their insightful reviewer comments. This research was supported financially by NASA grant NNG06GG62G. Robert Macke's research at the Smithsonian was supported by a Smithsonian Institution Graduate Student Fellowship.</t>
  </si>
  <si>
    <t>10.1111/j.1945-5100.2010.01129.x</t>
  </si>
  <si>
    <t>694NA</t>
  </si>
  <si>
    <t>WOS:000285303700008</t>
  </si>
  <si>
    <t>Weisberg, MK; Smith, C; Herd, C; Haack, H; Yamaguchi, A; Aoudjehane, HC; Welzenbach, L; Grossman, JN</t>
  </si>
  <si>
    <t>Weisberg, Michael K.; Smith, Caroline; Herd, Christopher; Haack, Henning; Yamaguchi, Akira; Aoudjehane, Hasnaa Chennaoui; Welzenbach, Linda; Grossman, Jeffrey N.</t>
  </si>
  <si>
    <t>The Meteoritical Bulletin, No. 98, September 2010</t>
  </si>
  <si>
    <t>This issue of The Meteoritical Bulletin reports information on 1103 meteorites including 281 non-Antarctic meteorites (Table 1) and 822 Antarctic meteorites (Table 2). Reported in full written descriptions are three falls. Full descriptions are also given for three shergottites, two ungrouped irons, a primitive achondrite, an olivine diogenite, and a lunar meteorite. One iron, Gebel Kamil, was found in and around the Kamil impact crater. Also reported is a new dense collection area in Tunisia. Tables list a wide variety of meteorites including chondrites, ureilites, irons, acapulcoites, and HEDs. Antarctic meteorites reported in this edition include meteorites recovered by ANSMET (US), CHINARE (China), KOREAMET (Korea), and the NIPR (Japan) meteorite recovery programs.</t>
  </si>
  <si>
    <t>[Weisberg, Michael K.] Kingsborough Community Coll, Dept Phys Sci, Brooklyn, NY 11235 USA; [Weisberg, Michael K.] CUNY, Grad Sch, Brooklyn, NY 11235 USA; [Weisberg, Michael K.] Amer Museum Nat Hist, Dept Earth &amp; Planetary Sci, New York, NY 10024 USA; [Smith, Caroline] Nat Hist Museum, Dept Mineral, London SW7 5BD, England; [Smith, Caroline] Univ Glasgow, Sch Geog &amp; Earth Sci, Glasgow G12 8QQ, Lanark, Scotland; [Herd, Christopher] Univ Alberta, Dept Earth &amp; Atmospher Sci, Edmonton, AB T6G 2E3, Canada; [Haack, Henning] Univ Copenhagen, Nat Hist Museum Denmark, DK-1350 Copenhagen K, Denmark; [Yamaguchi, Akira] Natl Inst Polar Res, Antarctic Meteorite Res Ctr, Tokyo 1908518, Japan; [Aoudjehane, Hasnaa Chennaoui] Univ Hassan 2, Fac Sci, Dept Geol, Casablanca, Morocco; [Welzenbach, Linda] Smithsonian Inst, Washington, DC 20013 USA; [Grossman, Jeffrey N.] NASA, Washington, DC 20546 USA</t>
  </si>
  <si>
    <t>City University of New York (CUNY) System; City University of New York (CUNY) System; American Museum of Natural History (AMNH); Natural History Museum London; University of Glasgow; University of Alberta; University of Copenhagen; Research Organization of Information &amp; Systems (ROIS); National Institute of Polar Research (NIPR) - Japan; Hassan II University of Casablanca; Smithsonian Institution; National Aeronautics &amp; Space Administration (NASA)</t>
  </si>
  <si>
    <t>Weisberg, MK (corresponding author), Kingsborough Community Coll, Dept Phys Sci, 2001 Oriental Blvd, Brooklyn, NY 11235 USA.</t>
  </si>
  <si>
    <t>meteorite@kingsborough.edu</t>
  </si>
  <si>
    <t>Smith, Caroline/AAO-3652-2020; Chennaoui, Hasnaa/KGL-7333-2024; Herd, Christopher/IYJ-9105-2023; Haack, Henning/A-4807-2013</t>
  </si>
  <si>
    <t>Smith, Caroline/0000-0001-7005-6470; Chennaoui, Hasnaa/0000-0001-8792-246X; Haack, Henning/0000-0002-4618-3178; Herd, Christopher/0000-0001-5210-4002</t>
  </si>
  <si>
    <t>EC</t>
  </si>
  <si>
    <t>EC(European Union (EU)European Commission Joint Research Centre)</t>
  </si>
  <si>
    <t>LF was supported by the EC through the ORIGINS project.</t>
  </si>
  <si>
    <t>10.1111/j.1945-5100.2010.01119.x</t>
  </si>
  <si>
    <t>WOS:000285303700011</t>
  </si>
  <si>
    <t>Weber, TS; Deutsch, C</t>
  </si>
  <si>
    <t>Weber, Thomas S.; Deutsch, Curtis</t>
  </si>
  <si>
    <t>Ocean nutrient ratios governed by plankton biogeography</t>
  </si>
  <si>
    <t>ANTARCTIC CIRCUMPOLAR CURRENT; GLACIAL SOUTHERN-OCEAN; ELEMENTAL STOICHIOMETRY; MARINE-PHYTOPLANKTON; COMMUNITY STRUCTURE; NITROGEN-FIXATION; PACIFIC-OCEAN; CO2; DENITRIFICATION; PHOSPHORUS</t>
  </si>
  <si>
    <t>The major nutrients nitrate and phosphate have one of the strongest correlations in the sea, with a slope similar to the average nitrogen (N) to phosphorus (P) content of plankton biomass (N/P = 16:1). The processes through which this global relationship emerges despite the wide range of N/P ratios at the organism level are not known. Here we use an ocean circulation model and observed nutrient distributions to show that the N/P ratio of biological nutrient removal varies across latitude in Southern Ocean surface waters, from 12: 1 in the polar ocean to 20: 1 in the sub-Antarctic zone. These variations are governed by regional differences in the species composition of the plankton community. The covariation of dissolved nitrate and phosphate is maintained by ocean circulation, which mixes the shallow subsurface nutrients between distinct biogeographic provinces. Climate-driven shifts in these marine biomes may alter the mean N/P ratio and the associated carbon export by Southern Ocean ecosystems.</t>
  </si>
  <si>
    <t>[Weber, Thomas S.; Deutsch, Curtis] Univ Calif Los Angeles, Dept Atmospher &amp; Ocean Sci, Los Angeles, CA 90095 USA</t>
  </si>
  <si>
    <t>Weber, TS (corresponding author), Univ Calif Los Angeles, Dept Atmospher &amp; Ocean Sci, Los Angeles, CA 90095 USA.</t>
  </si>
  <si>
    <t>tweber@atmos.ucla.edu</t>
  </si>
  <si>
    <t>Deutsch, Curtis A/D-1703-2011</t>
  </si>
  <si>
    <t>Deutsch, Curtis/0000-0003-3923-0797</t>
  </si>
  <si>
    <t>National Science Foundation; Gordon and Betty Moore Foundation; UCLA; Directorate For Geosciences [0747533, 0851483] Funding Source: National Science Foundation; Div Atmospheric &amp; Geospace Sciences [0747533] Funding Source: National Science Foundation; Division Of Ocean Sciences [0851483] Funding Source: National Science Foundation</t>
  </si>
  <si>
    <t>National Science Foundation(National Science Foundation (NSF)); Gordon and Betty Moore Foundation(Gordon and Betty Moore Foundation); UCLA(University of California System); Directorate For Geosciences(National Science Foundation (NSF)NSF - Directorate for Geosciences (GEO)); Div Atmospheric &amp; Geospace Sciences(National Science Foundation (NSF)NSF - Directorate for Geosciences (GEO)); Division Of Ocean Sciences(National Science Foundation (NSF)NSF - Directorate for Geosciences (GEO))</t>
  </si>
  <si>
    <t>We thank S. Khatiwala for providing the transport matrix. This work was funded by grants from the National Science Foundation and the Gordon and Betty Moore Foundation. Additional support for T.S.W. was provided by a Pauley Fellowship from UCLA.</t>
  </si>
  <si>
    <t>10.1038/nature09403</t>
  </si>
  <si>
    <t>655TT</t>
  </si>
  <si>
    <t>WOS:000282273100030</t>
  </si>
  <si>
    <t>Conklin, JR; Battley, PF; Potter, MA; Fox, JW</t>
  </si>
  <si>
    <t>Conklin, Jesse R.; Battley, Phil F.; Potter, Murray A.; Fox, James W.</t>
  </si>
  <si>
    <t>Breeding latitude drives individual schedules in a trans-hemispheric migrant bird</t>
  </si>
  <si>
    <t>NATURE COMMUNICATIONS</t>
  </si>
  <si>
    <t>BAR-TAILED GODWITS; RUSSIAN BARNACLE GEESE; LONG-DISTANCE MIGRANT; MIGRATORY BIRDS; CALIDRIS-CANUTUS; CLIMATE-CHANGE; PACIFIC-OCEAN; NEW-ZEALAND; RED-KNOTS; SIGNALS</t>
  </si>
  <si>
    <t>Despite clear benefits of optimal arrival time on breeding grounds, migration schedules may vary with an individual bird's innate quality, non-breeding habitat or breeding destination. Here, we show that for the bar-tailed godwit (Limosa lapponica baueri), a shorebird that makes the longest known non-stop migratory flights of any bird, timing of migration for individual birds from a non-breeding site in New Zealand was strongly correlated with their specific breeding latitudes in Alaska, USA, a 16,000-18,000 km journey away. Furthermore, this variation carried over even to the southbound return migration, 6 months later, with birds returning to New Zealand in approximately the same order in which they departed. These tightly scheduled movements on a global scale suggest endogenously controlled routines, with breeding site as the primary driver of temporal variation throughout the annual cycle.</t>
  </si>
  <si>
    <t>[Conklin, Jesse R.; Battley, Phil F.; Potter, Murray A.] Massey Univ, Ecol Grp, Inst Nat Resources, Palmerston North 4442, New Zealand; [Fox, James W.] British Antarctic Survey, Nat Environm Res Council, Cambridge CB3 0ET, England</t>
  </si>
  <si>
    <t>Massey University; UK Research &amp; Innovation (UKRI); Natural Environment Research Council (NERC); NERC British Antarctic Survey</t>
  </si>
  <si>
    <t>Conklin, JR (corresponding author), Massey Univ, Ecol Grp, Inst Nat Resources, Private Bag 11-222, Palmerston North 4442, New Zealand.</t>
  </si>
  <si>
    <t>conklin.jesse@gmail.com</t>
  </si>
  <si>
    <t>Potter, Murray A/E-5816-2011; Battley, Philip/AAI-1443-2021; Conklin, Jesse/ISA-4017-2023</t>
  </si>
  <si>
    <t>Battley, Philip/0000-0002-8590-8098; Potter, Murray/0000-0002-0246-8294; Fox, James W./0000-0002-3107-696X</t>
  </si>
  <si>
    <t>David and Lucile Packard Foundation; Marsden Fund; NERC [bas010013] Funding Source: UKRI; Natural Environment Research Council [bas010013] Funding Source: researchfish</t>
  </si>
  <si>
    <t>David and Lucile Packard Foundation(The David &amp; Lucile Packard Foundation); Marsden Fund(Royal Society of New ZealandMarsden Fund (NZ)); NERC(UK Research &amp; Innovation (UKRI)Natural Environment Research Council (NERC)); Natural Environment Research Council(UK Research &amp; Innovation (UKRI)Natural Environment Research Council (NERC))</t>
  </si>
  <si>
    <t>We thank D. Melville, A. Riegen and R. Schuckard for godwit capture assistance, and L. Tibbitts for assistance with the Figure 2 map. The paper benefited from comments by D. Penny. This project was supported by the David and Lucile Packard Foundation through the Pacific Shorebird Migration Project, and by a Marsden Fund grant administered by The Royal Society of New Zealand to P.F.B.</t>
  </si>
  <si>
    <t>2041-1723</t>
  </si>
  <si>
    <t>NAT COMMUN</t>
  </si>
  <si>
    <t>Nat. Commun.</t>
  </si>
  <si>
    <t>10.1038/ncomms1072</t>
  </si>
  <si>
    <t>673GE</t>
  </si>
  <si>
    <t>WOS:000283646500006</t>
  </si>
  <si>
    <t>Quillfeldt, P; Martínez, J; Hennicke, J; Ludynia, K; Gladbach, A; Masello, JF; Riou, S; Merino, S</t>
  </si>
  <si>
    <t>Quillfeldt, Petra; Martinez, Javier; Hennicke, Janos; Ludynia, Katrin; Gladbach, Anja; Masello, Juan F.; Riou, Samuel; Merino, Santiago</t>
  </si>
  <si>
    <t>Hemosporidian blood parasites in seabirds-a comparative genetic study of species from Antarctic to tropical habitats</t>
  </si>
  <si>
    <t>NATURWISSENSCHAFTEN</t>
  </si>
  <si>
    <t>Avian hematozoa; Blood parasites; Hemoparasites; Innate immunity; Seabirds</t>
  </si>
  <si>
    <t>THIN-BILLED PRIONS; PACHYPTILA-BELCHERI; MALARIA PARASITES; AVIAN HEMATOZOA; HEPATOZOON APICOMPLEXA; PROVISIONING RULES; HAEMOPROTEUS LARI; BREEDING BIOLOGY; HOST-SPECIFICITY; MANX SHEARWATERS</t>
  </si>
  <si>
    <t>Whereas some bird species are heavily affected by blood parasites in the wild, others reportedly are not. Seabirds, in particular, are often free from blood parasites, even in the presence of potential vectors. By means of polymerase chain reaction, we amplified a DNA fragment from the cytochrome b gene to detect parasites of the genera Plasmodium, Leucocytozoon, and Haemoproteus in 14 seabird species, ranging from Antarctica to the tropical Indian Ocean. We did not detect parasites in 11 of these species, including one Antarctic, four subantarctic, two temperate, and four tropical species. On the other hand, two subantarctic species, thin-billed prions Pachyptila belcheri and dolphin gulls Larus scoresbii, were found infected. One of 28 thin-billed prions had a Plasmodium infection whose DNA sequence was identical to lineage P22 of Plasmodium relictum, and one of 20 dolphin gulls was infected with a Haemoproteus lineage which appears phylogenetically clustered with parasites species isolated from passeriform birds such as Haemoproteus lanii, Haemoproteus magnus, Haemoproteus fringillae, Haemoproteus sylvae, Haemoproteus payevskyi, and Haemoproteus belopolskyi. In addition, we found a high parasite prevalence in a single tropical species, the Christmas Island frigatebird Fregata andrewsi, where 56% of sampled adults were infected with Haemoproteus. The latter formed a monophyletic group that includes a Haemoproteus line from Eastern Asian black-tailed gulls Larus crassirostris. Our results are in agreement with those showing that (a) seabirds are poor in hemosporidians and (b) latitude could be a determining factor to predict the presence of hemosporidians in birds. However, further studies should explore the relative importance of extrinsic and intrinsic factors on parasite prevalence, in particular using phylogenetically controlled comparative analyses, systematic sampling and screening of vectors, and within-species comparisons.</t>
  </si>
  <si>
    <t>[Quillfeldt, Petra; Ludynia, Katrin; Gladbach, Anja; Masello, Juan F.] Vogelwarte Radolfzell, Max Planck Inst Ornithol, D-78315 Radolfzell am Bodensee, Germany; [Martinez, Javier] Univ Alcala de Henares, Dept Microbiol &amp; Parasitol, Madrid, Spain; [Hennicke, Janos] Univ Hamburg, Abt Okol &amp; Naturschutz, Biozentrum Grindel, D-20146 Hamburg, Germany; [Ludynia, Katrin] Univ Cape Town, Anim Demog Unit, Dept Zool, ZA-7701 Cape Town, South Africa; [Riou, Samuel] Univ Leeds, Inst Integrat &amp; Comparat Biol, Leeds LS2 9JT, W Yorkshire, England; [Merino, Santiago] CSIC, Museo Nacl Ciencias Nat, Dept Ecol Evolut, E-28006 Madrid, Spain</t>
  </si>
  <si>
    <t>Max Planck Society; Universidad de Alcala; University of Hamburg; University of Cape Town; University of Leeds; Consejo Superior de Investigaciones Cientificas (CSIC); CSIC - Museo Nacional de Ciencias Naturales (MNCN)</t>
  </si>
  <si>
    <t>Quillfeldt, P (corresponding author), Vogelwarte Radolfzell, Max Planck Inst Ornithol, Schlossallee 2, D-78315 Radolfzell am Bodensee, Germany.</t>
  </si>
  <si>
    <t>Merino, Santiago/A-6183-2008; Quillfeldt, Petra/A-9549-2009; Masello, Juan Francisco/C-7133-2009; Martinez, Javier/H-2827-2015</t>
  </si>
  <si>
    <t>Merino, Santiago/0000-0003-0603-8280; Quillfeldt, Petra/0000-0002-4450-8688; Masello, Juan Francisco/0000-0002-6826-4016; Ludynia, Katrin/0000-0002-0353-1929; Martinez, Javier/0000-0003-2657-1154</t>
  </si>
  <si>
    <t>Synthesys [ES-TAF 5680]; Falkland Islands Government (Environmental Planning Office); University of Hamburg; Christmas Island Tourist Association; Island Explorer Holidays; CI Territory Week Committee; CI Island Care; Spanish Ministry of Science and Technology [CGL2009-09439]; DFG, Germany [Qu 148/1-ff]</t>
  </si>
  <si>
    <t>Synthesys; Falkland Islands Government (Environmental Planning Office); University of Hamburg; Christmas Island Tourist Association; Island Explorer Holidays; CI Territory Week Committee; CI Island Care; Spanish Ministry of Science and Technology(Spanish Government); DFG, Germany(German Research Foundation (DFG))</t>
  </si>
  <si>
    <t>This work was made possible by a Synthesys grant (ES-TAF 5680). We would like to thank for assistance at New Island: Hendrika (Riek) van Noordwijk, Maud Poisbleau, Laurent Demongin, and Andreas Michalik; at Christmas Island: Lena Braun, Kai Flachsbarth, Nina Dehnhard, Juan Navarro, Michael and Irene Spindler, and Mariska van der Stap; and in the laboratory: Jessica Herrero. We would like to thank Keith Hamer for supervising the fieldwork at Skomer Island. The New Island Conservation Trust and Ian, Maria and Georgina Strange and Dan Birch facilitated fieldwork at New Island, which was approved and co-funded by the Falkland Islands Government (Environmental Planning Office). Fieldwork on Christmas Island was conducted within the framework of the Christmas Island Seabird Project (www.seabirdproject.cx) which was supported by the University of Hamburg Research Fund, Christmas Island Tourist Association, Island Explorer Holidays, CI Territory Week Committee, and CI Island Care. Fieldwork was approved by Parks Australia North Christmas Island and Darwin and the Animal Ethics Committee of the Charles Darwin University, Darwin, Australia. Parks Australia North Christmas Island helped with logistics. During the preparation of this work, JM and SM were supported by project CGL2009-09439 from the Spanish Ministry of Science and Technology and PQ by a grant from DFG, Germany (Qu 148/1-ff). We are grateful to two anonymous referees for constructive comments on this manuscript.</t>
  </si>
  <si>
    <t>0028-1042</t>
  </si>
  <si>
    <t>1432-1904</t>
  </si>
  <si>
    <t>Naturwissenschaften</t>
  </si>
  <si>
    <t>10.1007/s00114-010-0698-3</t>
  </si>
  <si>
    <t>644QD</t>
  </si>
  <si>
    <t>WOS:000281393700003</t>
  </si>
  <si>
    <t>Font, E; Nédélec, A; Trindade, RIF; Moreau, C</t>
  </si>
  <si>
    <t>Font, E.; Nedelec, A.; Trindade, R. I. F.; Moreau, C.</t>
  </si>
  <si>
    <t>Fast or slow melting of the Marinoan snowball Earth? The cap dolostone record</t>
  </si>
  <si>
    <t>Neoproterozoic; Marinoan glaciation; Snowball Earth; Cap dolostone; Magnetostratigraphy; Microbially-mediated dolomite precipitation; Carbon cycle</t>
  </si>
  <si>
    <t>LAST GLACIAL MAXIMUM; MAGNETIC REVERSAL FREQUENCY; LOW-LATITUDE GLACIATION; LAC-DU-BOUCHET; SEA-LEVEL; AMAZON CRATON; ICE SHEETS; REMANENT MAGNETIZATION; CARBONATE PLATFORM; ANTARCTIC ICE</t>
  </si>
  <si>
    <t>The end of the Neoproterozoic era is punctuated by two global glacial events marked by the presence of glacial deposits overlaid by cap carbonates. Duration of glacial intervals is now consistently constrained to 3-12 million years but the duration of the post-glacial transition is more controversial due to the uncertainty in cap dolostone sedimentation rates. Indeed, the presence of several stratabound magnetic reversals in Brazilian cap dolostones recently questioned the short sedimentation duration (a few thousand years at most) that was initially suggested for these rocks. Here, we present new detailed magnetostratigraphic data of the Mirassol d'Oeste cap dolostones (Mato Grosso, Brazil) and bomb-spike calibrated AMS C-14 data of microbial mats from the Lagoa Vermelha (Rio de Janeiro, Brazil). We also compile sedimentary, isotopic and microbiological data from post-Marinoan outcrops and/or recent depositional analogues in order to discuss the deposition rate of Marinoan cap dolostones and to infer an estimation of the deglaciation duration in the snowball Earth aftermath. Taken together, the various data point to a sedimentation duration in the range of a few 10(5) years. (C) 2010 Elsevier B.V. All rights reserved.</t>
  </si>
  <si>
    <t>[Font, E.] Univ Lisbon, IDL, Fac Ciencias, P-1749016 Lisbon, Portugal; [Nedelec, A.] Univ Toulouse, LMTG, UMR 5563, CNRS IRD,OMP, F-31400 Toulouse, France; [Trindade, R. I. F.] Univ Sao Paulo, Inst Astron Geofis &amp; Ciencias Atmosfer, Sao Paulo, Brazil; [Moreau, C.] CEA Saclay, LMC14, UMS2572, F-91191 Gif Sur Yvette, France</t>
  </si>
  <si>
    <t>Universidade de Lisboa; Universite de Toulouse; Universite Toulouse III - Paul Sabatier; Centre National de la Recherche Scientifique (CNRS); Institut de Recherche pour le Developpement (IRD); CNRS - National Institute for Earth Sciences &amp; Astronomy (INSU); Universidade de Sao Paulo; CEA; Centre National de la Recherche Scientifique (CNRS); Institut de Recherche pour le Developpement (IRD); Universite Paris Saclay</t>
  </si>
  <si>
    <t>Font, E (corresponding author), Univ Lisbon, IDL, Fac Ciencias, EdificioC8,Sala 8-3-22, P-1749016 Lisbon, Portugal.</t>
  </si>
  <si>
    <t>font_eric@hotmail.com</t>
  </si>
  <si>
    <t>Font, Eric/A-6809-2008; Trindade, Ricardo/A-8146-2008</t>
  </si>
  <si>
    <t>Font, Eric/0000-0002-0867-6529; NEDELEC, Anne/0000-0003-4038-4224; Trindade, Ricardo/0000-0001-9848-9550</t>
  </si>
  <si>
    <t>Brazilian FAPESP [98/03621-4, 02/02762-0]; French CNRS; CAPES-COFECUB [442/4, 442/04/06]; INSU-ARTEMIS; Fundacao de Amparo a Pesquisa do Estado de Sao Paulo (FAPESP) [98/03621-4] Funding Source: FAPESP</t>
  </si>
  <si>
    <t>Brazilian FAPESP(Fundacao de Amparo a Pesquisa do Estado de Sao Paulo (FAPESP)); French CNRS(Centre National de la Recherche Scientifique (CNRS)); CAPES-COFECUB(Coordenacao de Aperfeicoamento de Pessoal de Nivel Superior (CAPES)); INSU-ARTEMIS; Fundacao de Amparo a Pesquisa do Estado de Sao Paulo (FAPESP)(Fundacao de Amparo a Pesquisa do Estado de Sao Paulo (FAPESP))</t>
  </si>
  <si>
    <t>This research was supported by the Brazilian FAPESP (grants 98/03621-4 and 02/02762-0), the French CNRS program ECLIPSE and the CAPES-COFECUB cooperation program (442/4). We acknowledge A. Nogueira and C. Riccomini for their important help in the stratigraphic control of the sampling in MO quarry. Particular thanks are given to Paul Hoffman for numerous discussions and for inviting E.F. to the 2008 geological excursion in Namibia. Discussions with Y. Donnadieu, G. Le Hir, C. Ritz, Y. Godderis, H. Gallee and F. Remy are also acknowledged. The trip to Lagoa Vermelha was supported by the CAPES-COFECUB Project 442/04/06 of A.N. and R.I.F.T. We thank the contribution of J.P. Dumoulin of the Laboratoire de Mesure du Carbone 14 of Gif-sur-Yvette. 14C dating was supported by the INSU-ARTEMIS program. Constructive reviews by P. Hoffman and an anonymous reviewer contributed greatly to improve the manuscript.</t>
  </si>
  <si>
    <t>10.1016/j.palaeo.2010.05.039</t>
  </si>
  <si>
    <t>642PR</t>
  </si>
  <si>
    <t>WOS:000281228800015</t>
  </si>
  <si>
    <t>Lister, KN; Lamare, MD; Burritt, DJ</t>
  </si>
  <si>
    <t>Lister, Kathryn Naomi; Lamare, Miles D.; Burritt, David J.</t>
  </si>
  <si>
    <t>Oxidative Damage in Response to Natural Levels of UV-B Radiation in Larvae of the Tropical Sea Urchin Tripneustes gratilla</t>
  </si>
  <si>
    <t>PHOTOCHEMISTRY AND PHOTOBIOLOGY</t>
  </si>
  <si>
    <t>SOLAR ULTRAVIOLET-RADIATION; INDUCED DNA-DAMAGE; OZONE DEPLETION; STRESS; GLUTATHIONE; ASSAY; EMBRYOS; DEFENSE; REPAIR</t>
  </si>
  <si>
    <t>To assess the effects of UV radiation (280-400 nm) on development, oxidative damage and antioxidant defence in larvae of the tropical sea urchin Tripneustes gratilla, a field experiment was conducted at two depths in Aitutaki, Cook Islands (18.85 degrees S, 159.75 degrees E) in May 2008. Compared with field controls (larvae shielded from UV-R but exposed to VIS-radiation), UV-B exposure resulted in developmental abnormality and increases in oxidative damage to proteins (but not lipids) in embryos of T. gratilla held at 1 m depth. Results also indicated that larvae had the capacity to increase the activities of protective antioxidant enzymes when exposed to UV-B. The same trends in oxidative damage and antioxidant defence were observed for embryos held at 4 m, although the differences were smaller and more variable. In contrast to UV-B exposure, larvae exposed to UV-A only showed no significant increases in abnormality or oxidative damage to lipids and proteins compared with field controls. This was true at both experimental depths. Furthermore, exposure to UV-A did not cause a significant increase in the activities of antioxidants. This study indicates that oxidative stress is an important response of tropical sea urchin larvae to exposure to UV radiation.</t>
  </si>
  <si>
    <t>[Lister, Kathryn Naomi; Lamare, Miles D.] Univ Otago, Dept Marine Sci, Dunedin, New Zealand; [Burritt, David J.] Univ Otago, Dept Bot, Dunedin, New Zealand</t>
  </si>
  <si>
    <t>University of Otago; University of Otago</t>
  </si>
  <si>
    <t>Lister, KN (corresponding author), Univ Otago, Dept Marine Sci, Dunedin, New Zealand.</t>
  </si>
  <si>
    <t>kathryn.lister@otago.ac.nz</t>
  </si>
  <si>
    <t>Lamare, Miles M/A-7020-2010; Remy, Melanie/G-3598-2010</t>
  </si>
  <si>
    <t>Remy, Melanie/0000-0002-3238-2125; Lamare, Miles/0000-0001-8656-7240</t>
  </si>
  <si>
    <t>Kelly Tarlton's Antarctic Encounter and Underwater World; University of Otago</t>
  </si>
  <si>
    <t>Technical assistance in the field from the Cook Islands Ministry of Marine Resources, in particular Richard Story and his staff at the Cook Island Marine Research Centre is gratefully acknowledged. Thanks also go to Derek Richards, Alaric McCarthy and Dana Clark for help with field work. Kelly Tarlton's Antarctic Encounter and Underwater World provided financial support for this project. This research was funded by a University of Otago research grant to MDL. Financial support in the form of a University of Otago Publishing Bursary was also provided to KNL.</t>
  </si>
  <si>
    <t>0031-8655</t>
  </si>
  <si>
    <t>1751-1097</t>
  </si>
  <si>
    <t>PHOTOCHEM PHOTOBIOL</t>
  </si>
  <si>
    <t>Photochem. Photobiol.</t>
  </si>
  <si>
    <t>10.1111/j.1751-1097.2010.00779.x</t>
  </si>
  <si>
    <t>Biochemistry &amp; Molecular Biology; Biophysics</t>
  </si>
  <si>
    <t>647SG</t>
  </si>
  <si>
    <t>WOS:000281638700016</t>
  </si>
  <si>
    <t>Lundholm, N; Hasle, GR</t>
  </si>
  <si>
    <t>Lundholm, Nina; Hasle, Grethe Rytter</t>
  </si>
  <si>
    <t>Fragilariopsis (Bacillariophyceae) of the Northern Hemisphere - morphology, taxonomy, phylogeny and distribution, with a description of F. pacifica sp. nov.</t>
  </si>
  <si>
    <t>PHYCOLOGIA</t>
  </si>
  <si>
    <t>SEA-ICE ALGAE; DIATOM BIOSTRATIGRAPHY; COMPLEX BACILLARIOPHYCEAE; ATLANTIC SECTOR; NITZSCHIA; PHYTOPLANKTON; COMMON; CYLINDRUS; EMPHASIS; DYNAMICS</t>
  </si>
  <si>
    <t>In polar areas, Fragilariopsis are among the most abundant phytoplankton organisms in plankton and ice. Four Fragilariopsis species, F. oceanica, E reginae-jahniae, F. atlantica and F. pacifica sp. nov., recorded from and apparently restricted to the Northern Hemisphere have been explored with regard to morphology, distribution and phylogeny. Morphologically the examined species are pair-wise very similar and easily confused. Hence, the numerous records of F. oceanica from sea ice and plankton in Arctic waters most likely include F reginae-jahniae. Fragilariopsis atlantica and the sibling species F. pacifica were found in the plankton, not in ice. All four species exhibit a pronounced valve variation related to the diminution of the apical length through vegetative reproduction (stadial variation). In F. oceanica and F. reginae-jahniae this is expressed by a variation in valve outline from being more linear to almost elliptical and in F. atlantica and F. pacifica by heteropolarity of the greater specimens. Fragilariopsis oceanica and F. reginae-jahniae differed in cell length and width, valve and girdle structures as did E atlantica and F. pacifica. In the phylogenetic tree of Fragilariopsis, a biogeographical subdivision appeared with the Antarctic Fragilariopsis taxa forming one clade, the bipolar taxa a second chide and the Arctic taxa were found in a third clade and basal in the tree. The phylogenetic analyses support the morphological data and show F. oceanica and E reginae-jahniae to be sister taxa. The morphologically defined E oceanica were found to be paraphyletic, representing two cryptic species.</t>
  </si>
  <si>
    <t>[Lundholm, Nina] Univ Copenhagen, Dept Biol, DK-1353 Copenhagen, Denmark; [Hasle, Grethe Rytter] Univ Oslo, Dept Biol, NO-0316 Blindern, Norway</t>
  </si>
  <si>
    <t>University of Copenhagen; University of Oslo</t>
  </si>
  <si>
    <t>Lundholm, N (corresponding author), Univ Copenhagen, Dept Biol, Oster Farimagsgade 2D, DK-1353 Copenhagen, Denmark.</t>
  </si>
  <si>
    <t>nlundholm@bio.ku.dk</t>
  </si>
  <si>
    <t>Lundholm, Nina/AAY-6249-2020</t>
  </si>
  <si>
    <t>Lundholm, Nina/0000-0002-2035-1997</t>
  </si>
  <si>
    <t>Department of Biology, University of Oslo</t>
  </si>
  <si>
    <t>We thank Rita Horner for providing a sample and LM of F. pacifica, Alice Chang for a sample with F. pacifica, Michel Poulin, Lyse Berard-Therriault and Real Gagnon for cultures and samples from Canada, Anette Sophie Grimsrud Davidsen for sediment from Norway, and Jorgen Kristiansen for translating the diagnosis of Fragilariopsis pacifier, to Latin. G.R.H. thanks the Department of Biology, University of Oslo, for continuing working facilities and technical and financial support. Erik E. Syvertsen assisted during the preliminary part of the study.</t>
  </si>
  <si>
    <t>0031-8884</t>
  </si>
  <si>
    <t>2330-2968</t>
  </si>
  <si>
    <t>Phycologia</t>
  </si>
  <si>
    <t>10.2216/09-97.1</t>
  </si>
  <si>
    <t>647BN</t>
  </si>
  <si>
    <t>WOS:000281590900004</t>
  </si>
  <si>
    <t>de Aranzamendi, MC; Martínez, JJ; Sahade, R</t>
  </si>
  <si>
    <t>Carla de Aranzamendi, Maria; Jose Martinez, Juan; Sahade, Ricardo</t>
  </si>
  <si>
    <t>Shape differentiation and characterization in the two morphotypes of the Antarctic limpet Nacella concinna using Elliptic Fourier analysis of shells</t>
  </si>
  <si>
    <t>Nacella concinna; Morphotypes; Shell shape; Multivariate analysis; Elliptic Fourier analysis</t>
  </si>
  <si>
    <t>QUANTITATIVE-EVALUATION; STREBEL; GROWTH; REPRODUCTION</t>
  </si>
  <si>
    <t>The Antarctic limpet Nacella concinna (Strebel 1908) presents two ecotypes (littoral and sublittoral) differing in morphological and behavioral characteristics and more recently discovered, in physiological traits and genetic population structure. Previous works, based on traditional morphometry, used only three measurements (length, width and height of the shell) and their relationships. However, this methodology could not describe in detail the shape of the morphotypes. In the present work, Elliptic Fourier analysis (EFA) of shells was used to study the shape of the two morphotypes in six localities along the Antarctic Peninsula. The use of EFA confirmed the morphometric differences. The littoral morphotype has higher and globose shells with the apex displaced to the anterior part; the sublittoral individuals are more flat and pointed, and have the apex very well defined. Low allometric effect was detected in SL individuals, whereas L specimens did not show an allometric relationship within the examined size range. Differences in shell shape among localities were recorded. EFA analysis reflected the overall shell shape and allowed to characterize the main differences in shell shape between ecotypes that were difficult to quantify using the standard morphometric approach.</t>
  </si>
  <si>
    <t>[Carla de Aranzamendi, Maria; Jose Martinez, Juan; Sahade, Ricardo] Univ Nacl Cordoba, Fac Ciencias Exactas Fis &amp; Nat, RA-5000 Cordoba, Argentina</t>
  </si>
  <si>
    <t>National University of Cordoba</t>
  </si>
  <si>
    <t>rsahade@efn.uncor.edu</t>
  </si>
  <si>
    <t>de Aranzamendi, Maria Carla/0000-0003-4442-0384; Sahade, Ricardo/0000-0001-5650-8135</t>
  </si>
  <si>
    <t>Instituto Antartico Argentino; CONICET; Universidad Nacional de Cordoba; FONCyT</t>
  </si>
  <si>
    <t>Instituto Antartico Argentino; CONICET(Consejo Nacional de Investigaciones Cientificas y Tecnicas (CONICET)); Universidad Nacional de Cordoba; FONCyT(FONCyT)</t>
  </si>
  <si>
    <t>We are grateful to Julieta Antacli and Alexia Stellfeldt for the samples collection at Potter Cove and to Cristian Lagger for his help on the mapping work. RS wants to thank especially to his diving companions Mario Cyr, Charles Corbier and Gaston Arsenault, to Jean Lemire Captain of the Sedna IV for his invitation to participate on the Antarctic Mission'' cruise allowing the samples collection along the Antarctic Peninsula and to Nicolas, Claude, Stephan and all the fellows of the crew for those great moments. We are also grateful to Corrado Costa and one anonymous reviewer whose comments and suggestions greatly improved the manuscript. Financial and logistic support was provided as well by the Instituto Antartico Argentino, CONICET, Universidad Nacional de Cordoba and FONCyT. MCdA and JJM are postgraduate students of the School of Biology, Universidad Nacional de Cordoba.</t>
  </si>
  <si>
    <t>10.1007/s00300-010-0803-2</t>
  </si>
  <si>
    <t>637FQ</t>
  </si>
  <si>
    <t>WOS:000280802000001</t>
  </si>
  <si>
    <t>Hofmeyr, GJG; Bester, MN; Kirkman, SP; Lydersen, C; Kovacs, KM</t>
  </si>
  <si>
    <t>Hofmeyr, G. J. Greg; Bester, Marthan N.; Kirkman, Steve P.; Lydersen, Christian; Kovacs, Kit M.</t>
  </si>
  <si>
    <t>Intraspecific differences in the diet of Antarctic fur seals at Nyroysa, Bouvetoya</t>
  </si>
  <si>
    <t>Antarctic fur seal; Diet; Southern ocean; Intersexual differences</t>
  </si>
  <si>
    <t>ARCTOCEPHALUS-GAZELLA PETERS; SUMMER-AUTUMN PERIOD; NEW-ZEALAND; BREEDING-SEASON; SEX-DIFFERENCES; FORAGING HABITATS; SOUTH SHETLAND; LAURIE ISLAND; TIME BUDGETS; BIRD-ISLAND</t>
  </si>
  <si>
    <t>Intraspecific differences in the diets of many species of pinnipeds are to be expected in view of the great differences in morphology, life history and foraging behaviour between the sexes of many species. We examined the diet of the Antarctic fur seal population at Bouvetoya, Southern Ocean, to assess intersexual differences. This was made possible by the analysis of prey remains extracted from scats and regurgitations collected in areas used primarily by one or the other sex. The results indicate that both males and females feed primarily on Antarctic krill Euphausia superba with several species of fish and squid being taken, likely opportunistically given their prevalence. Significant differences were identified in the frequency of occurrence of otoliths in scats and the percentage numerical abundance of the major fish prey species in the diet. Adult males ate a smaller quantity of fish overall, but ate significantly more of the larger fish species. The greater diving capabilities of males and the fact that they are not limited in the extent of their foraging area by having to return regularly to feed dependant offspring may play a role in the differences found between the diets of males and females. Additionally, females might be more selective, favouring myctophids because they are richer in energy than krill. The absence of major differences in the diet between the sexes at this location is likely due to the high overall abundance of prey at Bouvetoya.</t>
  </si>
  <si>
    <t>[Hofmeyr, G. J. Greg; Bester, Marthan N.; Kirkman, Steve P.] Univ Pretoria, Dept Zool &amp; Entomol, Mammal Res Inst, ZA-0002 Pretoria, South Africa; [Lydersen, Christian; Kovacs, Kit M.] Polar Environm Ctr, Norwegian Polar Inst, N-9296 Tromso, Norway</t>
  </si>
  <si>
    <t>University of Pretoria; Norwegian Polar Institute</t>
  </si>
  <si>
    <t>Hofmeyr, GJG (corresponding author), Port Elizabeth Museum Bayworld, POB 13147, ZA-6013 Humewood, South Africa.</t>
  </si>
  <si>
    <t>greg@bayworld.co.za</t>
  </si>
  <si>
    <t>Kirkman, Stephen/AAA-9139-2021; Bester, Marthán N/E-5387-2010; Hofmeyr, G. J. Greg/AAV-3286-2020</t>
  </si>
  <si>
    <t>Kirkman, Stephen/0000-0001-5428-7375; Hofmeyr, G. J. Greg/0000-0003-0283-6058</t>
  </si>
  <si>
    <t>Norwegian Polar Institute (NPI); Norwegian Agency for Development Co-operation (NORAD); Mammal Research Institute of the University of Pretoria</t>
  </si>
  <si>
    <t>Norwegian Polar Institute (NPI); Norwegian Agency for Development Co-operation (NORAD)(CGIAR); Mammal Research Institute of the University of Pretoria</t>
  </si>
  <si>
    <t>This study was financed by the Norwegian Polar Institute (NPI) and the Norwegian Agency for Development Co-operation (NORAD). Further support was provided by the Mammal Research Institute of the University of Pretoria. We thank Bjorn Krafft, Ludvig Krag and Brian Flascas for their valuable assistance in the field. We are grateful to Bjorn Krafft, Iain Staniland and one anonymous reviewer for their comments and suggestions on the manuscript.</t>
  </si>
  <si>
    <t>10.1007/s00300-010-0805-0</t>
  </si>
  <si>
    <t>WOS:000280802000002</t>
  </si>
  <si>
    <t>Sánchez, EC; López-González, PJ</t>
  </si>
  <si>
    <t>Cano Sanchez, Esperanza; Lopez-Gonzalez, Pablo J.</t>
  </si>
  <si>
    <t>Postembryonic development of Nymphon unguiculatum Hodgson 1915 (Pycnogonida, Nymphonidae) from the South Shetland Islands (Antarctica)</t>
  </si>
  <si>
    <t>Pycnogonida; Nymphonidae; Nymphon unguiculatum; Postembryonic development; Protonymphon</t>
  </si>
  <si>
    <t>LARVAL DEVELOPMENT; AMMOTHEIDAE; SEA</t>
  </si>
  <si>
    <t>Male specimens of the sea spider species Nymphon unguiculatum, carrying eggs, larvae and postlarvae in various stages of development, were collected off the South Shetland Island at water depths between 112 and 472 m in austral summer 2006/2007. Here, we describe the external morphology of four postembryonic stages (protonymphon, instar 1, instar 2, and instar 3) carried by these specimens. We found that (1) protonymphon larvae hatch from the eggs; (2) larvae and postlarval stages have yolk reserves and are characterized by a relatively large size (average body lengths of 0.46, 0.55, 0.65 and 0.73 mm in the successive stages); (3) postlarvae remain on the ovigerous legs of males during several moults; (4) a spinning apparatus is present; (5) the development of walking legs is sequential. The larval and postlarval development of N. unguiculatum is compared with that known from other pycnogonid species.</t>
  </si>
  <si>
    <t>[Cano Sanchez, Esperanza; Lopez-Gonzalez, Pablo J.] Univ Seville, Dept Fisiol &amp; Zool, Fac Biol, E-41012 Seville, Spain</t>
  </si>
  <si>
    <t>Sánchez, EC (corresponding author), Univ Seville, Dept Fisiol &amp; Zool, Fac Biol, Avda Reina Mercedes 6, E-41012 Seville, Spain.</t>
  </si>
  <si>
    <t>ecano@us.es; pjlopez@us.es</t>
  </si>
  <si>
    <t>Lopez-González, Pablo J./Y-6440-2018</t>
  </si>
  <si>
    <t>Lopez-González, Pablo J./0000-0002-7348-6270</t>
  </si>
  <si>
    <t>Spanish CICYT [POL2006-06399/CGL]</t>
  </si>
  <si>
    <t>The authors would like to thank the valuable assistance of the officers and crew of the R/V Polarstern, and many colleagues on board during the Polarstern ANT XXIII/8 cruises. We take this opportunity to extend our thanks to the cruise leaders and steering committee of the cruises, especially Julian Gutt (Alfred Wegener Institut, Bremerhaven) and Enrique Isla (Instituto de Ciencias del Mar, CSIC, Barcelona), who kindly facilitated the work on board and for the opportunity to collaborate in this Antarctic programme. We also acknowledge Marika di Meglio for her assistance during the first moments of this study. Support for this work was provided by the Spanish CICYT project POL2006-06399/CGL (CLIMANT). Mr. Tony Krupa is thanked for reviewing the English version.</t>
  </si>
  <si>
    <t>10.1007/s00300-010-0810-3</t>
  </si>
  <si>
    <t>WOS:000280802000005</t>
  </si>
  <si>
    <t>Tosi, S; Kostadinova, N; Krumova, E; Pashova, S; Dishliiska, V; Spassova, B; Vassilev, S; Angelova, M</t>
  </si>
  <si>
    <t>Tosi, S.; Kostadinova, N.; Krumova, E.; Pashova, S.; Dishliiska, V.; Spassova, B.; Vassilev, S.; Angelova, M.</t>
  </si>
  <si>
    <t>Antioxidant enzyme activity of filamentous fungi isolated from Livingston Island, Maritime Antarctica</t>
  </si>
  <si>
    <t>Antarctic fungi; Livingston Island; Superoxide dismutase; Catalase; Cold-active enzyme; Bioreactor cultures</t>
  </si>
  <si>
    <t>CONTAINING SUPEROXIDE-DISMUTASE; OXIDATIVE STRESS; DEFENSE SYSTEMS; CATALASE; TEMPERATURE; STRAINS; FORMULATION; EXPRESSION; DAMAGE</t>
  </si>
  <si>
    <t>From 18 soil samples taken in the vicinity of the permanent Bulgarian Antarctic base St. Kliment Ohridski (62A degrees 38'29aEuro(3)S, 60A degrees 21'53aEuro(3)W) on Livingston Island, 109 filamentous fungi were isolated on selective media. The most widespread fungal species were members of the genera Cladosporium, Geomyces, Penicillium and Aspergillus. Other species, already recorded in Antarctic environment, were also isolated: Lecanicillium muscarium, Epicoccum nigrum and Alternaria alternata. Thirty strains demonstrating good growth were screened for antioxidant enzymes superoxide dismutase (SOD) and catalase (CAT) that play an important role in the defense of aerobic organisms against oxidative stress, by converting reactive oxygen species into nontoxic molecules. Six of them showed high enzyme activity. The tested strains produced SOD with statistically significant higher activity at 15A degrees C than at 30A degrees C suggesting that this enzyme is cold-active. Such SOD could be useful in medicine and cosmetics. The best producer of cold-active SOD, Aspergillus glaucus 363, cultivated in bioreactors, demonstrated optimal growth temperature at 25A degrees C and maximum enzyme activities at 25 and 30A degrees C for SOD and CAT, respectively. The electrophoretical analysis showed that the fungus possesses Cu/Zn-SOD.</t>
  </si>
  <si>
    <t>[Kostadinova, N.; Krumova, E.; Pashova, S.; Dishliiska, V.; Spassova, B.; Vassilev, S.; Angelova, M.] Bulgarian Acad Sci, Stephan Angeloff Inst Microbiol, BU-1113 Sofia, Bulgaria; [Tosi, S.] Univ Pavia, Sez Micol, Dipartimento Ecol Terr, I-27100 Pavia, Italy</t>
  </si>
  <si>
    <t>Bulgarian Academy of Sciences; Stephan Angeloff Institute of Microbiology, Bulgarian Academy of Sciences; University of Pavia</t>
  </si>
  <si>
    <t>Angelova, M (corresponding author), Bulgarian Acad Sci, Stephan Angeloff Inst Microbiol, Academician G Bonchev 26, BU-1113 Sofia, Bulgaria.</t>
  </si>
  <si>
    <t>mariange@microbio.bas.bg</t>
  </si>
  <si>
    <t>Kostadinova, Nedelina/AAW-4852-2021; Tosi, Solveig/AAC-9482-2019</t>
  </si>
  <si>
    <t>Tosi, Solveig/0000-0002-6769-6984</t>
  </si>
  <si>
    <t>Ministry of Education and Science, Bulgaria [VU-B-205/06, DO02-172/08, BG051PO001-3.3.04/32]</t>
  </si>
  <si>
    <t>Ministry of Education and Science, Bulgaria</t>
  </si>
  <si>
    <t>This work was supported by the National Scientific Fund of the Ministry of Education and Science, Bulgaria (grants VU-B-205/06, DO02-172/08 and BG051PO001-3.3.04/32), which is greatly acknowledged.</t>
  </si>
  <si>
    <t>10.1007/s00300-010-0812-1</t>
  </si>
  <si>
    <t>WOS:000280802000007</t>
  </si>
  <si>
    <t>Pabis, K; Sicinski, J</t>
  </si>
  <si>
    <t>Pabis, Krzysztof; Sicinski, Jacek</t>
  </si>
  <si>
    <t>Polychaete fauna associated with holdfasts of the large brown alga Himantothallus grandifolius in Admiralty Bay, King George Island, Antarctic</t>
  </si>
  <si>
    <t>West Antarctic; Holdfast fauna; Habitat heterogeneity; Habitat complexity; Polychaete</t>
  </si>
  <si>
    <t>KELP MACROCYSTIS-PYRIFERA; SOUTH SHETLAND ISLANDS; HABITAT COMPLEXITY; SPECIES-DIVERSITY; NEARSHORE ZONE; MARTEL-INLET; ROSS SEA; COMMUNITY; BIODIVERSITY; ABUNDANCE</t>
  </si>
  <si>
    <t>The polychaete community associated with holdfasts of the brown alga Himantothallus grandifolius in Admiralty Bay has been studied. It is the first study of its kind in this area and only the second in the Antarctic. Samples were collected in the summer season of 1979/1980 from a depth range of 10-75 m. Seventy-eight species were found on 19 holdfasts. The community was dominated by Brania rhopalophora and Neanthes kerguelensis. Analysis of similarity showed that polychaete fauna associated with this habitat did not show any partitioning related to depth. Regression analysis showed that densities of both species and individuals decreased with increased holdfast volume. A positive correlation was found between the number of individuals and holdfast volume. Polychaetes from 10 feeding guilds were found with dominance of macrophagous motile herbivores and sessile filter feeders. The complex habitat provided by holdfasts is a shelter for a rich polychaete fauna and may function as important protection from disturbance in the shallow areas of Admiralty Bay.</t>
  </si>
  <si>
    <t>[Pabis, Krzysztof; Sicinski, Jacek] Univ Lodz, Lab Polar Biol &amp; Oceanobiol, PL-90237 Lodz, Poland</t>
  </si>
  <si>
    <t>University of Lodz</t>
  </si>
  <si>
    <t>Pabis, K (corresponding author), Univ Lodz, Lab Polar Biol &amp; Oceanobiol, Banacha 12-16, PL-90237 Lodz, Poland.</t>
  </si>
  <si>
    <t>cataclysta@wp.pl; sicinski@biol.uni.lodz.pl</t>
  </si>
  <si>
    <t>Sicinski, Jacek/P-2033-2017; Pabis, Krzysztof/O-8628-2017</t>
  </si>
  <si>
    <t>Sicinski, Jacek/0000-0002-5235-3188; Pabis, Krzysztof/0000-0002-9625-3453</t>
  </si>
  <si>
    <t>Polish Ministry of Science and Higher Education [51/N-IPY/2007/0]; Census of Antarctic Marine Life project</t>
  </si>
  <si>
    <t>Polish Ministry of Science and Higher Education(Ministry of Science and Higher Education, Poland); Census of Antarctic Marine Life project</t>
  </si>
  <si>
    <t>We are grateful to Dr M. Grabowski for his comments on the manuscript. We also want to thank Dr Monica Petti and two anonymous reviewers for their advice and criticism that helped us to improve this article. Thanks are also due to Dr Roger Bamber for language correction and polishing the final version of the manuscript. The study was supported by a grant from the Polish Ministry of Science and Higher Education NO 51/N-IPY/2007/0 as well as the Census of Antarctic Marine Life project.</t>
  </si>
  <si>
    <t>10.1007/s00300-010-0816-x</t>
  </si>
  <si>
    <t>WOS:000280802000011</t>
  </si>
  <si>
    <t>Mikhalsky, EV; Henjes-Kunst, F; Belyatsky, BV; Roland, NW; Sergeev, SA</t>
  </si>
  <si>
    <t>Mikhalsky, E. V.; Henjes-Kunst, F.; Belyatsky, B. V.; Roland, N. W.; Sergeev, S. A.</t>
  </si>
  <si>
    <t>New Sm-Nd, Rb-Sr, U-Pb and Hf isotope systematics for the southern Prince Charles Mountains (East Antarctica) and its tectonic implications</t>
  </si>
  <si>
    <t>PRECAMBRIAN RESEARCH</t>
  </si>
  <si>
    <t>Geochronology; Crustal growth; Archaean; East Antarctica</t>
  </si>
  <si>
    <t>T-T PATH; METAVOLCANIC ROCKS; MAWSON-ESCARPMENT; CAPRICORN OROGEN; VESTFOLD HILLS; FISHER MASSIF; CRATON; GEOCHRONOLOGY; HISTORY; EVENTS</t>
  </si>
  <si>
    <t>We report isotopic (Sm-Nd, Rb-Sr and zircon Hf and U-Pb SIMS SHRIMP) data on rocks collected from various localities throughout the southern Prince Charles Mountains known as the Ruker Province. The area is made up of a high-grade metamorphic basement, overlain by variably deformed and metamorphosed supracrustal associations of Proterozoic age. The area comprises two distinct tectonic terranes, experienced major tectonothermal processes in the Archaean (ca. 3400-2800 Ma: the Ruker Terrane) or in the Palaeoproterozoic (ca. 2500-2100 Ma: the Lambert Terrane). New zircon U-Pb ages of ca. 3180-3150 Ma, ca. 2800, and ca. 2500 Ma were obtained for various orthometamorphic rocks from the Ruker Terrane and ca. 2200 Ma, ca. 1740 Ma, and ca. 920 Ma for syn-tectonic granitic veins and leucosomes from the Lambert Terrane. The Sm-Nd data provide evidence for the initial separation of the continental crust of the Ruker Terrane from the mantle mainly between ca. 3.2 and 3.4 Ga, but up to 3.8 Ga, and indicate the presence of two mantle reservoirs which correspond to (1) depleted to slightly enriched, and (2) ultra-depleted mantle. Some material was also derived from the mantle at ca. 2.7-3.0 Ga; the crust of this age apparently underlies the central part of the Ruker Terrane (the Cumpston Massif-Mt Newton block), which is also distinguished by younger (ca. 2.5-2.1 Ga) zircon ages. The Lambert Terrane contains subordinate ca. 3.6-3.8 Ga protoliths, and the bulk of the crust seems to have originated between 2.6-2.9 Ga from various mantle sources and it may represent an accretional complex onto the Archaean Ruker Terrane. We also summarize published isotopic data and propose an integrated geological evolution for both terranes of the Ruker Province, discuss its relationships with the bordering Rayner Province, and compare its isotopic features with other Precambrian cratons of Gondwana. The key geological features of the Ruker Terrane suggest a similarity to the Yilgarn Craton, which would imply considerable mineral resource potential of the Prince Charles Mountains. (C) 2010 Elsevier B.V. All rights reserved.</t>
  </si>
  <si>
    <t>[Mikhalsky, E. V.; Belyatsky, B. V.] VNIIOkeangeol, St Petersburg 190121, Russia; [Henjes-Kunst, F.; Roland, N. W.] Bundesanstalt Geowissenschaften &amp; Rohstoffe, D-30655 Hannover, Germany; [Sergeev, S. A.] VSEGEI, CIR, St Petersburg 199106, Russia</t>
  </si>
  <si>
    <t>A.P. Karpinsky Russian Geological Research Institute (VSEGEI)</t>
  </si>
  <si>
    <t>Mikhalsky, EV (corresponding author), VNIIOkeangeol, Angliisky Pr 1, St Petersburg 190121, Russia.</t>
  </si>
  <si>
    <t>emikhalsky@mail.ru</t>
  </si>
  <si>
    <t>Mikhalsky, E./I-7556-2013; Belyatsky, Boris/V-6644-2019</t>
  </si>
  <si>
    <t>Belyatsky, Boris/0000-0002-4022-9366; Sergeev, Sergey/0000-0001-8460-8715</t>
  </si>
  <si>
    <t>Russian Federal Program World Ocean (subprogram Antarctica); Russian Foundation for Basic Research [07-05-01001]; Deutsche Forschungsgemeinschaft [RO 3038/1-1]</t>
  </si>
  <si>
    <t>Russian Federal Program World Ocean (subprogram Antarctica); Russian Foundation for Basic Research(Russian Foundation for Basic Research (RFBR)Spanish Government); Deutsche Forschungsgemeinschaft(German Research Foundation (DFG))</t>
  </si>
  <si>
    <t>The geological data were collected during the PCMEGA 2002/2003 expedition, which was made possible by excellent logistic support by the Australian Antarctic Division. The manuscript benefits from advice and provisional editing by J.W. Sheraton and from helpful reviews by J. Veevers and an anonymous reviewer. This work was supported by the Russian Federal Program World Ocean (subprogram Antarctica) and grants from the Russian Foundation for Basic Research #07-05-01001 and from Deutsche Forschungsgemeinschaft #RO 3038/1-1 to EVM.</t>
  </si>
  <si>
    <t>0301-9268</t>
  </si>
  <si>
    <t>1872-7433</t>
  </si>
  <si>
    <t>PRECAMBRIAN RES</t>
  </si>
  <si>
    <t>Precambrian Res.</t>
  </si>
  <si>
    <t>10.1016/j.precamres.2010.07.004</t>
  </si>
  <si>
    <t>657CD</t>
  </si>
  <si>
    <t>WOS:000282388100008</t>
  </si>
  <si>
    <t>Bonner, CS; Ashley, MCB; Cui, X; Feng, L; Gong, X; Lawrence, JS; Luong-Van, DM; Shang, Z; Storey, JWV; Wang, L; Yang, H; Yang, J; Zhou, X; Zhu, Z</t>
  </si>
  <si>
    <t>Bonner, C. S.; Ashley, M. C. B.; Cui, X.; Feng, L.; Gong, X.; Lawrence, J. S.; Luong-Van, D. M.; Shang, Z.; Storey, J. W. V.; Wang, L.; Yang, H.; Yang, J.; Zhou, X.; Zhu, Z.</t>
  </si>
  <si>
    <t>Thickness of the Atmospheric Boundary Layer Above Dome A, Antarctica, during 2009</t>
  </si>
  <si>
    <t>PUBLICATIONS OF THE ASTRONOMICAL SOCIETY OF THE PACIFIC</t>
  </si>
  <si>
    <t>SURFACE-LAYER; TURBULENCE; SITE; PLATEAU</t>
  </si>
  <si>
    <t>The domes, or local elevation maxima, on the Antarctic plateau provide a unique opportunity for ground-based astronomy in that the turbulent boundary layer is so thin that a telescope on a small tower can be in the free atmosphere, i.e., the portion of the atmosphere in which the turbulence is decoupled from the effect of the Earth's surface. There, it can enjoy a free atmosphere which itself appears to offer superior conditions to that of temperate sites. This breaks the problem of characterizing the turbulence at Antarctic plateau sites into two separate tasks: determining the variability, distribution and thickness of the boundary layer, and characterizing the free atmosphere. In this article we tackle the first of these tasks using a high-resolution, low minimum sample height sonic radar (SODAR) called Snodar that has been specifically designed to characterize the Antarctic boundary thickness and structure. Snodar delivers a vertical resolution of 0.9 m, with a minimum sampling height of 8 m. Snodar sampled the first 180 m of the atmosphere with 0.9 m resolution every 10 s at Dome A, Antarctica between 2009 February 4 and 2009 August 18. The median thickness of the boundary layer over this period was 13.9 m, with the 25th and 75th percentiles at 9.7 m and 19.7 m, respectively. The data collected from Dome A also show that, while the boundary layer can be stable for several hundred hours at a time, it can also be highly variable and must be sampled on the time scale of minutes to properly characterize its thickness.</t>
  </si>
  <si>
    <t>[Bonner, C. S.; Ashley, M. C. B.; Lawrence, J. S.; Luong-Van, D. M.; Storey, J. W. V.] Univ New S Wales, Sch Phys, Sydney, NSW 2052, Australia; [Cui, X.; Gong, X.] Nanjing Insititute Astron Opt &amp; Technol, Nanjing 210042, Peoples R China; [Feng, L.; Wang, L.; Yang, J.; Zhu, Z.] Purple Mt Observ, Nanjing 210008, Peoples R China; [Lawrence, J. S.] Macquarie Univ, Dept Phys, N Ryde, NSW 2109, Australia; [Shang, Z.] Tianjin Normal Univ, Tianjin 300074, Peoples R China; [Wang, L.] Texas A&amp;M Univ, George P &amp; Cynthia W Mitchell Inst Fundamental Ph, Dept Phys &amp; Astron, College Stn, TX 77843 USA; [Yang, H.] Polar Res Inst China, Shanghai 200136, Peoples R China; [Zhou, X.] Natl Astron Observ, Beijing 100012, Peoples R China</t>
  </si>
  <si>
    <t>University of New South Wales Sydney; Chinese Academy of Sciences; Nanjing Institute of Astronomical Optics &amp; Technology, NAOC, CAS; Purple Mountain Observatory, CAS; Chinese Academy of Sciences; Nanjing Institute of Astronomical Optics &amp; Technology, NAOC, CAS; Macquarie University; Tianjin Normal University; Texas A&amp;M University System; Texas A&amp;M University College Station; Polar Research Institute of China; Chinese Academy of Sciences; National Astronomical Observatory, CAS</t>
  </si>
  <si>
    <t>Bonner, CS (corresponding author), Univ New S Wales, Sch Phys, Sydney, NSW 2052, Australia.</t>
  </si>
  <si>
    <t>cbonner@phys.unsw.edu.au</t>
  </si>
  <si>
    <t>Ashley, Michael/0000-0003-1412-2028; Lawrence, Jon/0000-0002-6998-6993</t>
  </si>
  <si>
    <t>Australian Research Council; Australian Antarctic Division; Chinese Academy of Sciences; National Natural Science Foundation of China; US National Science Foundation; US Antarctic Program</t>
  </si>
  <si>
    <t>Australian Research Council(Australian Research Council); Australian Antarctic Division; Chinese Academy of Sciences(Chinese Academy of Sciences); National Natural Science Foundation of China(National Natural Science Foundation of China (NSFC)); US National Science Foundation(National Science Foundation (NSF)); US Antarctic Program</t>
  </si>
  <si>
    <t>The authors wish to thank all members of the 2008, 2009, and 2010 Polar Research Institute of China Dome A expedition for their heroic effort in reaching the site and for the invaluable assistance they provided to the expedition astronomers in setting up the PLATO observatory and the Snodar instruments. This research is financially supported by the Australian Research Council, the Australian Antarctic Division, the Chinese Academy of Sciences, the National Natural Science Foundation of China, the US National Science Foundation, and the US Antarctic Program.</t>
  </si>
  <si>
    <t>0004-6280</t>
  </si>
  <si>
    <t>1538-3873</t>
  </si>
  <si>
    <t>PUBL ASTRON SOC PAC</t>
  </si>
  <si>
    <t>Publ. Astron. Soc. Pac.</t>
  </si>
  <si>
    <t>10.1086/656250</t>
  </si>
  <si>
    <t>643UM</t>
  </si>
  <si>
    <t>WOS:000281324800012</t>
  </si>
  <si>
    <t>Heil, CW; King, JW; Zárate, MA; Schultz, PH</t>
  </si>
  <si>
    <t>Heil, Clifford W., Jr.; King, John W.; Zarate, Marcelo A.; Schultz, Peter H.</t>
  </si>
  <si>
    <t>Climatic interpretation of a 1.9 Ma environmental magnetic record of loess deposition and soil formation in the central eastern Pampas of Buenos Aires, Argentina</t>
  </si>
  <si>
    <t>HEMISPHERE ICE SHEETS; SUB-ANTARCTIC ZONE; CHINESE LOESS; PALEOSOL SEQUENCE; SUSCEPTIBILITY VARIATIONS; ATMOSPHERIC CIRCULATION; PLEISTOCENE PALEOSOLS; QUATERNARY SEDIMENTS; SOUTH-ATLANTIC; ALASKAN LOESS</t>
  </si>
  <si>
    <t>Much of what we know about Quaternary climate has been learned from sedimentary records from the world's oceans. With the exception of the extensive studies of the Chinese loess/paleosol sequence and more recent studies of long lake records, there are few long terrestrial climate records, particularly from the southern hemisphere. The loess record of Argentina provides an important opportunity to further our understanding of climate change from a terrestrial environment, but its complexity and discontinuity have led to difficulty in formulating a climatological model of depositional and pedogenic processes. In this study, we present one of the longest and most continuous loess/loessoid records from the central eastern Pampas of Argentina. Our age model is based on optically stimulated luminescent dates and a paleomagnetic reversal stratigraphy and indicates a basal age around 1.9 Ma. Within the age model uncertainties, we characterize the environmental magnetic properties associated with loess deposition and soil formation with respect to wind patterns, moisture availability, and temperature. Major changes in magnetic grain size are linked to a differential northward shift of the subtropical high-pressure cell during glacial periods. We suggest that coarser (finer) magnetic grains correspond to weaker (stronger) glacial periods when the high-pressure cell is located in a more southerly (northerly) position and the source region is more proximal (distal) to our study area. An abrupt increase in the ultrafine-grained magnetic material around 0.9 Ma is related to an increase in moisture transport from the South Atlantic driven by an increase in summer sea surface temperatures at the mid-Pleistocene transition (similar to 1 Ma). In addition to these grain size variations, there is a relative decrease in the amount of goethite compared to hematite beginning around 0.5 Ma, which has been related to the temperature increase observed after the mid-Brunhes Event (similar to 450 ka) in the EPICA ice core temperature record. A more detailed comparison to insolation indicates that, for portions of the record, ferrimagnetic minerals are depleted during periods of low insolation. This result suggests that Argentine loess deposition and soil formation follows a model more similar to the Alaskan loess sequences than the Chinese loess sequences. Although further work is needed to validate the models and mechanisms proposed in this study, our record indicates that the mineral magnetic properties of the loess and paleosol deposits record major changes in deposition and soil formation and provide insight into possible mechanisms relating to global and/or hemispheric climate change. (c) 2010 Elsevier Ltd. All rights reserved.</t>
  </si>
  <si>
    <t>[Heil, Clifford W., Jr.; King, John W.] Univ Rhode Isl, Grad Sch Oceanog, Narragansett, RI 02882 USA; [Zarate, Marcelo A.] CONICET FCEN UNLPAM, RA-6300 Santa Rosa, La Pampa, Argentina; [Schultz, Peter H.] Brown Univ, Dept Geol Sci, Providence, RI 02912 USA</t>
  </si>
  <si>
    <t>University of Rhode Island; Consejo Nacional de Investigaciones Cientificas y Tecnicas (CONICET); Brown University</t>
  </si>
  <si>
    <t>Heil, CW (corresponding author), Univ Rhode Isl, Grad Sch Oceanog, Narragansett, RI 02882 USA.</t>
  </si>
  <si>
    <t>chip@gso.uri.edu</t>
  </si>
  <si>
    <t>NSF [EAR-0001047]; NASA/RI</t>
  </si>
  <si>
    <t>NSF(National Science Foundation (NSF)); NASA/RI(National Aeronautics &amp; Space Administration (NASA))</t>
  </si>
  <si>
    <t>This research was supported by NSF Grant EAR-0001047 and partial support for C. Heil was from a NASA/RI Space Grant Fellowship. We thank James King, Dane Sheldon, and Caroline Greene Hunt for their help in sample preparation. We'd also like to thank T. Evans and Q. Liu for their thoughtful reviews and comments of this paper and an earlier version.</t>
  </si>
  <si>
    <t>19-20</t>
  </si>
  <si>
    <t>10.1016/j.quascirev.2010.06.024</t>
  </si>
  <si>
    <t>644FZ</t>
  </si>
  <si>
    <t>WOS:000281360500021</t>
  </si>
  <si>
    <t>Hillenbrand, CD; Larter, RD; Dowdeswell, JA; Ehrmann, W; Cofaigh, CO; Benetti, S; Graham, AGC; Grobe, H</t>
  </si>
  <si>
    <t>Hillenbrand, C. -D.; Larter, R. D.; Dowdeswell, J. A.; Ehrmann, W.; Cofaigh, C. O.; Benetti, S.; Graham, A. G. C.; Grobe, H.</t>
  </si>
  <si>
    <t>The sedimentary legacy of a palaeo-ice stream on the shelf of the southern Bellingshausen Sea: Clues to West Antarctic glacial history during the Late Quaternary</t>
  </si>
  <si>
    <t>PINE ISLAND BAY; PLEISTOCENE-HOLOCENE RETREAT; MARIE-BYRD-LAND; ROSS-SEA; CONTINENTAL-SHELF; GLACIOMARINE SEDIMENTATION; SHETLAND ISLANDS; EAST ANTARCTICA; AMUNDSEN SEAS; FLOW DYNAMICS</t>
  </si>
  <si>
    <t>A major trough (Belgica Trough) eroded by a palaeo-ice stream crosses the continental shelf of the southern Bellingshausen Sea (West Antarctica) and is associated with a trough mouth fan (Belgica TMF) on the adjacent continental slope. Previous marine geophysical and geological studies investigated the bathymetry and geomorphology of Belgica Trough and Belgica TMF, erosional and depositional processes associated with bedform formation, and the temporal and spatial changes in clay mineral provenance of subglacial and glaciomarine sediments. Here, we present multi-proxy data from sediment cores recovered from the shelf and uppermost slope in the southern Bellingshausen Sea and reconstruct the ice-sheet history since the last glacial maximum (LGM) in this poorly studied area of West Antarctica. We combined new data (physical properties, sedimentary structures, geochemical and grain-size data) with published data (shear strength, clay mineral assemblages) to refine a previous facies classification for the sediments. The multi-proxy approach allowed us to distinguish four main facies types and to assign them to the following depositional settings: 1) subglacial, 2) proximal grounding-line, 3) distal sub-ice shelf/sub-sea ice, and 4) seasonal open-marine. In the seasonal open-marine fades we found evidence for episodic current-induced winnowing of near-seabed sediments on the middle to outer shelf and at the uppermost slope during the late Holocene. In addition, we obtained data on excess Pb-210 activity at three core sites and 44 AMS C-14 dates from the acid-insoluble fraction of organic matter (AIO) and calcareous (micro-) fossils, respectively, at 12 sites. These chronological data enabled us to reconstruct, for the first time, the timing of the last advance and retreat of the West Antarctic Ice Sheet (WAIS) and the Antarctic Peninsula Ice Sheet (APIS) in the southern Bellingshausen Sea. We used the down-core variability in sediment provenance inferred from clay mineral changes to identify the most reliable AIO C-14 ages for ice-sheet retreat. The palaeo-ice stream advanced through Belgica Trough after similar to 36.0 corrected C-14 ka before present (B.P.). It retreated from the outer shelf at similar to 25.5 ka B.P, the middle shelf at similar to 19.8 ka B.P., the inner shelf in Eltanin Bay at similar to 12.3 ka B.P., and the inner shelf in Ronne Entrance at similar to 6.3 ka B.P. The retreat of the WAIS and APIS occurred slowly and stepwise, and may still be in progress. This dynamical ice-sheet behaviour has to be taken into account for the interpretation of recent and the prediction of future mass-balance changes in the study area. The glacial history of the southern Bellingshausen Sea is unique when compared to other regions in West Antarctica, but some open questions regarding its chronology need to be addressed by future work. (C) 2010 Elsevier Ltd. All rights reserved.</t>
  </si>
  <si>
    <t>[Hillenbrand, C. -D.; Larter, R. D.; Benetti, S.; Graham, A. G. C.] British Antarctic Survey, Cambridge CB3 0ET, England; [Dowdeswell, J. A.] Univ Cambridge, Scott Polar Res Inst, Cambridge CB2 1ER, England; [Ehrmann, W.] Univ Leipzig, Inst Geol &amp; Geophys, D-04103 Leipzig, Germany; [Cofaigh, C. O.] Univ Durham, Dept Geog, Durham DH1 3LE, England; [Benetti, S.] Univ Ulster, Sch Environm Sci, Coleraine BT52 1SA, Londonderry, North Ireland; [Grobe, H.] Alfred Wegener Inst Polar &amp; Marine Res, D-27568 Bremerhaven, Germany</t>
  </si>
  <si>
    <t>UK Research &amp; Innovation (UKRI); Natural Environment Research Council (NERC); NERC British Antarctic Survey; University of Cambridge; Leipzig University; Durham University; Ulster University; Helmholtz Association; Alfred Wegener Institute, Helmholtz Centre for Polar &amp; Marine Research</t>
  </si>
  <si>
    <t>Hillenbrand, CD (corresponding author), British Antarctic Survey, Madingley Rd, Cambridge CB3 0ET, England.</t>
  </si>
  <si>
    <t>hilc@bas.ac.uk</t>
  </si>
  <si>
    <t>Ó Cofaigh, Colm/D-9131-2012</t>
  </si>
  <si>
    <t>Grobe, Hannes/0000-0002-4133-2218; Benetti, Sara/0000-0001-6286-9842; Larter, Robert/0000-0002-8414-7389; Graham, Alastair/0000-0002-2880-2908; Dowdeswell, Julian/0000-0003-1369-9482</t>
  </si>
  <si>
    <t>NERC Antarctic Funding Initiative [AFI 4/17]; BAS; Natural Environment Research Council [bas0100027, bosc01001] Funding Source: researchfish; NERC [bas0100027, bosc01001] Funding Source: UKRI</t>
  </si>
  <si>
    <t>NERC Antarctic Funding Initiative(UK Research &amp; Innovation (UKRI)Natural Environment Research Council (NERC)); BAS; Natural Environment Research Council(UK Research &amp; Innovation (UKRI)Natural Environment Research Council (NERC)); NERC(UK Research &amp; Innovation (UKRI)Natural Environment Research Council (NERC))</t>
  </si>
  <si>
    <t>This work was supported by the NERC Antarctic Funding Initiative (project AFI 4/17) and the GRADES-QWAD and Palaeo-Ice Sheets projects at BAS. The authors thank A. Baesler, H. Blagbrough, B. Davies, S. Dorn, S. Elmer, J. Evans, R. Frohlking, M. Hall, J. Howe, G. Kuhn, K. Linse, A. Mackensen, C. Manning, P. Morris, F. Niessen, C. Pudsey, R. Pugh, K. Rinne, A. Scharf, G. Schmiedl, M. Seebeck, T. Shimmield, J. Smith and J. Sothcott for their help, and the captains, officers, crew and support staff, who participated in cruises JR104 and ANT-XI/3. The authors are also grateful to S. Passchier and E. Domack, whose comments and suggestions improved the manuscript.</t>
  </si>
  <si>
    <t>10.1016/j.quascirev.2010.06.028</t>
  </si>
  <si>
    <t>WOS:000281360500024</t>
  </si>
  <si>
    <t>Bénédicte, LD; Eric, B; Jean-Robert, P; Claire, W; Anders, S; Catherine, R; Jean-Marc, B; Maria, NB; Frédéric, P</t>
  </si>
  <si>
    <t>Benedicte, Lemieux-Dudon; Eric, Blayo; Jean-Robert, Petit; Claire, Waelbroeck; Anders, Svensson; Catherine, Ritz; Jean-Marc, Barnola; Maria, Narcisi Bianca; Frederic, Parrenin</t>
  </si>
  <si>
    <t>Consistent dating for Antarctic and Greenland ice cores (vol 29, pg 8, 2010)</t>
  </si>
  <si>
    <t>[Benedicte, Lemieux-Dudon; Jean-Robert, Petit; Catherine, Ritz; Jean-Marc, Barnola; Frederic, Parrenin] Univ Grenoble 1, CNRS, F-38402 St Martin Dheres, France; [Eric, Blayo] LJK, F-38041 Grenoble, France; CEA, CNRS, F-91198 Gif Sur Yvette, France; [Anders, Svensson] Niels Bohr Inst, Ice &amp; Climate Grp, DK-2100 Copenhagen, Denmark</t>
  </si>
  <si>
    <t>Communaute Universite Grenoble Alpes; Universite Grenoble Alpes (UGA); Centre National de la Recherche Scientifique (CNRS); Universite Paris Saclay; CEA; Centre National de la Recherche Scientifique (CNRS); University of Copenhagen; Niels Bohr Institute</t>
  </si>
  <si>
    <t>Bénédicte, LD (corresponding author), Univ Grenoble 1, CNRS, F-38402 St Martin Dheres, France.</t>
  </si>
  <si>
    <t>benedicte.lemieux@imag.fr</t>
  </si>
  <si>
    <t>10.1016/j.quascirev.2010.06.025</t>
  </si>
  <si>
    <t>WOS:000281360500029</t>
  </si>
  <si>
    <t>Cerda, M; Knoppers, B; Valdés, J; Siffedine, AF; Ortlieb, L; Sabadini-Santos, E</t>
  </si>
  <si>
    <t>Cerda, Mauricio; Knoppers, Bastiaan; Valdes, Jorge; Siffedine, Abdel Fettah; Ortlieb, Luc; Sabadini-Santos, Elisamara</t>
  </si>
  <si>
    <t>Spatial and temporal variability of water masses, nutrients and sedimentation of organic and inorganic matter, in Mejillones del sur bay (23° S), Chile</t>
  </si>
  <si>
    <t>REVISTA CHILENA DE HISTORIA NATURAL</t>
  </si>
  <si>
    <t>Chile; Mejillones bay; nutrients; particle sedimentation; upwelling</t>
  </si>
  <si>
    <t>NORTHERN HUMBOLDT CURRENT; EL-NINO; UPWELLING SYSTEM; CARBON; OCEAN; FLUX</t>
  </si>
  <si>
    <t>This study addresses the spatial and temporal variability of physical-chemical properties and sedimentation rates of particulate matter of the water column at a fixed station set within Bahia de Mejillones del Sur, during the austral summer of 2003-2004. The water column was generally characterized by warmer oxygen-rich surface waters, marked stratification gradients between about 10 to 20 m depths and by colder, denser and sub-oxic upwelling waters from 30 m depths to the bottom throughout studied period. The bay was governed by three different water masses: the Surface Sub-Tropical Waters (SSTW), Sub-Antarctic Waters (SAAW) and the Equatorial Sub-Surface Waters (ESSW). The surface waters exhibited a clear alternation between weak and short (three to eight days) upwelling events and longer (29 days) periods of stratification. During the weak upwelling events and at the onset of the stratification periods, sub-oxic to micro-oxic conditions prevailed with elevated nutrient concentrations at the 10 to 15 m depth layer. The variability of oxygen saturation levels and of the dissolved inorganic nutrients nitrogen (N), phosphorus (P) and silicic acid (Si), as well as the behavior of the N:P and Si:NID ratios, indicated the important combined effects of internal recycling of the organic matter in the surface water column and of the contribution of allochthonous nutrients from upwelled bottom waters. The fortnightly variability of the total flux of particulate material collected in sediment traps in the bay suggest that material deposition from the water column is governed by the alternation of upwelling and stratification events. In addition, the sediment traps registered nitrogen impoverishment with increasing depths, suggesting that remineralisation processes affected the settling of particles and the denitrification of the oxydo-reducting deeper waters of the bay.</t>
  </si>
  <si>
    <t>[Cerda, Mauricio] Univ Fed Fluminense, Dept Biol Marinha BIOMAR, Programa Posgrad, BR-24020141 Rio De Janeiro, Brazil; [Knoppers, Bastiaan; Siffedine, Abdel Fettah; Sabadini-Santos, Elisamara] Univ Fed Fluminense, Dept Geoquim, BR-24020141 Rio De Janeiro, Brazil; [Valdes, Jorge] Univ Antofagasta, Lab Sedimentol &amp; Paleoambientes, Inst Invest Oceanol, Fac Recursos Mar, Antofagasta, Chile; [Siffedine, Abdel Fettah; Ortlieb, Luc] UMR 7159 CNRS IRD Univ P&amp;M Curie MNHN, LOCEAN, F-93143 Bondy, France; [Valdes, Jorge; Siffedine, Abdel Fettah] Univ Antofagasta, Lab Mixto Int, PALEOTRACES, Inst Rech Dev,Univ Fed Fluminense, Antofagasta, Chile</t>
  </si>
  <si>
    <t>Universidade Federal Fluminense; Universidade Federal Fluminense; Universidad de Antofagasta; Centre National de la Recherche Scientifique (CNRS); CNRS - National Institute for Earth Sciences &amp; Astronomy (INSU); Museum National d'Histoire Naturelle (MNHN); Institut de Recherche pour le Developpement (IRD); Sorbonne Universite; Universidad de Antofagasta; Institut de Recherche pour le Developpement (IRD)</t>
  </si>
  <si>
    <t>Cerda, M (corresponding author), Univ Fed Fluminense, Dept Biol Marinha BIOMAR, Programa Posgrad, BR-24020141 Rio De Janeiro, Brazil.</t>
  </si>
  <si>
    <t>mlorenzo.mauricio@gmail.com</t>
  </si>
  <si>
    <t>LEMA, MAURICIO LORENZO CERDA/ABK-0756-2022; Knoppers, Bastiaan/AAK-2311-2021; Sabadini-Santos, Elisamara/AAD-3407-2021; ORTLIEB, Luc/A-8801-2011</t>
  </si>
  <si>
    <t>Sabadini-Santos, Elisamara/0000-0003-3783-4554; Cerda, Mauricio/0000-0001-5770-0663</t>
  </si>
  <si>
    <t>SOC BIOLGIA CHILE</t>
  </si>
  <si>
    <t>SANTIAGO</t>
  </si>
  <si>
    <t>CASILLA 16164, SANTIAGO 9, CHILE</t>
  </si>
  <si>
    <t>0716-078X</t>
  </si>
  <si>
    <t>REV CHIL HIST NAT</t>
  </si>
  <si>
    <t>Rev. Chil. Hist. Nat.</t>
  </si>
  <si>
    <t>673TE</t>
  </si>
  <si>
    <t>gold, Green Submitted</t>
  </si>
  <si>
    <t>WOS:000283685100008</t>
  </si>
  <si>
    <t>Nagurnyi, AP</t>
  </si>
  <si>
    <t>Nagurnyi, A. P.</t>
  </si>
  <si>
    <t>Analysis of measurement data on carbon dioxide concentration in the near-ice surface atmosphere at North Pole-35 drifting ice station (2007-2008)</t>
  </si>
  <si>
    <t>Significant CO2 concentration disturbances with an amplitude of 150 ppm are observed in October-November in the region of North Pole-35 drifting ice station over the continental slope of the Arctic Ocean. A local maximum of the CO2 concentration disturbances is observed in April; it is connected with a change in the regime of the sea ice deformation at that time of the year in the western Arctic basin. Changes in the CO2 concentration have oscillations at the frequency of oceanic tides. Several episodes of the initial phase of CO2 release into the near-ice surface atmosphere in October 2007 are recorded. The CO2 amount released into the atmosphere as a result of ice formation in the Arctic Ocean is a significant quantity in the total balance of the CO2 release on the global scale and accounts for approximately 30% of the anthropogenic release of CO2 per year.</t>
  </si>
  <si>
    <t>Arctic &amp; Antarctic Res Inst, St Petersburg 199397, Russia</t>
  </si>
  <si>
    <t>Nagurnyi, AP (corresponding author), Arctic &amp; Antarctic Res Inst, Ul Beringa 38, St Petersburg 199397, Russia.</t>
  </si>
  <si>
    <t>Russian Foundation for Basic Research [05-05-79128k, 07-05-00073-a]</t>
  </si>
  <si>
    <t>The work was supported by the Russian Foundation for Basic Research (grants 05-05-79128k and 07-05-00073-a).</t>
  </si>
  <si>
    <t>1934-8096</t>
  </si>
  <si>
    <t>10.3103/S1068373910090062</t>
  </si>
  <si>
    <t>679IY</t>
  </si>
  <si>
    <t>WOS:000284156300006</t>
  </si>
  <si>
    <t>Lu, CH; Guan, ZY; Cai, JX</t>
  </si>
  <si>
    <t>Lu ChuHan; Guan ZhaoYong; Cai JiaXi</t>
  </si>
  <si>
    <t>Interhemispheric atmospheric mass oscillation and its relation to interannual variations of the Asian monsoon in boreal summer</t>
  </si>
  <si>
    <t>SCIENCE CHINA-EARTH SCIENCES</t>
  </si>
  <si>
    <t>interhemispheric oscillation; Asian monsoon; precipitation; China; boreal summer</t>
  </si>
  <si>
    <t>TEMPERATURE; SYSTEMS; CLIMATE; FIELDS; INDEX</t>
  </si>
  <si>
    <t>Using NCEP/NCAR reanalysis and precipitation records of Chinese stations, we have investigated the relationship of interhemispheric oscillation of air mass (IHO) with global lower-level circulation and monsoon anomalies in boreal summer. Our results show that the summer IHO explains a greater portion of variance in the abnormal distribution of atmospheric mass over 30A degrees S-60A degrees N as well as the Antarctic. The IHO strongly correlates to the variations of sea level pressure (SLP) in these regions. It is shown that IHO has some influences on both atmospheric mass transports and water vapor fluxes over 30A degrees S-60A degrees N in association with three anomalous cyclonic circulations over land areas of the eastern hemisphere, which is in close relation to the changes in summer monsoon intensity in eastern Asia and western Africa. Composites of summer rainfall anomalies in China for high and low IHO-index years indicate that the eastern Asian summer monsoon is more intense, with positive precipitation anomaly centers in northern and northeastern parts of China, as opposed to the negative center over the mid-lower reaches of the Yangtze River (MLRYR) in stronger IHO years. In weak IHO years, a feeble summer monsoon appears in eastern Asia, leading to positive center of precipitation anomalies displaced into the MLRYR. Furthermore, a teleconnection in wind fields between the western African and eastern Asian monsoon regions was observed in the middle and higher troposphere in the scenario of IHO. The anomalous cyclonic (anticyclonic) circulations along the path of this Africa-East Asia teleconnection were found to be just over the diabatic heating (cooling) centers, suggesting that diabatic forcings are responsible for the formation of this Africa-East Asia teleconnection.</t>
  </si>
  <si>
    <t>[Guan ZhaoYong] Nanjing Univ Informat Sci &amp; Technol, Key Lab Meteorol Disaster, Minist Educ, Nanjing 210044, Peoples R China; Nanjing Univ Informat Sci &amp; Technol, Coll Atmospher Sci, Nanjing 210044, Peoples R China</t>
  </si>
  <si>
    <t>Nanjing University of Information Science &amp; Technology; Nanjing University of Information Science &amp; Technology</t>
  </si>
  <si>
    <t>Guan, ZY (corresponding author), Nanjing Univ Informat Sci &amp; Technol, Key Lab Meteorol Disaster, Minist Educ, Nanjing 210044, Peoples R China.</t>
  </si>
  <si>
    <t>National Key Technology R D Program [2007BAC29B02]; National Natural Science Foundation of China [40675025]; Jiangsu Creative Engineering of Postgraduate Fostering [CX08B_017Z]</t>
  </si>
  <si>
    <t>National Key Technology R D Program(National Key Technology R&amp;D Program); National Natural Science Foundation of China(National Natural Science Foundation of China (NSFC)); Jiangsu Creative Engineering of Postgraduate Fostering</t>
  </si>
  <si>
    <t>This work is jointly supported by National Key Technology R &amp; D Program (Grant No. 2007BAC29B02), National Natural Science Foundation of China (Grant No. 40675025), and Jiangsu Creative Engineering of Postgraduate Fostering (Grant No. CX08B_017Z). Data services were provided by the Atmospheric Data Service Center, Nanjing Institute of Meteorology under the Geoscience Department of National Natural Science Foundation of China. NCEP/NCAR reanalysis were obtained from the NOAA-CIRES Climate Diagnostics Center through http://www.cdc.noaa.gov/cdc/reanalysis/reanalysis.shtml. The graphs were constructed using the software Grads.</t>
  </si>
  <si>
    <t>1674-7313</t>
  </si>
  <si>
    <t>SCI CHINA EARTH SCI</t>
  </si>
  <si>
    <t>Sci. China-Earth Sci.</t>
  </si>
  <si>
    <t>10.1007/s11430-010-4023-y</t>
  </si>
  <si>
    <t>648IN</t>
  </si>
  <si>
    <t>WOS:000281686200010</t>
  </si>
  <si>
    <t>Jouzel, J; Masson-Delmotte, V</t>
  </si>
  <si>
    <t>Jouzel, Jean; Masson-Delmotte, Valerie</t>
  </si>
  <si>
    <t>Paleoclimates: what do we learn from deep ice cores?</t>
  </si>
  <si>
    <t>WILEY INTERDISCIPLINARY REVIEWS-CLIMATE CHANGE</t>
  </si>
  <si>
    <t>ABRUPT CLIMATE-CHANGE; EPICA DOME-C; ORBITAL-SCALE CHANGES; MILLENNIAL-SCALE; ATMOSPHERIC CH4; ANTARCTIC ICE; ISOTOPIC COMPOSITION; TEMPERATURE-CHANGES; GREENLAND CLIMATE; EAST ANTARCTICA</t>
  </si>
  <si>
    <t>Since the early 1960s, the ice core community has produced a wealth of scientific results from a still relatively limited number of deep drilling sites in Greenland and Antarctica with the longest record extending back to the last interglacial in Greenland and covering eight glacial-interglacial cycles in Antarctica. Although measurements performed on the first ice cores, Camp Century and Byrd, largely focused on the isotopic composition of the ice as an indicator of climate change, the number of studied parameters has steadily increased encompassing numerous measurements performed on the entrapped air bubbles, on various impurities as well as on the ice itself. The climatic information provided by these various paleodata time is extremely rich. The relationships between forcing factors and climate, about the importance of carbon cycle feedbacks, about the occurrence of abrupt climate variability, and about the interplay between polar climate, ice sheet dynamics, and sea-level variations are examples that are highly relevant to future climate change. (C) 2010 John Wiley &amp; Sons, Ltd. WIREs Clim Change 2010 1 654-669</t>
  </si>
  <si>
    <t>[Jouzel, Jean; Masson-Delmotte, Valerie] CEA Saclay, UMR 8212, IPSL CEA CNRS UVSQ, Lab Sci Climat &amp; Environm, F-91191 Gif Sur Yvette, France</t>
  </si>
  <si>
    <t>CEA; Centre National de la Recherche Scientifique (CNRS); Universite Paris Saclay; CNRS - National Institute for Earth Sciences &amp; Astronomy (INSU)</t>
  </si>
  <si>
    <t>Masson-Delmotte, V (corresponding author), CEA Saclay, UMR 8212, IPSL CEA CNRS UVSQ, Lab Sci Climat &amp; Environm, Bat 701, F-91191 Gif Sur Yvette, France.</t>
  </si>
  <si>
    <t>valerie.masson@lsce.ipsl.fr</t>
  </si>
  <si>
    <t>Masson-Delmotte, Valerie L/G-1995-2011</t>
  </si>
  <si>
    <t>Masson-Delmotte, Valerie L/0000-0001-8296-381X</t>
  </si>
  <si>
    <t>1757-7780</t>
  </si>
  <si>
    <t>1757-7799</t>
  </si>
  <si>
    <t>WIRES CLIM CHANGE</t>
  </si>
  <si>
    <t>Wiley Interdiscip. Rev.-Clim. Chang.</t>
  </si>
  <si>
    <t>10.1002/wcc.72</t>
  </si>
  <si>
    <t>Environmental Studies; Meteorology &amp; Atmospheric Sciences</t>
  </si>
  <si>
    <t>778VS</t>
  </si>
  <si>
    <t>WOS:000291737700005</t>
  </si>
  <si>
    <t>Bowie, AR; Townsend, AT; Lannuzel, D; Remenyi, TA; van der Merwe, P</t>
  </si>
  <si>
    <t>Bowie, Andrew R.; Townsend, Ashley T.; Lannuzel, Delphine; Remenyi, Tomas A.; van der Merwe, Pier</t>
  </si>
  <si>
    <t>Modern sampling and analytical methods for the determination of trace elements in marine particulate material using magnetic sector inductively coupled plasma-mass spectrometry</t>
  </si>
  <si>
    <t>ANALYTICA CHIMICA ACTA</t>
  </si>
  <si>
    <t>Trace elements; Marine particles; Determination; Magnetic sector ICP-MS; Certified reference materials; Southern Ocean</t>
  </si>
  <si>
    <t>NATURAL IRON FERTILIZATION; DISSOLVED IRON; SOUTHERN-OCEAN; BIOGEOCHEMICAL CYCLES; METAL COMPOSITION; SEA-ICE; WATER; PLANKTON; MATTER; DUST</t>
  </si>
  <si>
    <t>Trace elements often limit phytoplankton growth in the ocean, and the quantification of particulate forms is essential to fully understand their biogeochemical cycling. There is presently a lack of reliable measurements on the trace elemental content of marine particles, in part due to the inadequacies of the sampling and analytical methods employed. Here we report on the development of a series of state-of-the-art trace metal clean methods to collect and process oceanic particulate material in open-ocean and sea ice environments, including sampling, size-fractionated filtration, particle digestions and analysis by magnetic sector inductively coupled plasma-mass spectrometry (ICP-MS). Particular attention was paid to the analysis of certified reference materials (CRMs) and field blanks, which are typically the limiting factor for the accurate analysis of low concentrations of trace metals in marine particulate samples. Theoretical detection limits (3 s of the blank) were low for all 17 elements considered, and varied according to filter material and porosity (sub-mu g L-1 for polycarbonate filters and 1-2 mu g L-1 for quartz and polyester filters). Analytical accuracy was verified using fresh water CRMs, with excellent recoveries noted (93-103%). Digestion efficiencies for various acid combinations were assessed using sediment and plankton CRMs. Using nitric acid only, good recoveries (79-90%) were achieved for Mo, Cd, Ba, Pb, Mn, Fe, Co, Ni, Cu, Zn and Ga. The addition of HF was necessary for the quantitative recovery of the more refractory trace elements such as U, Al, V and Cr. Bioactive elements such as P can also be analysed and used as a biomass normaliser. Our developed sampling and analytical methods proved reliable when applied during two major field programs in both the open Southern Ocean and Antarctic sea ice environments during the International Polar Year in 2007. Trace elemental data are presented for particulate samples collected in both suspended and sinking marine material, and also within sea ice cores. (C) 2010 Elsevier B.V. All rights reserved.</t>
  </si>
  <si>
    <t>[Bowie, Andrew R.; Lannuzel, Delphine; Remenyi, Tomas A.; van der Merwe, Pier] Univ Tasmania, Antarctic Climate &amp; Ecosyst Cooperat Res Ctr, Hobart, Tas 7001, Australia; [Bowie, Andrew R.] Univ Tasmania, Sch Chem, Australian Ctr Res Separat Sci ACROSS, Hobart, Tas 7001, Australia; [Townsend, Ashley T.] Univ Tasmania, Cent Sci Lab, Hobart, Tas 7001, Australia; [Lannuzel, Delphine; Remenyi, Tomas A.; van der Merwe, Pier] Univ Tasmania, Inst Marine &amp; Antarctic Studies, Hobart, Tas 7001, Australia</t>
  </si>
  <si>
    <t>Antarctic Climate &amp; Ecosystems Cooperative Research Centre (ACE CRC); University of Tasmania; University of Tasmania; University of Tasmania; University of Tasmania</t>
  </si>
  <si>
    <t>Bowie, AR (corresponding author), Univ Tasmania, Antarctic Climate &amp; Ecosyst Cooperat Res Ctr, Private Bag 80, Hobart, Tas 7001, Australia.</t>
  </si>
  <si>
    <t>Andrew.Bowie@utas.edu.au</t>
  </si>
  <si>
    <t>Townsend, Ashley/J-7445-2014; van der Merwe, Pier/C-9210-2015; lannuzel, delphine/J-7937-2014; Bowie, Andrew/C-8677-2013</t>
  </si>
  <si>
    <t>Townsend, Ashley/0000-0002-2972-2678; van der Merwe, Pier/0000-0002-7428-8030; lannuzel, delphine/0000-0001-6154-1837; Bowie, Andrew/0000-0002-5144-7799; Remenyi, Tomas/0000-0002-4145-9323</t>
  </si>
  <si>
    <t>Australian Government's Cooperative Research Centres Programme through the Antarctic Climate and Ecosystems Cooperative Research Centre (ACE CRC) [1301, 2297, 2720, 3026]; Australian Research Council [DP0342826, DP0985561]; Scientific Committee on Antarctic Research; University of Tasmania; Australian Research Council [DP0342826] Funding Source: Australian Research Council</t>
  </si>
  <si>
    <t>Australian Government's Cooperative Research Centres Programme through the Antarctic Climate and Ecosystems Cooperative Research Centre (ACE CRC)(Australian GovernmentDepartment of Industry, Innovation and ScienceCooperative Research Centres (CRC) Programme); Australian Research Council(Australian Research Council); Scientific Committee on Antarctic Research; University of Tasmania; Australian Research Council(Australian Research Council)</t>
  </si>
  <si>
    <t>We are grateful to the officers, crew and scientists on board the SIPEX and SAZ-Sense expeditions of R.S.V. Aurora Australis. Special thanks to Phoebe Lam and Tom Trull for preparation and deployment of the in situ pumps and sediment trap on SAZ-Sense, and to Rob Sherrell for advice on filter types. This work was partly supported by the Australian Government's Cooperative Research Centres Programme through the Antarctic Climate and Ecosystems Cooperative Research Centre (ACE CRC), Australian Antarctic Science projects #1301, #2297, #2720 and #3026, Australian Research Council grants DP0342826 (AB) and DP0985561 (DL), and postdoctoral fellowships to DL from the Scientific Committee on Antarctic Research and the University of Tasmania's Quantitative Marine Sciences program. The acquisition of the ICP-MS was also made possible by the Australian Research Council.</t>
  </si>
  <si>
    <t>0003-2670</t>
  </si>
  <si>
    <t>1873-4324</t>
  </si>
  <si>
    <t>ANAL CHIM ACTA</t>
  </si>
  <si>
    <t>Anal. Chim. Acta</t>
  </si>
  <si>
    <t>AUG 31</t>
  </si>
  <si>
    <t>10.1016/j.aca.2010.07.037</t>
  </si>
  <si>
    <t>652GF</t>
  </si>
  <si>
    <t>WOS:000281990500003</t>
  </si>
  <si>
    <t>Scheltema, RS; Scheltema, AH; Williams, IP; Halanych, KM</t>
  </si>
  <si>
    <t>Scheltema, R. S.; Scheltema, A. H.; Williams, I. P.; Halanych, K. M.</t>
  </si>
  <si>
    <t>Seasonal occurrence of balanomorph barnacle nauplius larvae in the region of the Antarctic Peninsula</t>
  </si>
  <si>
    <t>International Conference on Pollicipes</t>
  </si>
  <si>
    <t>SEP, 2008</t>
  </si>
  <si>
    <t>Sines, PORTUGAL</t>
  </si>
  <si>
    <t>Antarctic acorn barnacle; Reproductive periodicity</t>
  </si>
  <si>
    <t>MARINE-INVERTEBRATES; PELAGIC LARVAE; SHELF; WATER; SEA</t>
  </si>
  <si>
    <t>Plankton samples taken along the west coast of the Antarctic Peninsula and in Bransfield Strait show widespread occurrence of Bathylasma corolliforme nauplius larvae during the austral spring, mid-October to the third week of December. During autumn, between the first week of May and early June there was a complete absence of balanomorph nauplii. This evidence shows periodicity in reproduction. There is a seemingly close correlation between the presence of these nauplii and the published data on phytoplankton biomass and seawater surface temperature. (C) 2010 Elsevier B.V. All rights reserved.</t>
  </si>
  <si>
    <t>[Scheltema, R. S.; Scheltema, A. H.; Williams, I. P.] Woods Hole Oceanog Inst, Dept Biol, Woods Hole, MA 02543 USA; [Halanych, K. M.] Auburn Univ, Dept Biol Sci, Auburn, AL 36849 USA</t>
  </si>
  <si>
    <t>Woods Hole Oceanographic Institution; Auburn University System; Auburn University</t>
  </si>
  <si>
    <t>Scheltema, RS (corresponding author), Woods Hole Oceanog Inst, Dept Biol, MS 34, Woods Hole, MA 02543 USA.</t>
  </si>
  <si>
    <t>rscheltema@whoi.edu</t>
  </si>
  <si>
    <t>Halanych, Kenneth/A-9480-2009</t>
  </si>
  <si>
    <t>Halanych, Kenneth/0000-0002-8658-9674</t>
  </si>
  <si>
    <t>10.1016/j.jembe.2010.04.016</t>
  </si>
  <si>
    <t>654UR</t>
  </si>
  <si>
    <t>WOS:000282196800013</t>
  </si>
  <si>
    <t>Sasaki, M; Endoh, N; Imura, S; Kudoh, S; Yamanouchi, T; Morimoto, S; Hashida, G</t>
  </si>
  <si>
    <t>Sasaki, Masafumi; Endoh, Noboru; Imura, Satoshi; Kudoh, Sakae; Yamanouchi, Takashi; Morimoto, Shinji; Hashida, Gen</t>
  </si>
  <si>
    <t>Air-lake exchange of methane during the open water season in Syowa Oasis, East Antarctica</t>
  </si>
  <si>
    <t>GAS-EXCHANGE; ATMOSPHERIC METHANE; CO2 EXCHANGE; FLUX; PRODUCTIVITY; ABUNDANCE</t>
  </si>
  <si>
    <t>Dissolved methane (DM) concentrations were measured in 17 lakes as part of the operations of the 45th Japanese Antarctic Research Expedition in ice-free rocky areas along the eastern coast of Lutzow-Holm Bay (Syowa Oasis) in East Antarctica in the summer of 2003-2004. DM at the surfaces of 14 lakes ranged from the atmospheric equilibrium concentration (about 4 nmol L-1 for freshwater) to 385 nmol L-1. Relatively low DM of less than 50 nmol L-1 were observed in about 60% of the lakes. Many of the lakes (area fraction of 85%) were supersaturated and are thus sources of methane to the atmosphere. The exchange coefficient was calculated using wind speed data at Syowa Station. Area fraction frequency distributions with four surface DM ranges were applied to all lakes at Syowa Oasis (110 lakes, total lake area of 9 km(2)). Extrapolation to the whole Syowa Oasis gives an estimate of total emission of about 1 t CH4 yr(-1). This is the first estimation of methane flux from the surfaces of thawed lakes to the atmosphere in Antarctica. Since a methane efflux of about 2 t CH4 yr(-1) was estimated in our previous study from frozen bubbles in lake ice, a total amount of 3 t CH4 yr(-1) would be released to the atmosphere from the lakes during the ice melting season (December-January) at Syowa Oasis.</t>
  </si>
  <si>
    <t>[Sasaki, Masafumi; Endoh, Noboru] Kitami Inst Technol, Dept Mech Engn, Kitami, Hokkaido 0908507, Japan; [Yamanouchi, Takashi; Morimoto, Shinji; Hashida, Gen] Natl Inst Polar Res, Meteorol &amp; Glaciol Grp, Div Res &amp; Educ, Tokyo 1908518, Japan; [Imura, Satoshi; Kudoh, Sakae] Natl Inst Polar Res, Biosci Grp, Tokyo 1908518, Japan</t>
  </si>
  <si>
    <t>Kitami Institute of Technology; Research Organization of Information &amp; Systems (ROIS); National Institute of Polar Research (NIPR) - Japan; Research Organization of Information &amp; Systems (ROIS); National Institute of Polar Research (NIPR) - Japan</t>
  </si>
  <si>
    <t>Sasaki, M (corresponding author), Kitami Inst Technol, Dept Mech Engn, Koencho 165, Kitami, Hokkaido 0908507, Japan.</t>
  </si>
  <si>
    <t>sasaki-m@mail.kitami-it.ac.jp</t>
  </si>
  <si>
    <t>Morimoto, Shinji/GQR-1817-2022; Yamanouchi, Takashi/P-2041-2015</t>
  </si>
  <si>
    <t>D16313</t>
  </si>
  <si>
    <t>10.1029/2010JD013822</t>
  </si>
  <si>
    <t>646WB</t>
  </si>
  <si>
    <t>WOS:000281573700007</t>
  </si>
  <si>
    <t>Lannuzel, D; Schoemann, V; de Jong, J; Pasquer, B; van der Merwe, P; Masson, F; Tison, JL; Bowie, A</t>
  </si>
  <si>
    <t>Lannuzel, Delphine; Schoemann, Veronique; de Jong, Jeroen; Pasquer, Benedicte; van der Merwe, Pier; Masson, Florence; Tison, Jean-Louis; Bowie, Andrew</t>
  </si>
  <si>
    <t>Distribution of dissolved iron in Antarctic sea ice: Spatial, seasonal, and inter-annual variability</t>
  </si>
  <si>
    <t>JOURNAL OF GEOPHYSICAL RESEARCH-BIOGEOSCIENCES</t>
  </si>
  <si>
    <t>WESTERN WEDDELL SEA; ROSS SEA; MICROBIAL COMMUNITIES; SOUTHERN-OCEAN; FLOW-INJECTION; PHYTOPLANKTON; CIRCULATION; SOLUBILITY; ENRICHMENT; EVOLUTION</t>
  </si>
  <si>
    <t>Results from recent field studies in Antarctic sea ice show no clear differences in dissolved iron (dFe) concentrations between pack ice sampled in East Antarctica (2.620.5 nmol/L), in the Weddell Sea (0.7-36.8 nmol/L), and in the Bellingshausen Sea (1.130.2 nmol/L). Dissolved Fe concentrations were also similar in land-fast ice collected in East Antarctica (0.7-4.3 nmol/L) and in the Ross Sea (1.1-6.0 nmol/L). In contrast, we observed a remarkable seasonal drawdown of dFe in sea ice for all reported studies. Furthermore, large inter-annual variations in depth-averaged dFe and organic matter concentrations were observed in sea ice collected in the East Antarctic sector between expeditions in late austral winter-spring of 2003 and 2007. Variability in the water column productivity and in the magnitude of the new Fe supply (e. g., upwelling, resuspended shelf sediments) at the time of sea ice formation could explain such differences.</t>
  </si>
  <si>
    <t>[Lannuzel, Delphine; Pasquer, Benedicte; van der Merwe, Pier; Bowie, Andrew] Univ Tasmania, Antarctic Climate &amp; Ecosyst CRC, Hobart, Tas 7001, Australia; [Lannuzel, Delphine; van der Merwe, Pier] Inst Marine &amp; Antartic Studies, Hobart, Tas, Australia; [de Jong, Jeroen] Univ Libre Bruxelles, Dept Earth &amp; Environm Sci, B-1050 Brussels, Belgium; [Tison, Jean-Louis] Univ Libre Bruxelles, Unite Glaciol, B-1050 Brussels, Belgium</t>
  </si>
  <si>
    <t>University of Tasmania; Universite Libre de Bruxelles; Universite Libre de Bruxelles</t>
  </si>
  <si>
    <t>Lannuzel, D (corresponding author), Univ Tasmania, Antarctic Climate &amp; Ecosyst CRC, Private Bag 80, Hobart, Tas 7001, Australia.</t>
  </si>
  <si>
    <t>delphine.lannuzel@utas.edu.au</t>
  </si>
  <si>
    <t>de Jong, Jeroen/F-3190-2011; lannuzel, delphine/J-7937-2014; van der Merwe, Pier/C-9210-2015; Bowie, Andrew/C-8677-2013; Tison, Jean-Louis/F-4065-2015</t>
  </si>
  <si>
    <t>lannuzel, delphine/0000-0001-6154-1837; van der Merwe, Pier/0000-0002-7428-8030; Bowie, Andrew/0000-0002-5144-7799; Tison, Jean-Louis/0000-0002-9758-3454; de Jong, Jeroen/0000-0002-3034-5929</t>
  </si>
  <si>
    <t>SCAR program</t>
  </si>
  <si>
    <t>The authors would like to thank the officers and crew of the RV Polarstern and RV Aurora Australis for their logistic support during the cruises. We also thank Ben Raymond (Australian Antarctic Division) for providing the backward motion trajectory model. We thank Klaus Meiners (ACE CRC), Mathieu Mongin (CSIRO) and the two anonymous reviewers for helpful comments that improved our manuscript. This work was co-funded by the SCAR program (Scientific Committee on Antarctic Research), the Centre for Marine Science (CMS) at the University of Tasmania (UTAS), and supported by the Australian Government Cooperative Research Centres Programme through the Antarctic Climate and Ecosystems CRC (ACE CRC) and Australian Antarctic Science projects # 2767 and # 3026. It was also supported by the Belgian Federal Science Policy Office (contract SD/CA/03A) and Belgian French Community (ARC contract no. 2/07-287). Florence Masson acknowledges participation on the September-October 2007 SIMBA cruise of N B Palmer to the Bellingshausen Sea, sponsored by the US National Science Foundation. This study is a contribution to the SOLAS international research initiative. The images and data used in this study were acquired using the GES-DISC Interactive Online Visualization ANd aNalysis Infrastructure (Giovanni) as part of the NASA's Goddard Earth Sciences (GES) Data and Information Services Centre (DISC). We would also like to thank the Marine Geoscience Data System (MGDS;www.marine-geo.org).</t>
  </si>
  <si>
    <t>2169-8953</t>
  </si>
  <si>
    <t>2169-8961</t>
  </si>
  <si>
    <t>J GEOPHYS RES-BIOGEO</t>
  </si>
  <si>
    <t>J. Geophys. Res.-Biogeosci.</t>
  </si>
  <si>
    <t>G03022</t>
  </si>
  <si>
    <t>10.1029/2009JG001031</t>
  </si>
  <si>
    <t>Environmental Sciences; Geosciences, Multidisciplinary</t>
  </si>
  <si>
    <t>Environmental Sciences &amp; Ecology; Geology</t>
  </si>
  <si>
    <t>647PW</t>
  </si>
  <si>
    <t>WOS:000281632100001</t>
  </si>
  <si>
    <t>Clilverd, MA; Rodger, CJ; Moffat-Griffin, T; Spanswick, E; Breen, P; Menk, FW; Grew, RS; Hayashi, K; Mann, IR</t>
  </si>
  <si>
    <t>Clilverd, Mark A.; Rodger, Craig J.; Moffat-Griffin, Tracy; Spanswick, Emma; Breen, Paul; Menk, Frederick W.; Grew, Russell S.; Hayashi, Kanji; Mann, Ian R.</t>
  </si>
  <si>
    <t>Energetic outer radiation belt electron precipitation during recurrent solar activity</t>
  </si>
  <si>
    <t>PITCH-ANGLE SCATTERING; ION-CYCLOTRON WAVES; POWER</t>
  </si>
  <si>
    <t>Transmissions from three U. S. VLF (very low frequency) transmitters were received at Churchill, Canada, during an event study in May to November, 2007. This period spans four cycles of recurrent geomagnetic activity spaced similar to 27 days apart, with daily Sigma Kp reaching similar to 30 at the peaks of the disturbances. The difference in the amplitude of the signals received during the day and during the night varied systematically with geomagnetic activity, and was used here as a proxy for ionization changes caused by energetic electron precipitation. For the most intense of the recurrent geomagnetic storms there was evidence of electron precipitation from 3 &lt; L &lt; 7 for 10-15 days after the peak of the disturbance, as measured by Sigma Kp and Dst. This was consistent with the time variation of the fluxes of Polar Operational Environmental Satellites (POES) &gt; 300 keV and similar to 1 MeV trapped electrons, and also consistent with the daily average ULF (ultralow frequency) Pc1-2 power (L = 3.9) from Lucky Lake, Canada, which was elevated during the similar to 1 MeV electron precipitation period. This suggests that Pc1-2 waves may play a role in outer radiation belt loss processes during this interval. We show that the &gt; 300 keV trapped electron flux from POES is a reasonable proxy for electron precipitation during recurrent high-speed solar wind streams, although it did not describe all of the variability that occurred. While energetic electron precipitation can be described through a proxy such as Kp or Dst, careful incorporation of time delays for different electron energies must be included. Dst was found to be the most accurate proxy for electron precipitation during the weak recurrent-activity period studied.</t>
  </si>
  <si>
    <t>[Clilverd, Mark A.; Moffat-Griffin, Tracy; Breen, Paul] British Antarctic Survey, NERC, Cambridge CB3 0ET, England; [Menk, Frederick W.; Grew, Russell S.] Univ Newcastle, Sch Math &amp; Phys Sci, Callaghan, NSW 2308, Australia; [Rodger, Craig J.] Univ Otago, Dept Phys, Dunedin, New Zealand; [Spanswick, Emma] Univ Calgary, Dept Phys &amp; Astron, Calgary, AB T2N 1N4, Canada; [Hayashi, Kanji] Univ Tokyo, Dept Earth &amp; Planetary Phys, Tokyo 113, Japan; [Mann, Ian R.] Univ Alberta, Dept Phys, Edmonton, AB T6G 2J1, Canada</t>
  </si>
  <si>
    <t>UK Research &amp; Innovation (UKRI); Natural Environment Research Council (NERC); NERC British Antarctic Survey; University of Newcastle; University of Otago; University of Calgary; University of Tokyo; University of Alberta</t>
  </si>
  <si>
    <t>Clilverd, MA (corresponding author), British Antarctic Survey, NERC, Madingley Rd, Cambridge CB3 0ET, England.</t>
  </si>
  <si>
    <t>macl@bas.ac.uk; crodger@physics.otago.ac.nz; tmof@bas.ac.uk; emma@phys.ucalgary.ca; pbree@bas.ac.uk; fred.menk@newcastle.edu.au; russell.grew@gmail.com; qyi05527@nifty.ne.jp; imann@phys.ualberta.ca</t>
  </si>
  <si>
    <t>Rodger, Craig/A-1501-2011; Spanswick, Emma/JDC-7880-2023; Menk, Frederick/A-2640-2009</t>
  </si>
  <si>
    <t>Rodger, Craig J./0000-0002-6770-2707; Menk, Frederick/0000-0002-1154-6223; Spanswick, Emma/0000-0001-8003-5091; Breen, Paul/0000-0002-0629-3807</t>
  </si>
  <si>
    <t>Churchill Northern Studies Centre, Churchill, Canada; NERC; Canadian Space Agency; NERC [bas0100023] Funding Source: UKRI; Natural Environment Research Council [bas0100023] Funding Source: researchfish</t>
  </si>
  <si>
    <t>Churchill Northern Studies Centre, Churchill, Canada; NERC(UK Research &amp; Innovation (UKRI)Natural Environment Research Council (NERC)); Canadian Space Agency(Canadian Space Agency); NERC(UK Research &amp; Innovation (UKRI)Natural Environment Research Council (NERC)); Natural Environment Research Council(UK Research &amp; Innovation (UKRI)Natural Environment Research Council (NERC))</t>
  </si>
  <si>
    <t>The authors would like to acknowledge the support and enthusiasm of LeeAnn Fishback and Carley Basler at the Churchill Northern Studies Centre, Churchill, Canada. MAC and TM-G would also like to acknowledge NERC funding as part of the climate program at the British Antarctic Survey. The magnetometer data from Lucky Lake was provided under the STEP Polar Network program (http://step-p.dyndns.org/similar to khay/). CARISMA is operated and deployed by the University of Alberta and funded by the Canadian Space Agency.</t>
  </si>
  <si>
    <t>AUG 28</t>
  </si>
  <si>
    <t>A08323</t>
  </si>
  <si>
    <t>10.1029/2009JA015204</t>
  </si>
  <si>
    <t>644YI</t>
  </si>
  <si>
    <t>WOS:000281417700005</t>
  </si>
  <si>
    <t>Monticelli, D; Dossi, C; Castelletti, A</t>
  </si>
  <si>
    <t>Monticelli, Damiano; Dossi, Carlo; Castelletti, Alessio</t>
  </si>
  <si>
    <t>Assessment of accuracy and precision in speciation analysis by competitive ligand equilibration-cathodic stripping voltammetry (CLE-CSV) and application to Antarctic samples</t>
  </si>
  <si>
    <t>Competitive ligand equilibration-cathodic stripping voltammetry (CLE-CSV); Speciation; Copper; Cathodic stripping voltammetry; Accuracy; Precision</t>
  </si>
  <si>
    <t>NATURAL ORGANIC-LIGANDS; COPPER COMPLEXATION; TRACE-METALS; STABILITY-CONSTANTS; COMPLEXING CAPACITY; THIOL COMPOUNDS; SEA-WATER; ROSS SEA; CU; SEAWATER</t>
  </si>
  <si>
    <t>The analytical performances of Competitive Ligand Equilibration with Cathodic Stripping Voltammetric detection of the labile fraction (CLE-CSV) were assessed. This speciation method enables the concentration of natural ligand(s) and their conditional stability constants for the complexation of the investigated metal to be determined through thermodynamic considerations. Literature data were discussed and general trends in the precision of the determined parameters identified: ligand concentrations were affected, on average, by a 10% relative percentage standard deviation (RSD%), whereas conditional stability constants showed much lower precision, with an average RSD% of 50%. New experimental data were collected to obtain a complete assessment of accuracy and precision attainable for the determination of strong ligands at the ultra trace level, enabling the whole protocol to be evaluated. Firstly, the side reaction coefficient alpha for the formation of the complex between the added ligand and the investigated metal (alpha(CuL)) was determined. The method was subsequently applied to the analysis of solution containing ligand at trace levels (5-50 nM) with known complexing characteristics. Copper was used as the model metal ion and ethylenediaminetetraacetic acid (EDTA) and diethylenetriaminepentaacetic acid (DTPA) as the model ligands. Results evidenced that the CLE-CSV protocol is not affected by systematic errors in the determination of both ligand concentration and the conditional stability constants. Good precision is obtained for ligand concentrations, with an average relative standard deviation (RSD%) of 5%; an average RSD% of 23% was calculated for the conditional stability constants. Including the contribution of the uncertainty in the value of alpha(CuL). in the evaluation of the uncertainty in the latter parameter increased the RSD% up to 40%. The CLE-CSV protocol was subsequently applied to the detection of strong ligands in water samples collected in Antarctica: precision was shown to be comparable with literature data. (C) 2010 Elsevier B.V. All rights reserved.</t>
  </si>
  <si>
    <t>[Monticelli, Damiano; Dossi, Carlo; Castelletti, Alessio] Univ Insubria Sede Como, Dipartimento Sci Chim &amp; Ambientali, I-22100 Como, Italy</t>
  </si>
  <si>
    <t>University of Insubria</t>
  </si>
  <si>
    <t>Monticelli, D (corresponding author), Univ Insubria Sede Como, Dipartimento Sci Chim &amp; Ambientali, Via Valleggio 11, I-22100 Como, Italy.</t>
  </si>
  <si>
    <t>damiano.monticelli@uninsubria.it</t>
  </si>
  <si>
    <t>Monticelli, Damiano/I-3887-2012</t>
  </si>
  <si>
    <t>Italian National Program for Research in Antarctica (PNRA) [2006/9.01]</t>
  </si>
  <si>
    <t>This research was conducted with the financial support of the Italian National Program for Research in Antarctica (PNRA), project 2006/9.01. The personnel of the Antarctic base are gratefully acknowledged for on field measurements, sampling and sample treatment at the Italian Terra Nova Bay base.</t>
  </si>
  <si>
    <t>AUG 24</t>
  </si>
  <si>
    <t>10.1016/j.aca.2010.07.009</t>
  </si>
  <si>
    <t>649DA</t>
  </si>
  <si>
    <t>WOS:000281746400003</t>
  </si>
  <si>
    <t>Mangel, M; Richerson, K; Cresswell, KA; Wiedenmann, JR</t>
  </si>
  <si>
    <t>Mangel, Marc; Richerson, Kate; Cresswell, Katherine A.; Wiedenmann, John R.</t>
  </si>
  <si>
    <t>Modelling the effects of UV radiation on the survival of Antarctic krill (Euphausia superba Dana) in the face of limited data</t>
  </si>
  <si>
    <t>ECOLOGICAL MODELLING</t>
  </si>
  <si>
    <t>Ultraviolet radiation; Krill; Fishery management; CCAMLR; Data-poor</t>
  </si>
  <si>
    <t>COD GADUS-MORHUA; SOLAR ULTRAVIOLET-RADIATION; SCALE MANAGEMENT UNITS; CRUSTACEAN ZOOPLANKTON; ECOSYSTEM APPROACH; MARINE; OZONE; VARIABILITY; DAMAGE; ICHTHYOPLANKTON</t>
  </si>
  <si>
    <t>Antarctic krill, Euphausia superba, is a keystone species of the Antarctic ecosystem. A fishery for krill may compete with land-based predators (penguins and seals), particularly during the breeding season. The Commission for the Conservation of Antarctic Marine Living Resources (CCAMLR) is moving towards management in small scale units. The management models specify predation and fishing mortality as space and time dependent but do not yet include non-predation natural mortality. Krill are known to be highly susceptible to ultraviolet radiation (UV) but there are limited empirical data. We develop a model for krill mortality caused by UV and parameterize and assess it by comparison with experimental data. The analysis allows us to identify key parameters that should be measured in future experiments and also leads to suggestions about modification of experimental procedure. We illustrate the method for krill found in the Livingston Island area and show that (a) it is possible to estimate the component of natural mortality due to UV-induced damage and (b) that cohorts born in 1979, 1984, or 1997 have different survival in the first 5 years of life, associated with differential UV exposure. In particular, those born in 1997 may have experienced as much as 10% lower survival than those born in 1979. The method developed here allows a potentially important source of krill mortality to be incorporated into the management models and suggests key experiments and field work in the future. (C) 2010 Elsevier B.V. All rights reserved.</t>
  </si>
  <si>
    <t>[Mangel, Marc; Richerson, Kate; Cresswell, Katherine A.; Wiedenmann, John R.] Univ Calif Santa Cruz, Ctr Stock Assessment Res, Santa Cruz, CA 95064 USA; [Mangel, Marc; Cresswell, Katherine A.] Univ Calif Santa Cruz, Dept Appl Math &amp; Stat, Santa Cruz, CA 95064 USA; [Richerson, Kate] Univ Calif Santa Cruz, Dept Ecol &amp; Evolutionary Biol, Santa Cruz, CA 95064 USA; [Wiedenmann, John R.] Univ Calif Santa Cruz, Dept Ocean Sci, Santa Cruz, CA 95064 USA</t>
  </si>
  <si>
    <t>University of California System; University of California Santa Cruz; University of California System; University of California Santa Cruz; University of California System; University of California Santa Cruz; University of California System; University of California Santa Cruz</t>
  </si>
  <si>
    <t>Mangel, M (corresponding author), Univ Calif Santa Cruz, Ctr Stock Assessment Res, 1156 High St,MS E2, Santa Cruz, CA 95064 USA.</t>
  </si>
  <si>
    <t>msmangel@ucsc.edu</t>
  </si>
  <si>
    <t>Wiedenmann, John/0000-0001-7622-9053; Cresswell, Katherine/0000-0003-1692-4964</t>
  </si>
  <si>
    <t>Lenfest Ocean Program; CSIRO, Hobart</t>
  </si>
  <si>
    <t>Lenfest Ocean Program; CSIRO, Hobart(Commonwealth Scientific &amp; Industrial Research Organisation (CSIRO))</t>
  </si>
  <si>
    <t>This work was partially supported by the Lenfest Ocean Program and a Frohlich Fellowship at CSIRO, Hobart. For conversations on the topic we thank Steve Nicol, Manuel Nunez, and Andrew Davidson.</t>
  </si>
  <si>
    <t>0304-3800</t>
  </si>
  <si>
    <t>1872-7026</t>
  </si>
  <si>
    <t>ECOL MODEL</t>
  </si>
  <si>
    <t>Ecol. Model.</t>
  </si>
  <si>
    <t>10.1016/j.ecolmodel.2010.06.005</t>
  </si>
  <si>
    <t>633NZ</t>
  </si>
  <si>
    <t>WOS:000280511100010</t>
  </si>
  <si>
    <t>Liu, JP; Curry, JA</t>
  </si>
  <si>
    <t>Liu, Jiping; Curry, Judith A.</t>
  </si>
  <si>
    <t>Accelerated warming of the Southern Ocean and its impacts on the hydrological cycle and sea ice</t>
  </si>
  <si>
    <t>sea surface temperature; precipitation; Antarctic sea ice</t>
  </si>
  <si>
    <t>20TH-CENTURY SIMULATION; EXTENDED RECONSTRUCTION; HEMISPHERE CLIMATE; COUPLED MODELS; ANNULAR MODE; VARIABILITY; ATMOSPHERE; CIRCULATION</t>
  </si>
  <si>
    <t>The observed sea surface temperature in the Southern Ocean shows a substantial warming trend for the second half of the 20th century. Associated with the warming, there has been an enhanced atmospheric hydrological cycle in the Southern Ocean that results in an increase of the Antarctic sea ice for the past three decades through the reduced upward ocean heat transport and increased snowfall. The simulated sea surface temperature variability from two global coupled climate models for the second half of the 20th century is dominated by natural internal variability associated with the Antarctic Oscillation, suggesting that the models' internal variability is too strong, leading to a response to anthropogenic forcing that is too weak. With increased loading of greenhouse gases in the atmosphere through the 21st century, the models show an accelerated warming in the Southern Ocean, and indicate that anthropogenic forcing exceeds natural internal variability. The increased heating from below (ocean) and above (atmosphere) and increased liquid precipitation associated with the enhanced hydrological cycle results in a projected decline of the Antarctic sea ice.</t>
  </si>
  <si>
    <t>[Liu, Jiping; Curry, Judith A.] Georgia Inst Technol, Sch Earth &amp; Atmospher Sci, Atlanta, GA 30332 USA</t>
  </si>
  <si>
    <t>University System of Georgia; Georgia Institute of Technology</t>
  </si>
  <si>
    <t>Liu, JP (corresponding author), Georgia Inst Technol, Sch Earth &amp; Atmospher Sci, Atlanta, GA 30332 USA.</t>
  </si>
  <si>
    <t>jliu@eas.gatech.edu</t>
  </si>
  <si>
    <t>LIU, JIPING/N-6696-2016</t>
  </si>
  <si>
    <t>National Sciene Foundation [0838920]; National Aeronautics and Space Administration (NASA); Office of Polar Programs (OPP); Directorate For Geosciences [0838920] Funding Source: National Science Foundation</t>
  </si>
  <si>
    <t>National Sciene Foundation; National Aeronautics and Space Administration (NASA)(National Aeronautics &amp; Space Administration (NASA)); Office of Polar Programs (OPP); Directorate For Geosciences(National Science Foundation (NSF)NSF - Directorate for Geosciences (GEO))</t>
  </si>
  <si>
    <t>We thank the Program for Climate Model Diagnosis and Intercomparison for collecting and archiving model outputs for the Fourth Assessment of the Intergovernmental Panel on Climate Change. This research was supported by the National Sciene Foundation Polar Programs (0838920) and National Aeronautics and Space Administration (NASA) Energy and Water Cycle Study (NEWS).</t>
  </si>
  <si>
    <t>10.1073/pnas.1003336107</t>
  </si>
  <si>
    <t>643PT</t>
  </si>
  <si>
    <t>WOS:000281311500012</t>
  </si>
  <si>
    <t>Park, J; Min, KW; Summers, D; Hwang, J; Kim, HJ; Horne, RB; Kirsch, P; Yumoto, K; Uozumi, T; Lüehr, H; Green, J</t>
  </si>
  <si>
    <t>Park, J.; Min, K. W.; Summers, D.; Hwang, J.; Kim, H. J.; Horne, R. B.; Kirsch, P.; Yumoto, K.; Uozumi, T.; Luehr, H.; Green, J.</t>
  </si>
  <si>
    <t>Non-stormtime injection of energetic particles into the slot-region between Earth's inner and outer electron radiation belts as observed by STSAT-1 and NOAA-POES</t>
  </si>
  <si>
    <t>WHISTLER-MODE CHORUS; RESONANT DIFFUSION; ART.; MAGNETOSPHERE</t>
  </si>
  <si>
    <t>The slot-region between Earth's inner and outer electron radiation belts was observed on 24 February 2004 by the satellite STSAT-1 to be populated by quasi-trapped electrons of energy 100-400 keV. This injection lasted for several hours and took place during a non-stormtime substorm. This appears to be the first observation of a slot-region electron injection that did not occur during a geomagnetic storm. We also report multi-instrument observations of this event from NOAA-POES and CPMN magnetic observatories, and we consider physical mechanisms that may account for the phenomenon. Citation: Park, J., et al. (2010), Non-stormtime injection of energetic particles into the slot-region between Earth's inner and outer electron radiation belts as observed by STSAT-1 and NOAA-POES, Geophys. Res. Lett., 37, L16102, doi:10.1029/2010GL043989.</t>
  </si>
  <si>
    <t>[Park, J.; Min, K. W.; Kim, H. J.] Korea Adv Inst Sci &amp; Technol, Dept Phys, Taejon 305701, South Korea; [Green, J.] NOAA, Space Environm Ctr, Boulder, CO 80305 USA; [Horne, R. B.; Kirsch, P.] British Antarctic Survey, Cambridge CB3 0ET, England; [Hwang, J.] Korea Astron &amp; Space Sci Inst, Solar &amp; Space Weather Res Grp, Taejon 305348, South Korea; [Luehr, H.] GFZ German Res Ctr Geosci, D-14473 Potsdam, Germany; [Summers, D.] Mem Univ Newfoundland, Dept Math &amp; Stat, St John, NF A1C 5S7, Canada; [Yumoto, K.; Uozumi, T.] Kyushu Univ, Dept Earth &amp; Planetary Sci, Higashi Ku, Fukuoka 8128581, Japan</t>
  </si>
  <si>
    <t>Korea Advanced Institute of Science &amp; Technology (KAIST); National Oceanic Atmospheric Admin (NOAA) - USA; UK Research &amp; Innovation (UKRI); Natural Environment Research Council (NERC); NERC British Antarctic Survey; Korea Astronomy &amp; Space Science Institute (KASI); Helmholtz Association; Helmholtz-Center Potsdam GFZ German Research Center for Geosciences; Memorial University Newfoundland; Kyushu University</t>
  </si>
  <si>
    <t>Park, J (corresponding author), Korea Adv Inst Sci &amp; Technol, Dept Phys, 373-1 Guseong Dong, Taejon 305701, South Korea.</t>
  </si>
  <si>
    <t>jhpark@space.kaist.ac.kr</t>
  </si>
  <si>
    <t>Horne, Richard B/U-3764-2019; Min, Kyoung Wook/C-1948-2011</t>
  </si>
  <si>
    <t>Horne, Richard B/0000-0002-0412-6407;</t>
  </si>
  <si>
    <t>Natural Sciences and Engineering Research Council of Canada [A-0621]; Korean Ministry of Education, Science and Technology [R31-10016]; NERC [bas0100023] Funding Source: UKRI; Natural Environment Research Council [bas0100023] Funding Source: researchfish</t>
  </si>
  <si>
    <t>Natural Sciences and Engineering Research Council of Canada(Natural Sciences and Engineering Research Council of Canada (NSERC)CGIAR); Korean Ministry of Education, Science and Technology(Ministry of Education, Science &amp; Technology (MEST), Republic of Korea); NERC(UK Research &amp; Innovation (UKRI)Natural Environment Research Council (NERC)); Natural Environment Research Council(UK Research &amp; Innovation (UKRI)Natural Environment Research Council (NERC))</t>
  </si>
  <si>
    <t>We are grateful to the National Oceanic and Atmospheric Administration (NOAA) for providing the POES data, to M. Hairston and M. Golkowski for the help with accessing scientific data, and to G. K. Parks and C. Rodger for valuable discussions. D. S. acknowledges support from the Natural Sciences and Engineering Research Council of Canada under grant A-0621 and from the WCU grant R31-10016 funded by the Korean Ministry of Education, Science and Technology.</t>
  </si>
  <si>
    <t>AUG 21</t>
  </si>
  <si>
    <t>L16102</t>
  </si>
  <si>
    <t>10.1029/2010GL043989</t>
  </si>
  <si>
    <t>641OR</t>
  </si>
  <si>
    <t>Green Published, Bronze, Green Accepted</t>
  </si>
  <si>
    <t>WOS:000281138200002</t>
  </si>
  <si>
    <t>Santolík, O; Gurnett, DA; Pickett, JS; Grimald, S; Décreau, PME; Parrot, M; Cornilleau-Wehrlin, N; Mazouz, FE; Schriver, D; Meredith, NP; Fazakerley, A</t>
  </si>
  <si>
    <t>Santolik, O.; Gurnett, D. A.; Pickett, J. S.; Grimald, S.; Decreau, P. M. E.; Parrot, M.; Cornilleau-Wehrlin, N.; Mazouz, F. El-Lemdani; Schriver, D.; Meredith, N. P.; Fazakerley, A.</t>
  </si>
  <si>
    <t>Wave-particle interactions in the equatorial source region of whistler-mode emissions</t>
  </si>
  <si>
    <t>CHORUS EMISSIONS; MAGNETOSPHERIC CHORUS; ENERGETIC ELECTRONS; VLF EMISSIONS; CLUSTER; ACCELERATION; HISS; PROPAGATION; FIELD</t>
  </si>
  <si>
    <t>Wave-particle interactions can play a key role in the process of transfer of energy between different electron populations in the outer Van Allen radiation belt. We present a case study of wave-particle interactions in the equatorial source region of whistler-mode emissions. We select measurements of the Cluster spacecraft when these emissions are observed in the form of random hiss with only occasional discrete chorus wave packets, and where the wave propagation properties are very similar to previously analyzed cases of whistler-mode chorus. We observe a positive divergence of the Poynting flux at minima of the magnetic field modulus along the magnetic field lines, indicating the central position of the source. In this region we perform a linear stability analysis based on the locally measured electron phase space densities. We find two unstable electron populations. The first of them consists of energy-dispersed and highly anisotropic injected electrons at energies of a few hundreds eV to a few keV, with the perpendicular temperature more than 10 times higher than the parallel temperature with respect to the magnetic field line. Another unstable population is formed by trapped electrons at energies above 10 keV. We show that the injected electrons at lower energies can be responsible for a part of the waves that propagate obliquely at frequencies above one half of the electron cyclotron frequency. Our model of the trapped electrons at higher energies gives insufficient growth of the waves below one half of the electron cyclotron frequency and a nonlinear generation mechanism might be necessary to explain their presence even in this simple case.</t>
  </si>
  <si>
    <t>[Santolik, O.] Inst Atmospher Phys, Dept Space Phys, Prague 14131 4, Czech Republic; [Cornilleau-Wehrlin, N.] CNRS, Stn Radioastron Nancay, Observ Paris, F-18330 Nancy, France; [Decreau, P. M. E.; Parrot, M.] CNRS, LPC2E, F-45071 Orleans, France; [Mazouz, F. El-Lemdani] CNRS, Lab Atmospheres Milieux, Paris, France; [Grimald, S.; Fazakerley, A.] Mullard Space Sci Lab, Holmbury RH5 6NT, England; [Gurnett, D. A.; Pickett, J. S.] Univ Iowa, Dept Phys &amp; Astron, Iowa City, IA 52242 USA; [Meredith, N. P.] British Antarctic Survey, Nat Environm Res Council, Div Phys Sci, Cambridge CB3 0ET, England; [Schriver, D.] Univ Calif Los Angeles, Inst Geophys &amp; Planetary Phys, Los Angeles, CA 90095 USA; [Santolik, O.] Charles Univ Prague, Fac Math &amp; Phys, Prague, Czech Republic; [Cornilleau-Wehrlin, N.] CNRS, Plasma Phys Lab, Palaiseau, France</t>
  </si>
  <si>
    <t>Czech Academy of Sciences; Institute of Atmospheric Physics of the Czech Academy of Sciences; Universite PSL; Observatoire de Paris; Centre National de la Recherche Scientifique (CNRS); Centre National de la Recherche Scientifique (CNRS); Universite de Orleans; Centre National de la Recherche Scientifique (CNRS); University of Cambridge; University of London; University College London; University of Iowa; UK Research &amp; Innovation (UKRI); Natural Environment Research Council (NERC); NERC British Antarctic Survey; University of California System; University of California Los Angeles; Charles University Prague; Centre National de la Recherche Scientifique (CNRS); Universite Paris Saclay</t>
  </si>
  <si>
    <t>Santolík, O (corresponding author), Inst Atmospher Phys, Dept Space Phys, Bocni 2 1401, Prague 14131 4, Czech Republic.</t>
  </si>
  <si>
    <t>ondrej.santolik@mff.cuni.cz; donald-gurnett@uiowa.edu; pickett@uiowa.edu; sg2@mssl.ucl.ac.uk; pdecreau@cnrs-orleans.fr; mparrot@cnrs-orleans.fr; nicole.cornilleau@obs-nancay.fr; farida.mazouz@latmos.ipsl.fr; dave@igpp.ucla.edu; nmer@bas.ac.uk; anf@mssl.ucl.ac.uk</t>
  </si>
  <si>
    <t>Meredith, Nigel P/C-5806-2018; Santolik, Ondrej/F-7766-2014</t>
  </si>
  <si>
    <t>Parrot, Michel/0000-0003-0905-5721; Meredith, Nigel/0000-0001-5032-3463; Santolik, Ondrej/0000-0002-4891-9273; Horne, Richard/0000-0002-0412-6407</t>
  </si>
  <si>
    <t>NASA Goddard Space Flight Center [NNX07AI24G]; UK STFC [PP/E001173]; GACR [205/09/1253]; [ME 842]; [ME 10001]; NERC [bas0100023] Funding Source: UKRI; STFC [ST/H004130/1, PP/E001173/1, ST/I001042/1, ST/G008493/1] Funding Source: UKRI; Natural Environment Research Council [bas0100023] Funding Source: researchfish; Science and Technology Facilities Council [ST/H004130/1, PP/E001173/1, ST/I001042/1, ST/G008493/1] Funding Source: researchfish</t>
  </si>
  <si>
    <t>NASA Goddard Space Flight Center(National Aeronautics &amp; Space Administration (NASA)); UK STFC(UK Research &amp; Innovation (UKRI)Science &amp; Technology Facilities Council (STFC)); GACR(Grant Agency of the Czech Republic); ; ;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</si>
  <si>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We thank the team of the Cluster FGM instrument and its PIs A. Balogh and E. Lucek for the Prime Parameter magnetic field data used in this study. We acknowledge the support of NASA Goddard Space Flight Center under grant NNX07AI24G. S. Grimald was supported by a UK STFC Rolling grant (PP/E001173). O. Santolik acknowledges the support from grants ME 842, ME 10001, and GACR 205/09/1253.</t>
  </si>
  <si>
    <t>A00F16</t>
  </si>
  <si>
    <t>10.1029/2009JA015218</t>
  </si>
  <si>
    <t>641RE</t>
  </si>
  <si>
    <t>WOS:000281146600004</t>
  </si>
  <si>
    <t>Lueker, M; Reichardt, CL; Schaffer, KK; Zahn, O; Ade, PAR; Aird, KA; Benson, BA; Bleem, LE; Carlstrom, JE; Chang, CL; Cho, HM; Crawford, TM; Crites, AT; de Haan, T; Dobbs, MA; George, EM; Hall, NR; Halverson, NW; Holder, GP; Holzapfel, WL; Hrubes, JD; Joy, M; Keisler, R; Knox, L; Lee, AT; Leitch, EM; McMahon, JJ; Mehl, J; Meyer, SS; Mohr, JJ; Montroy, TE; Padin, S; Plagge, T; Pryke, C; Ruhl, JE; Shaw, L; Shirokoff, E; Spieler, HG; Stalder, B; Staniszewski, Z; Stark, AA; Vanderlinde, K; Vieira, JD; Williamson, R</t>
  </si>
  <si>
    <t>Lueker, M.; Reichardt, C. L.; Schaffer, K. K.; Zahn, O.; Ade, P. A. R.; Aird, K. A.; Benson, B. A.; Bleem, L. E.; Carlstrom, J. E.; Chang, C. L.; Cho, H. -M.; Crawford, T. M.; Crites, A. T.; de Haan, T.; Dobbs, M. A.; George, E. M.; Hall, N. R.; Halverson, N. W.; Holder, G. P.; Holzapfel, W. L.; Hrubes, J. D.; Joy, M.; Keisler, R.; Knox, L.; Lee, A. T.; Leitch, E. M.; McMahon, J. J.; Mehl, J.; Meyer, S. S.; Mohr, J. J.; Montroy, T. E.; Padin, S.; Plagge, T.; Pryke, C.; Ruhl, J. E.; Shaw, L.; Shirokoff, E.; Spieler, H. G.; Stalder, B.; Staniszewski, Z.; Stark, A. A.; Vanderlinde, K.; Vieira, J. D.; Williamson, R.</t>
  </si>
  <si>
    <t>MEASUREMENTS OF SECONDARY COSMIC MICROWAVE BACKGROUND ANISOTROPIES WITH THE SOUTH POLE TELESCOPE</t>
  </si>
  <si>
    <t>cosmic background radiation; cosmological parameters; cosmology: observations; galaxies: clusters: intracluster medium; large-scale structure of universe</t>
  </si>
  <si>
    <t>ANGULAR POWER SPECTRUM; STAR-FORMING GALAXIES; EXTRAGALACTIC SOURCES; DUST EMISSION; CLUSTERS; PROBE; CMB; SUBMILLIMETER; CAMERA; TEMPERATURE</t>
  </si>
  <si>
    <t>We report cosmic microwave background (CMB) power-spectrum measurements from the first 100 deg(2) field observed by the South Pole Telescope (SPT) at 150 and 220 GHz. On angular scales where the primary CMB anisotropy is dominant, l less than or similar to 3000, the SPT power spectrum is consistent with the standard Lambda CDM cosmology. On smaller scales, we see strong evidence for a point-source contribution, consistent with a population of dusty, star-forming galaxies. After we mask bright point sources, anisotropy power on angular scales of 3000 &lt; l &lt; 9500 is detected with a signal-to-noise ratio greater than or similar to 50 at both frequencies. We combine the 150 and 220 GHz data to remove the majority of the point-source power and use the point-source-subtracted spectrum to detect Sunyaev-Zel'dovich (SZ) power at 2.6 sigma. At l = 3000, the SZ power in the subtracted bandpowers is 4.2 +/- 1.5 mu K-2, which is significantly lower than the power predicted by a fiducial model using WMAP5 cosmological parameters. This discrepancy may suggest that contemporary galaxy cluster models overestimate the thermal pressure of intracluster gas. Alternatively, this result can be interpreted as evidence for lower values of sigma(8). When combined with an estimate of the kinetic SZ contribution, the measured SZ amplitude shifts sigma(8) from the primary CMB anisotropy derived constraint of 0.794 +/- 0.028 down to 0.773 +/- 0.025. The uncertainty in the constraint on sigma(8) from this analysis is dominated by uncertainties in the theoretical modeling required to predict the amplitude of the SZ power spectrum for a given set of cosmological parameters.</t>
  </si>
  <si>
    <t>[Lueker, M.; Reichardt, C. L.; Benson, B. A.; Cho, H. -M.; George, E. M.; Holzapfel, W. L.; Lee, A. T.; Mehl, J.; Plagge, T.; Shirokoff, E.] Univ Calif Berkeley, Dept Phys, Berkeley, CA 94720 USA; [Schaffer, K. K.; Benson, B. A.; Bleem, L. E.; Carlstrom, J. E.; Chang, C. L.; Crawford, T. M.; Crites, A. T.; Keisler, R.; Leitch, E. M.; McMahon, J. J.; Meyer, S. S.; Padin, S.; Pryke, C.; Vieira, J. D.; Williamson, R.] Univ Chicago, Kavli Inst Cosmol Phys, Chicago, IL 60637 USA; [Schaffer, K. K.; Benson, B. A.; Carlstrom, J. E.; Chang, C. L.; McMahon, J. J.; Meyer, S. S.; Pryke, C.] Univ Chicago, Enrico Fermi Inst, Chicago, IL 60637 USA; [Zahn, O.] Univ Calif Berkeley, Lawrence Berkeley Natl Labs, Dept Phys, Berkeley Ctr Cosmol Phys, Berkeley, CA 94720 USA; [Ade, P. A. R.] Cardiff Univ, Dept Phys &amp; Astron, Cardiff CF24 3YB, S Glam, Wales; [Bleem, L. E.; Carlstrom, J. E.; Keisler, R.; Meyer, S. S.; Vieira, J. D.] Univ Chicago, Dept Phys, Chicago, IL 60637 USA; [Carlstrom, J. E.; Crawford, T. M.; Crites, A. T.; Leitch, E. M.; Meyer, S. S.; Padin, S.; Pryke, C.; Williamson, R.] Univ Chicago, Dept Astron &amp; Astrophys, Chicago, IL 60637 USA; [de Haan, T.; Dobbs, M. A.; Holder, G. P.; Shaw, L.; Vanderlinde, K.] McGill Univ, Dept Phys, Montreal, PQ H3A 2T8, Canada; [Hall, N. R.; Knox, L.] Univ Calif Davis, Dept Phys, Davis, CA 95616 USA; [Halverson, N. W.] Univ Colorado, Dept Astrophys &amp; Planetary Sci, Boulder, CO 80309 USA; [Halverson, N. W.] Univ Colorado, Dept Phys, Boulder, CO 80309 USA; [Joy, M.] NASA, George C Marshall Space Flight Ctr, Dept Space Sci, Huntsville, AL 35812 USA; [Lee, A. T.; Spieler, H. G.] Univ Calif Berkeley, Lawrence Berkeley Lab, Div Phys, Berkeley, CA 94720 USA; [McMahon, J. J.] Univ Michigan, Dept Phys, Ann Arbor, MI 48109 USA; [Mohr, J. J.] Univ Munich, Dept Phys, D-81679 Munich, Germany; [Mohr, J. J.] Excellence Cluster Univ, D-85748 Garching, Germany; [Mohr, J. J.] Max Planck Inst Extraterr Phys, D-85748 Garching, Germany; [Montroy, T. E.; Ruhl, J. E.; Staniszewski, Z.] Case Western Reserve Univ, Ctr Educ &amp; Res Cosmol &amp; Astrophys, Dept Phys, Cleveland, OH 44106 USA; [Shaw, L.] Yale Univ, Dept Phys, New Haven, CT 06520 USA; [Stalder, B.; Stark, A. A.] Harvard Smithsonian Ctr Astrophys, Cambridge, MA 02138 USA</t>
  </si>
  <si>
    <t>University of California System; University of California Berkeley; University of Chicago; University of Chicago; University of California System; University of California Berkeley; United States Department of Energy (DOE); Lawrence Berkeley National Laboratory; Cardiff University; University of Chicago; University of Chicago; McGill University; University of California System; University of California Davis; University of Colorado System; University of Colorado Boulder; University of Colorado System; University of Colorado Boulder; National Aeronautics &amp; Space Administration (NASA); NASA Marshall Space Flight Center; United States Department of Energy (DOE); Lawrence Berkeley National Laboratory; University of California System; University of California Berkeley; University of Michigan System; University of Michigan; University of Munich; Max Planck Society; University System of Ohio; Case Western Reserve University; Yale University; Smithsonian Astrophysical Observatory; Smithsonian Institution; Harvard University</t>
  </si>
  <si>
    <t>Lueker, M (corresponding author), Univ Calif Berkeley, Dept Phys, Berkeley, CA 94720 USA.</t>
  </si>
  <si>
    <t>lueker@socrates.berkeley.edu</t>
  </si>
  <si>
    <t>Reichardt, Christian/IST-5017-2023; George, Elizabeth/AAR-7371-2021; Ruhl, John/HHS-2212-2022; Holzapfel, William L/I-4836-2015; Williamson, Ross/H-1734-2015</t>
  </si>
  <si>
    <t>George, Elizabeth/0000-0001-7874-0445; Ruhl, John/0000-0001-5875-4751; Bleem, Lindsey/0000-0001-7665-5079; Benson, Bradford/0000-0002-5108-6823; Mohr, Joseph/0000-0002-6875-2087; CRAWFORD, THOMAS/0000-0001-9000-5013; Chang, Clarence/0000-0002-6311-0448; Meyer, Stephan/0000-0003-3315-4332; Stark, Antony/0000-0002-2718-9996; Holzapfel, William/0000-0002-5744-6439; Dobbs, Matt/0000-0001-7166-6422; Reichardt, Christian/0000-0003-2226-9169; Aird, Kenneth/0000-0003-1441-9518</t>
  </si>
  <si>
    <t>National Science Foundation (NSF) Office of Polar Programs; United States Antarctic Program; Raytheon Polar Services Company; National Science Foundation [ANT-0638937, ANT-0130612]; NSF Physics Frontier Center [PHY-0114422]; Kavli Foundation; Gordon and Betty Moore Foundation; National Sciences and Engineering Research Council of Canada; Quebec Fonds de recherche sur la nature et les technologies; Canadian Institute for Advanced Research; KICP; Berkeley Center for Cosmological Physics; Fermi; GAAN; Miller Institute for Basic Research in Science, University of California Berkeley; Alfred P. Sloan; Office of Science of the U.S. Department of Energy [DE-AC02-05CH11231]; NASA Office of Space Science; STFC [ST/G002711/1] Funding Source: UKRI</t>
  </si>
  <si>
    <t>National Science Foundation (NSF) Office of Polar Programs(National Science Foundation (NSF)); United States Antarctic Program; Raytheon Polar Services Company; National Science Foundation(National Science Foundation (NSF)); NSF Physics Frontier Center(National Science Foundation (NSF)); Kavli Foundation; Gordon and Betty Moore Foundation(Gordon and Betty Moore Foundation); National Sciences and Engineering Research Council of Canada(Natural Sciences and Engineering Research Council of Canada (NSERC)); Quebec Fonds de recherche sur la nature et les technologies; Canadian Institute for Advanced Research(Canadian Institute for Advanced Research (CIFAR)); KICP; Berkeley Center for Cosmological Physics; Fermi; GAAN(US Department of Education); Miller Institute for Basic Research in Science, University of California Berkeley(University of California System); Alfred P. Sloan(Alfred P. Sloan Foundation); Office of Science of the U.S. Department of Energy(United States Department of Energy (DOE)); NASA Office of Space Science(National Aeronautics &amp; Space Administration (NASA)); STFC(UK Research &amp; Innovation (UKRI)Science &amp; Technology Facilities Council (STFC))</t>
  </si>
  <si>
    <t>The SPT team gratefully acknowledges the contributions to the design and construction of the telescope by S. Busetti, E. Chauvin, T. Hughes, P. Huntley, and E. Nichols and his team of iron workers. We also thank the National Science Foundation (NSF) Office of Polar Programs, the United States Antarctic Program, and the Raytheon Polar Services Company for their support of the project. We are grateful for professional support from the staff of the South Pole station. We thank T. M. Lanting, J. Leong, A. Loehr, W. Lu, M. Runyan, D. Schwan, M. Sharp, and C. Greer for their early contributions to the SPT project, J. Joseph and C. Vu for their contributions to the electronics, and P. Ralph for his useful discussions and insights.; The SPT is supported by the National Science Foundation through grants ANT-0638937 and ANT-0130612. Partial support is also provided by the NSF Physics Frontier Center grant PHY-0114422 to the Kavli Institute of Cosmological Physics at the University of Chicago, the Kavli Foundation, and the Gordon and Betty Moore Foundation. The McGill group acknowledges funding from the National Sciences and Engineering Research Council of Canada, the Quebec Fonds de recherche sur la nature et les technologies, and the Canadian Institute for Advanced Research. The following individuals acknowledge additional support: K.K.S. and B.A.B. from a KICP Fellowship, O.Z. from a Berkeley Center for Cosmological Physics Fellowship, J.J.M. from a Fermi Fellowship, Z.S. from a GAAN Fellowship, and A.T.L. from the Miller Institute for Basic Research in Science, University of California Berkeley. N.W.H. acknowledges support from an Alfred P. Sloan Research Fellowship.; This research used resources of the National Energy Research Scientific Computing Center, which is supported by the Office of Science of the U. S. Department of Energy under Contract no. DE-AC02-05CH11231. Some of the results in this paper have been derived using the HEALPix (Gorski et al. 2005) package. We acknowledge the use of the Legacy Archive for Microwave Background Data Analysis (LAMBDA). Support for LAMBDA is provided by the NASA Office of Space Science.</t>
  </si>
  <si>
    <t>AUG 20</t>
  </si>
  <si>
    <t>10.1088/0004-637X/719/2/1045</t>
  </si>
  <si>
    <t>635LU</t>
  </si>
  <si>
    <t>WOS:000280658000005</t>
  </si>
  <si>
    <t>Graham, AGC; Larter, RD; Gohl, K; Dowdeswell, JA; Hillenbrand, CD; Smith, JA; Evans, J; Kuhn, G; Deen, T</t>
  </si>
  <si>
    <t>Graham, Alastair G. C.; Larter, Robert D.; Gohl, Karsten; Dowdeswell, Julian A.; Hillenbrand, Claus-Dieter; Smith, James A.; Evans, Jeffrey; Kuhn, Gerhard; Deen, Tara</t>
  </si>
  <si>
    <t>Flow and retreat of the Late Quaternary Pine Island-Thwaites palaeo-ice stream, West Antarctica</t>
  </si>
  <si>
    <t>LAST GLACIAL MAXIMUM; ROSS SEA; SEDIMENTARY PROCESSES; GEOMORPHIC FEATURES; CONTINENTAL-SHELF; AMUNDSEN SEA; SHEET; BENEATH; DYNAMICS; BAY</t>
  </si>
  <si>
    <t>Multibeam swath bathymetry and sub-bottom profiler data are used to establish constraints on the flow and retreat history of a major palaeo-ice stream that carried the combined discharge from the parts of the West Antarctic Ice Sheet now occupied by the Pine Island and Thwaites glacier basins. Sets of highly elongated bedforms show that, at the last glacial maximum, the route of the Pine Island-Thwaites palaeo-ice stream arced north-northeast following a prominent cross-shelf trough. In this area, the grounding line advanced to within similar to 68 km of, and probably reached, the shelf edge. Minimum ice thickness is estimated at 715 m on the outer shelf, and we estimate a minimum ice discharge of similar to 108 km(3) yr(-1) assuming velocities similar to today's Pine Island glacier (similar to 2.5 km yr(-1)). Additional bed forms observed in a trough northwest of Pine Island Bay likely formed via diachronous ice flows across the outer shelf and demonstrate switching ice stream behavior. The style of ice retreat is also evident in five grounding zone wedges, which suggest episodic deglaciation characterized by halts in grounding line migration up-trough. Stillstands occurred in association with changes in ice bed gradient, and phases of inferred rapid retreat correlate to higher bed slopes, supporting theoretical studies that show bed geometry as a control on ice margin recession. However, estimates that individual wedges could have formed within several centuries still imply a relatively rapid overall retreat. Our findings show that the ice stream channeled a substantial fraction of West Antarctica's discharge in the past, just as the Pine Island and Thwaites glaciers do today.</t>
  </si>
  <si>
    <t>[Graham, Alastair G. C.; Larter, Robert D.; Hillenbrand, Claus-Dieter; Smith, James A.; Deen, Tara] British Antarctic Survey, Ice Sheets Programme, Cambridge CB3 0ET, England; [Dowdeswell, Julian A.] Univ Cambridge, Scott Polar Res Inst, Cambridge CB2 1ER, England; [Evans, Jeffrey] Univ Loughborough, Dept Geog, Loughborough LE11 3TU, Leics, England; [Gohl, Karsten; Kuhn, Gerhard] Alfred Wegener Inst Polar &amp; Marine Res, D-27568 Bremerhaven, Germany</t>
  </si>
  <si>
    <t>UK Research &amp; Innovation (UKRI); Natural Environment Research Council (NERC); NERC British Antarctic Survey; University of Cambridge; Loughborough University; Helmholtz Association; Alfred Wegener Institute, Helmholtz Centre for Polar &amp; Marine Research</t>
  </si>
  <si>
    <t>Graham, AGC (corresponding author), British Antarctic Survey, Ice Sheets Programme, Cambridge CB3 0ET, England.</t>
  </si>
  <si>
    <t>alah@bas.ac.uk</t>
  </si>
  <si>
    <t>Martin, Tara J/F-2570-2017; Evans, Jeffrey/F-5548-2010; Smith, James A/N-1836-2013; Martin, Tara/K-9174-2016</t>
  </si>
  <si>
    <t>Kuhn, Gerhard/0000-0001-6069-7485; Gohl, Karsten/0000-0002-9558-2116; Dowdeswell, Julian/0000-0003-1369-9482; Larter, Robert/0000-0002-8414-7389; Martin, Tara/0000-0002-3620-1141; Graham, Alastair/0000-0002-2880-2908</t>
  </si>
  <si>
    <t>Natural Environment Research Council; Natural Environment Research Council [bas0100027] Funding Source: researchfish; NERC [bas0100027]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</si>
  <si>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</si>
  <si>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captains and crews of the RRS James Clark Ross and R/V Polarstern, and shipboard parties of numerous cruises, for collecting data. This work forms a contribution to the Ice Sheets component of the British Antarctic Survey Polar Science for Planet Earth Programme. It was funded by The Natural Environment Research Council.</t>
  </si>
  <si>
    <t>AUG 19</t>
  </si>
  <si>
    <t>F03025</t>
  </si>
  <si>
    <t>10.1029/2009JF001482</t>
  </si>
  <si>
    <t>641QO</t>
  </si>
  <si>
    <t>WOS:000281145000001</t>
  </si>
  <si>
    <t>Feller, G</t>
  </si>
  <si>
    <t>Feller, Georges</t>
  </si>
  <si>
    <t>Protein stability and enzyme activity at extreme biological temperatures</t>
  </si>
  <si>
    <t>JOURNAL OF PHYSICS-CONDENSED MATTER</t>
  </si>
  <si>
    <t>REVERSIBLE 2-STATE PROTEINS; ADAPTED ALPHA-AMYLASE; BACTERIUM PSEUDOALTEROMONAS-HALOPLANKTIS; COLD-ADAPTATION; ANTARCTIC BACTERIUM; CONFORMATIONAL FLEXIBILITY; ALTEROMONAS-HALOPLANCTIS; CRYSTAL-STRUCTURES; THERMODYNAMIC STABILITY; PSYCHROPHILIC CELLULASE</t>
  </si>
  <si>
    <t>Psychrophilic microorganisms thrive in permanently cold environments, even at subzero temperatures. To maintain metabolic rates compatible with sustained life, they have improved the dynamics of their protein structures, thereby enabling appropriate molecular motions required for biological activity at low temperatures. As a consequence of this structural flexibility, psychrophilic proteins are unstable and heat-labile. In the upper range of biological temperatures, thermophiles and hyperthermophiles grow at temperatures &gt;100 degrees C and synthesize ultra-stable proteins. However, thermophilic enzymes are nearly inactive at room temperature as a result of their compactness and rigidity. At the molecular level, both types of extremophilic proteins have adapted the same structural factors, but in opposite directions, to address either activity at low temperatures or stability in hot environments. A model based on folding funnels is proposed accounting for the stability-activity relationships in extremophilic proteins.</t>
  </si>
  <si>
    <t>Univ Liege, Inst Chem B6A, Ctr Prot Engn, Biochem Lab, B-4000 Liege, Belgium</t>
  </si>
  <si>
    <t>University of Liege</t>
  </si>
  <si>
    <t>Feller, G (corresponding author), Univ Liege, Inst Chem B6A, Ctr Prot Engn, Biochem Lab, B-4000 Liege, Belgium.</t>
  </si>
  <si>
    <t>gfeller@ulg.ac.be</t>
  </si>
  <si>
    <t>European Union; Region wallonne (Belgium); Fonds National de la Recherche Scientifique (Belgium); University of Liege</t>
  </si>
  <si>
    <t>European Union(European Union (EU)); Region wallonne (Belgium); Fonds National de la Recherche Scientifique (Belgium)(Fonds de la Recherche Scientifique - FNRS); University of Liege(University of Liege)</t>
  </si>
  <si>
    <t>Research at the author's laboratory was supported by the European Union, the Region wallonne (Belgium), the Fonds National de la Recherche Scientifique (Belgium) and the University of Liege. The facilities offered by the Institut Polaire Francais are also acknowledged.</t>
  </si>
  <si>
    <t>0953-8984</t>
  </si>
  <si>
    <t>1361-648X</t>
  </si>
  <si>
    <t>J PHYS-CONDENS MAT</t>
  </si>
  <si>
    <t>J. Phys.-Condes. Matter</t>
  </si>
  <si>
    <t>AUG 18</t>
  </si>
  <si>
    <t>10.1088/0953-8984/22/32/323101</t>
  </si>
  <si>
    <t>Physics, Condensed Matter</t>
  </si>
  <si>
    <t>633YH</t>
  </si>
  <si>
    <t>WOS:000280542900003</t>
  </si>
  <si>
    <t>Pinto, PIS; Matsumura, H; Thorne, MAS; Power, DM; Terauchi, R; Reinhardt, R; Canário, AVM</t>
  </si>
  <si>
    <t>Pinto, Patricia I. S.; Matsumura, Hideo; Thorne, Michael A. S.; Power, Deborah M.; Terauchi, Ryohei; Reinhardt, Richard; Canario, Adelino V. M.</t>
  </si>
  <si>
    <t>Gill transcriptome response to changes in environmental calcium in the green spotted puffer fish</t>
  </si>
  <si>
    <t>CHLORIDE CELL MORPHOLOGY; MITOCHONDRIA-RICH CELLS; GENE-EXPRESSION; TETRAODON-NIGROVIRIDIS; SERIAL ANALYSIS; SENSING RECEPTOR; SKELETAL-MUSCLE; SPARUS-AURATUS; SAGE LIBRARIES; RAINBOW-TROUT</t>
  </si>
  <si>
    <t>Background: Calcium ion is tightly regulated in body fluids and for euryhaline fish, which are exposed to rapid changes in environmental [Ca2+], homeostasis is especially challenging. The gill is the main organ of active calcium uptake and therefore plays a crucial role in the maintenance of calcium ion homeostasis. To study the molecular basis of the short-term responses to changing calcium availability, the whole gill transcriptome obtained by Super Serial Analysis of Gene Expression (SuperSAGE) of the euryhaline teleost green spotted puffer fish, Tetraodon nigroviridis, exposed to water with altered [Ca2+] was analysed. Results: Transfer of T. nigroviridis from 10 ppt water salinity containing 2.9 mM Ca2+ to high (10 mM Ca2+) and low (0.01 mM Ca2+) calcium water of similar salinity for 2-12 h resulted in 1,339 differentially expressed SuperSAGE tags (26-bp transcript identifiers) in gills. Of these 869 tags (65%) were mapped to T. nigroviridis cDNAs or genomic DNA and 497 (57%) were assigned to known proteins. Thirteen percent of the genes matched multiple tags indicating alternative RNA transcripts. The main enriched gene ontology groups belong to Ca2+ signaling/homeostasis but also muscle contraction, cytoskeleton, energy production/ homeostasis and tissue remodeling. K-means clustering identified co-expressed transcripts with distinct patterns in response to water [Ca2+] and exposure time. Conclusions: The generated transcript expression patterns provide a framework of novel water calcium-responsive genes in the gill during the initial response after transfer to different [Ca2+]. This molecular response entails initial perception of alterations, activation of signaling networks and effectors and suggests active remodeling of cytoskeletal proteins during the initial acclimation process. Genes related to energy production and energy homeostasis are also up-regulated, probably reflecting the increased energetic needs of the acclimation response. This study is the first genome-wide transcriptome analysis of fish gills and is an important resource for future research on the short-term mechanisms involved in the gill acclimation responses to environmental Ca2+ changes and osmoregulation.</t>
  </si>
  <si>
    <t>[Pinto, Patricia I. S.; Power, Deborah M.; Canario, Adelino V. M.] Univ Algarve, Ctr Ciencias Mar CCMAR, CIMAR Lab Associado, P-8005139 Faro, Portugal; [Matsumura, Hideo] Shinshu Univ, Ctr Gene Res, Nagano 3908621, Japan; [Thorne, Michael A. S.] British Antarctic Survey, Cambridge CB3 0ET, England; [Terauchi, Ryohei] IBRC, Kitakami, Iwate 0240003, Japan; [Reinhardt, Richard] Max Planck Inst Mol Genet, D-14195 Berlin, Germany</t>
  </si>
  <si>
    <t>Universidade do Algarve; Shinshu University; UK Research &amp; Innovation (UKRI); Natural Environment Research Council (NERC); NERC British Antarctic Survey; Max Planck Society</t>
  </si>
  <si>
    <t>Canário, AVM (corresponding author), Univ Algarve, Ctr Ciencias Mar CCMAR, CIMAR Lab Associado, Campus Gambelas, P-8005139 Faro, Portugal.</t>
  </si>
  <si>
    <t>acanario@ualg.pt</t>
  </si>
  <si>
    <t>Canario, Adelino/C-7942-2009; Power, Deborah M/D-3333-2011; Terauchi, Ryohei/Y-2992-2019; Pinto, Patricia IS/M-3817-2013</t>
  </si>
  <si>
    <t>Canario, Adelino/0000-0002-6244-6468; Power, Deborah M/0000-0003-1366-0246; Terauchi, Ryohei/0000-0002-0095-4651; Thorne, Michael/0000-0001-7759-612X; Reinhardt, Richard/0000-0001-9376-2132; Pinto, Patricia IS/0000-0001-7854-3898; Matsumura, Hideo/0000-0003-4849-1016</t>
  </si>
  <si>
    <t>Portuguese National Science Foundation [BPD/25247/2005]; Marine Genomics [GOCE-CT-2004505403]; NERC [bas0100025] Funding Source: UKRI; Natural Environment Research Council [bas0100025] Funding Source: researchfish</t>
  </si>
  <si>
    <t>Portuguese National Science Foundation(Fundacao para a Ciencia e a Tecnologia (FCT)); Marine Genomics; NERC(UK Research &amp; Innovation (UKRI)Natural Environment Research Council (NERC)); Natural Environment Research Council(UK Research &amp; Innovation (UKRI)Natural Environment Research Council (NERC))</t>
  </si>
  <si>
    <t>We thank Dr V Schein (CCMAR) for assistance in carrying out the in vivo calcium availability experiment, Dr H Kuhl (MPIMG Berlin) for performing the 454 sequencing, Dr JM Ruijter and Dr G Schaaf (Academic Medical Centre, Amsterdam) for providing statistical software (G-test and Z-test) and for help in designing the statistical tests to detect differential expression in SuperSAGE data, Dr N Kolmakov (CCMAR) and Mr Arlindo Martins for help with Perl Scripts for tag-to-gene annotation, Dr K Kim and Dr H Huang (Department of Statistics, University of California) for providing the software and Matlab codes for clustering analysis and Gap statistics and Dr R Ben-Hamadou (CCMAR) for running the Matlab codes for Gap statistics. PISP was in receipt of fellowship BPD/25247/2005 from the Portuguese National Science Foundation. This work was partly funded by Marine Genomics Europe http://www. marine-genomics-europe.org, project no. GOCE-CT-2004505403, through a Technology Platform Access grant to sequence the SuperSAGE libraries at the max Plank Institute of Molecular Genetics (Berlin, Germany).</t>
  </si>
  <si>
    <t>AUG 17</t>
  </si>
  <si>
    <t>10.1186/1471-2164-11-476</t>
  </si>
  <si>
    <t>662EG</t>
  </si>
  <si>
    <t>Green Published, Green Accepted, Green Submitted, gold</t>
  </si>
  <si>
    <t>WOS:000282789400001</t>
  </si>
  <si>
    <t>Naik, SS; Thamban, M; Laluraj, CM; Redkar, BL; Chaturvedi, A</t>
  </si>
  <si>
    <t>Naik, Sushant S.; Thamban, Meloth; Laluraj, C. M.; Redkar, B. L.; Chaturvedi, Arun</t>
  </si>
  <si>
    <t>A century of climate variability in central Dronning Maud Land, East Antarctica, and its relation to Southern Annular Mode and El Nino-Southern Oscillation</t>
  </si>
  <si>
    <t>SURFACE-TEMPERATURE; ICE CORE; SEA-ICE; ACCUMULATION; SNOW; CIRCULATION; PRECIPITATION; ISOTOPES</t>
  </si>
  <si>
    <t>Stable isotope records of oxygen and hydrogen were studied from a 65 m long ice core retrieved from central Dronning Maud Land, East Antarctica, in order to reconstruct the coastal Antarctic climate variability during the last century and its relation to the Southern Annular Mode (SAM) and El Nino-Southern Oscillation (ENSO). The delta O-18 records showed a significant relation to the SAM with a dominant similar to 4 years variability, except during specific periods (1918-1927, 1938-1947, and 1989-2005) when ENSO teleconnection was established through the in-phase relation between SAM and Southern Oscillation Index (SOI). The combined influence of ENSO and SAM was seen on surface air temperatures in this region mainly during the austral summer season from 1989 to 2005. Further, a significant relationship between delta O-18 and SAM was observed on a decadal scale, which overrides the intermittent influence of ENSO. Major shifts in the deuterium excess record were observed during periods of ENSO teleconnections, which support a shift in moisture source regions during the periods of stronger ENSO teleconnections. Surface air temperatures estimated using the delta O-18-T spatial slope for this region depicted a significant warming of 1 degrees C for the past century. The study reveals that throughout the last century, SAM was the dominant mode of climatic variability in the coastal region of central Dronning Maud Land on a decadal scale.</t>
  </si>
  <si>
    <t>[Naik, Sushant S.; Thamban, Meloth; Laluraj, C. M.; Redkar, B. L.] Natl Ctr Antarctic &amp; Ocean Res, Vasco Da Gama 403804, Goa, India; [Chaturvedi, Arun] Geol Survey India, Antarctica Div, Nit 121001, Faridabad, India</t>
  </si>
  <si>
    <t>Ministry of Earth Sciences (MoES) - India; National Centre for Polar and Ocean Research (NCPOR); Geological Survey India</t>
  </si>
  <si>
    <t>Naik, Sushant/B-3512-2011</t>
  </si>
  <si>
    <t>Thamban, Meloth/0000-0003-3379-8189</t>
  </si>
  <si>
    <t>Ministry of Earth Sciences; NCAOR</t>
  </si>
  <si>
    <t>We thank the Ministry of Earth Sciences and the director of NCAOR for support. A. Rajakumar (NCAOR) and P. C. George (GSI) are acknowledged for their contribution in the field. We thank D. N. Sharma (head of Radio Science and Safety Division), BARC, for extending the tritium analysis facility and Sonali and Priyanka for the tritium measurements. Thanks are also owed to Yoshihiro Tomikawa (NIPR) for his help with the trajectory model and Karunakaran S. for preparation of the site map. Sincere thanks go to the anonymous reviewers for their constructive suggestions.</t>
  </si>
  <si>
    <t>D16102</t>
  </si>
  <si>
    <t>10.1029/2009JD013268</t>
  </si>
  <si>
    <t>641QC</t>
  </si>
  <si>
    <t>WOS:000281143800002</t>
  </si>
  <si>
    <t>Gerber, LR; González-Suárez, M; Hernández-Camacho, CJ; Young, JK; Sabo, JL</t>
  </si>
  <si>
    <t>Gerber, Leah R.; Gonzalez-Suarez, Manuela; Hernandez-Camacho, Claudia J.; Young, Julie K.; Sabo, John L.</t>
  </si>
  <si>
    <t>The Cost of Male Aggression and Polygyny in California Sea Lions (Zalophus californianus)</t>
  </si>
  <si>
    <t>ANTARCTIC FUR SEALS; GULF-OF-CALIFORNIA; FELIS-CATUS L; REPRODUCTIVE SUCCESS; SEXUAL SELECTION; AGONISTIC INTERACTIONS; ARCTOCEPHALUS-GAZELLA; MALE HARASSMENT; MATING SUCCESS; BEHAVIOR</t>
  </si>
  <si>
    <t>In polygynous mating systems, males often increase their fecundity via aggressive defense of mates and/or resources necessary for successful mating. Here we show that both male and female reproductive behavior during the breeding season (June-August) affect female fecundity, a vital rate that is an important determinant of population growth rate and viability. By using 4 years of data on behavior and demography of California sea lions (Zalophus californianus), we found that male behavior and spatial dynamics-aggression and territory size-are significantly related to female fecundity. Higher rates of male aggression and larger territory sizes were associated with lower estimates of female fecundity within the same year. Female aggression was significantly and positively related to fecundity both within the same year as the behavior was measured and in the following year. These results indicate that while male aggression and defense of territories may increase male fecundity, such interactions may cause a reduction in the overall population growth rate by lowering female fecundity. Females may attempt to offset male-related reductions in female fecundity by increasing their own aggression-perhaps to defend pups from incidental injury or mortality. Thus in polygynous mating systems, male aggression may increase male fitness at the cost of female fitness and overall population viability.</t>
  </si>
  <si>
    <t>[Gerber, Leah R.; Gonzalez-Suarez, Manuela; Hernandez-Camacho, Claudia J.; Young, Julie K.; Sabo, John L.] Arizona State Univ, Sch Life Sci, Tempe, AZ 85287 USA; [Gonzalez-Suarez, Manuela] Univ Paris 06, CNRS, UMR 7625, Lab Ecol &amp; Evolut, Paris, France</t>
  </si>
  <si>
    <t>Arizona State University; Arizona State University-Tempe; Centre National de la Recherche Scientifique (CNRS); Sorbonne Universite</t>
  </si>
  <si>
    <t>Gerber, LR (corresponding author), Arizona State Univ, Sch Life Sci, Tempe, AZ 85287 USA.</t>
  </si>
  <si>
    <t>leah.gerber@asu.edu</t>
  </si>
  <si>
    <t>Sabo, John L/B-1872-2013; González-Suárez, Manuela/B-9740-2008; Hernandez-Camacho, Claudia J./Q-8914-2018</t>
  </si>
  <si>
    <t>González-Suárez, Manuela/0000-0001-5069-8900; Young, Julie K./0000-0003-4522-0157; Hernandez-Camacho, Claudia J./0000-0002-6309-9728; Gerber, Leah/0000-0002-6763-6842</t>
  </si>
  <si>
    <t>National Science Foundation (NSF) [0347960]; National Center for Ecological Analysis and Synthesis (NCEAS); European Community [FP7/2007-2013, 235897]; Spanish Ministry of Science and Innovation [CGL2009-07301/BOS]; Direct For Biological Sciences; Division Of Integrative Organismal Systems [0347960] Funding Source: National Science Foundation</t>
  </si>
  <si>
    <t>National Science Foundation (NSF)(National Science Foundation (NSF)); National Center for Ecological Analysis and Synthesis (NCEAS); European Community; Spanish Ministry of Science and Innovation(Spanish Government); Direct For Biological Sciences; Division Of Integrative Organismal Systems(National Science Foundation (NSF)NSF - Directorate for Biological Sciences (BIO)NSF - Division of Integrative Organismal Systems (IOS))</t>
  </si>
  <si>
    <t>This work was supported by the National Science Foundation (NSF), Grant No. 0347960. LRG was supported as a National Center for Ecological Analysis and Synthesis (NCEAS) sabbatical fellow while writing this paper. MGS was supported by the European Community's Seventh Framework Programme (FP7/2007-2013) under grant agreement no. 235897, and the Spanish Ministry of Science and Innovation (Project: CGL2009-07301/BOS). The funders had no role in study design, data collection and analysis, decision to publish, or preparation of the manuscript.</t>
  </si>
  <si>
    <t>e12230</t>
  </si>
  <si>
    <t>10.1371/journal.pone.0012230</t>
  </si>
  <si>
    <t>639II</t>
  </si>
  <si>
    <t>gold, Green Published, Green Submitted</t>
  </si>
  <si>
    <t>WOS:000280968100026</t>
  </si>
  <si>
    <t>Lüthi, D; Bereiter, B; Stauffer, B; Winkler, R; Schwander, J; Kindler, P; Leuenberger, M; Kipfstuhl, S; Capron, E; Landais, A; Fischer, H; Stocker, TF</t>
  </si>
  <si>
    <t>Luethi, Dieter; Bereiter, Bernhard; Stauffer, Bernhard; Winkler, Renato; Schwander, Jakob; Kindler, Philippe; Leuenberger, Markus; Kipfstuhl, Sepp; Capron, Emilie; Landais, Amaelle; Fischer, Hubertus; Stocker, Thomas F.</t>
  </si>
  <si>
    <t>CO2 and O2/N2 variations in and just below the bubble-clathrate transformation zone of Antarctic ice cores</t>
  </si>
  <si>
    <t>CO2; O-2/N-2 ratio; ice core; fractionation process; EPICA; bubble-clathrate transformation</t>
  </si>
  <si>
    <t>CARBON-DIOXIDE CONCENTRATION; ATMOSPHERIC CO2; CLIMATIC CYCLES; AIR; GASES; FRACTIONATION; CONSTRAINTS; DIFFUSION; RECORD; FIRN</t>
  </si>
  <si>
    <t>CO2 measurements on the EPICA (European Project for Ice Coring in Antarctica) DML ice core in depth levels just below the bubble ice-clathrate ice transformation zone (1230-2240 m depth) were performed. In the youngest part (1230-1600 m), they reveal variations of up to 25 ppmv around the mean atmospheric concentration within centimetres, corresponding to a snow deposition interval of a few years. Similar results are found at corresponding depth regions of the Dome C and the Tabs Dome ice cores. Since we can exclude all hitherto known processes altering the concentration of CO2 in ice cores, we present a hypothesis about spatial fractionation of air components related to episodically increasing clathrate formation followed by diffusion processes from bubbles to clathrates. This hypothesis is supported by optical line-scan observations and by O-2/N-2 measurements at the same depth where strong CO2 variations are detected. Below the clathrate formation zone, this small-scale fractionation process is slowly smoothed out, most likely by diffusion, regaining the initial mean atmospheric concentration. Although this process compromises the representativeness of a single CO2 measurement on small ice samples in the clathrate formation zone of an ice core, it does not affect the mean atmospheric CO2 concentration if CO2 values are averaged over a sufficiently long epth scale (&gt;10 cm in case of the EPICA DML ice core). (C) 2010 Elsevier B.V. All rights reserved.</t>
  </si>
  <si>
    <t>[Luethi, Dieter; Bereiter, Bernhard; Stauffer, Bernhard; Winkler, Renato; Schwander, Jakob; Kindler, Philippe; Leuenberger, Markus; Fischer, Hubertus; Stocker, Thomas F.] Univ Bern, Inst Phys, CH-3012 Bern, Switzerland; [Luethi, Dieter; Bereiter, Bernhard; Stauffer, Bernhard; Winkler, Renato; Schwander, Jakob; Kindler, Philippe; Leuenberger, Markus; Fischer, Hubertus; Stocker, Thomas F.] Univ Bern, Oeschger Ctr Climate Change Res, CH-3012 Bern, Switzerland; [Kipfstuhl, Sepp] Alfred Wegener Inst Polar &amp; Marine Res AWI, D-27568 Bremerhaven, Germany; [Capron, Emilie; Landais, Amaelle] CEA CNRS Univ Versailles St Quentin, CE Saclay, Inst Pierre Simon Laplace, Lab Sci Climat &amp; Environm, F-91191 Gif Sur Yvette, France</t>
  </si>
  <si>
    <t>University of Bern; University of Bern; Helmholtz Association; Alfred Wegener Institute, Helmholtz Centre for Polar &amp; Marine Research; Universite Paris Saclay; Universite Paris Cite; CEA; Centre National de la Recherche Scientifique (CNRS)</t>
  </si>
  <si>
    <t>Lüthi, D (corresponding author), Univ Bern, Inst Phys, Sidlerstr 5, CH-3012 Bern, Switzerland.</t>
  </si>
  <si>
    <t>luethi@climate.unibe.ch</t>
  </si>
  <si>
    <t>Leuenberger, Markus C/K-9655-2016; Stocker, Thomas F/B-1273-2013; Capron, Emilie/ITU-2672-2023; Fischer, Hubertus/A-1211-2014</t>
  </si>
  <si>
    <t>Leuenberger, Markus C/0000-0003-4299-6793; Fischer, Hubertus/0000-0002-2787-4221; LANDAIS, Amaelle/0000-0002-5620-5465</t>
  </si>
  <si>
    <t>European Commission; lPEV; PNRA; Swiss NSF; University of Bern; Prince Albert II of Monaco Foundation</t>
  </si>
  <si>
    <t>European Commission(European Union (EU)European Commission Joint Research Centre); lPEV; PNRA; Swiss NSF(Swiss National Science Foundation (SNSF)); University of Bern; Prince Albert II of Monaco Foundation</t>
  </si>
  <si>
    <t>This work is a contribution to the European Project for Ice Coring in Antarctica (EPICA), a joint ESF (European Science Foundation)/EC scientific program, funded by the European Commission and by national contributions from Belgium, Denmark, France, Germany, Italy, The Netherlands, Norway, Sweden, Switzerland and the United Kingdom. The main logistic support was provided by lPEV and PNRA (at Dome C). We thank the technical team in the field and at the three labs. We acknowledge financial support by the Swiss NSF, the University of Bern, and the Prince Albert II of Monaco Foundation. The presented data is available on: http://www.ncdc.noaa.gov/paleo/icecore/antarctica/maud/maud_data.html. This is EPICA publication no. 269.</t>
  </si>
  <si>
    <t>AUG 15</t>
  </si>
  <si>
    <t>10.1016/j.epsl.2010.06.023</t>
  </si>
  <si>
    <t>653PW</t>
  </si>
  <si>
    <t>WOS:000282110100023</t>
  </si>
  <si>
    <t>Mourik, AA; Bijkerk, JF; Cascella, A; Hüsing, SK; Hilgen, FJ; Lourens, LJ; Turco, E</t>
  </si>
  <si>
    <t>Mourik, A. A.; Bijkerk, J. F.; Cascella, A.; Husing, S. K.; Hilgen, F. J.; Lourens, L. J.; Turco, E.</t>
  </si>
  <si>
    <t>Astronomical tuning of the La Vedova High Cliff section (Ancona, Italy)-Implications of the Middle Miocene Climate Transition for Mediterranean sapropel formation</t>
  </si>
  <si>
    <t>Middle Miocene; Mediterranean; astronomical tuning; paleomagnetism; biostratigraphy; environmental changes; orbital forcing; sapropels</t>
  </si>
  <si>
    <t>ISOTHERMAL REMANENT MAGNETIZATION; POLARITY TIME-SCALE; GLOBAL SEA-LEVEL; INTEGRATED STRATIGRAPHY; ISOTOPE STRATIGRAPHY; ACQUISITION CURVES; OLIGOCENE; SEDIMENTS; COMPONENTS; RECORDS</t>
  </si>
  <si>
    <t>Continuous marine successions covering the Middle Miocene Climate Transition (MMCT: similar to 15-13.7 Ma) are scarce and the lack of a high-resolution magnetobiostratigraphic framework hampers the construction of astronomically tuned age models for this time interval. The La Vedova High Cliff section, exposed along the coast of the Conero Riviera near Ancona (Italy), is one of the few Mediterranean sections covering the critical time interval of the MMCT. Starting from an initial magnetobiostratigraphic age model, a robust astronomical tuning was constructed for the interval between 14.2 and 13.5 Ma, using geochemical element data and time series analysis. A shift in delta O-18 of bulk sediment towards heavier values occurs between similar to 13.92 and 13.78 Ma and could be related to the Mi3b oxygen isotope event, which reflects the rapid expansion of the East Antarctic Ice Sheet in the middle Miocene. The onset of the CM6 carbon excursion is reflected in the bulk record by a rapid increase in delta C-13 at 13.86 Ma. Our results confirm the proposition that these events coincide with a 405-kyr minimum in eccentricity and a node in obliquity related to the similar to 1.2 Myr cycle. From 13.8 Ma onwards, distinct quadruplet cycles containing sapropelitic sediments were deposited. This may suggest a causal connection between the main middle Miocene cooling step and the onset of sapropel formation in the Mediterranean. (C) 2010 Elsevier B.V. All rights reserved.</t>
  </si>
  <si>
    <t>[Mourik, A. A.; Bijkerk, J. F.; Hilgen, F. J.; Lourens, L. J.] Univ Utrecht, Dept Earth Sci, NL-3584 CD Utrecht, Netherlands; [Cascella, A.] Ist Nazl Geofis &amp; Vulcanol, I-00143 Rome, Italy; [Husing, S. K.] Dept Earth Sci, Paleomagnet Lab Ft Hoofddijk, NL-3584 CD Utrecht, Netherlands; [Turco, E.] Univ Parma, Dip Sci Terra, I-43100 Parma, Italy</t>
  </si>
  <si>
    <t>Utrecht University; Istituto Nazionale Geofisica e Vulcanologia (INGV); University of Parma</t>
  </si>
  <si>
    <t>Mourik, AA (corresponding author), Univ Utrecht, Dept Earth Sci, Budapestlaan 4, NL-3584 CD Utrecht, Netherlands.</t>
  </si>
  <si>
    <t>mourik@geo.uu.nl</t>
  </si>
  <si>
    <t>Turco, Elena/G-7748-2012</t>
  </si>
  <si>
    <t>cascella, antonio/0000-0002-8255-3244; Bijkerk, Jochem/0000-0001-7243-130X; Hilgen, Frits/0000-0002-5683-259X</t>
  </si>
  <si>
    <t>Darwin Center for Biogeosciences; University of Utrecht</t>
  </si>
  <si>
    <t>The authors thank Geert Ittman, Helen de Waard, and Arnold van Dijk for sample preparation and analysis. We greatly appreciated the constructive comments of two anonymous reviewers. Furthermore we acknowledge financial support by the Darwin Center for Biogeosciences and the University of Utrecht.</t>
  </si>
  <si>
    <t>10.1016/j.epsl.2010.06.026</t>
  </si>
  <si>
    <t>WOS:000282110100025</t>
  </si>
  <si>
    <t>Thresher, RE; Wilson, NC; MacRae, CM; Neil, H</t>
  </si>
  <si>
    <t>Thresher, Ronald E.; Wilson, Nicholas C.; MacRae, Colin M.; Neil, Helen</t>
  </si>
  <si>
    <t>Temperature effects on the calcite skeletal composition of deep-water gorgonians (Isididae)</t>
  </si>
  <si>
    <t>MAGNESIUM CARBONATE CONCENTRATIONS; STRONTIUM CONCENTRATIONS; PRIMNOA-RESEDAEFORMIS; NORTH-ATLANTIC; FISH OTOLITHS; SEA CORALS; GROWTH; PHOSPHORUS; CHEMISTRY; TASMANIA</t>
  </si>
  <si>
    <t>We test for and calibrate a proxy for ocean temperature based on the skeletal composition of the widely distributed, deep-sea gorgonians in the family Isididae (bamboo corals), through use of three complementary methods: a short-term comparison of element/Ca ratios to a four-year temperature record, a long-term comparison with oceanographic records spanning forty years, and a geographic comparison of Isidids collected at sites ranging from the tropics to Antarctica. The assays consistently support a temperature-dependency for Mg/Ca ratios and suggest S/Ca is indirectly affected by temperature, but indicate little or no effect of temperature on P/Ca and Sr/Ca. The consensus relationship between Mg/Ca and temperature for Isidid calcite from the comparisons with the temperature time-series is T = -0.505 + 0.048 Mg/Ca, where T is in degrees C, Mg/Ca is in mmol/mol, and the applicable range is 3-6 degrees C. The results of the geographic assay, though imprecise, suggest the applicable range extends to temperatures below freezing. The scatter of data points around the regression of temperature and Mg/Ca is wide in all assays. This could reflect the effect of factors other than temperature on Mg/Ca ratios, but is also likely to reflect limitations of the field data, the effects of assumed constant growth rates in the corals and instrumental analytical error. The combined effects of micro-scale variability in growth rates and wide confidence intervals for each data point suggests that environmental reconstruction from Isidid internode calcite from sparse data or at time scales less than decades be clone with caution. Comparisons within and among colonies do not indicate strong vital effects on ontogenetic variability M the corals, other than possibly close to the central pore of the coral. However, similar Mg/Ca ratios for Isidids from Antarctic and more temperate regions suggest adaptation to local conditions and hence a role for physiology at higher taxonomic levels, at least. Taxonomically higher level vital effects are also suggested by large differences between gorgonian families in their regressions between Mg/Ca and temperature, by Mg/Ca ratios that overlap over a wide temperature and habitat range, and for a nonlinear relationship between temperature and the slope of the Mg/Ca-temperature relationship across the order. Crown copyright (C) 2010 Published by Elsevier Ltd. All rights reserved.</t>
  </si>
  <si>
    <t>[Thresher, Ronald E.] CSIRO Marine &amp; Atmospher Res &amp; Wealth, Oceans Program, Hobart, Tas 7001, Australia; [Thresher, Ronald E.] CSIRO Marine &amp; Atmospher Res &amp; Wealth, Climate Adaptat Program, Hobart, Tas 7001, Australia; [Wilson, Nicholas C.; MacRae, Colin M.] CSIRO Minerals, Clayton, Vic, Australia; [Neil, Helen] Natl Inst Water &amp; Atmosphere, Wellington, New Zealand</t>
  </si>
  <si>
    <t>Commonwealth Scientific &amp; Industrial Research Organisation (CSIRO); Commonwealth Scientific &amp; Industrial Research Organisation (CSIRO); Commonwealth Scientific &amp; Industrial Research Organisation (CSIRO); National Institute of Water &amp; Atmospheric Research (NIWA) - New Zealand</t>
  </si>
  <si>
    <t>Thresher, RE (corresponding author), CSIRO Marine &amp; Atmospher Res &amp; Wealth, Oceans Program, GPO Box 1538, Hobart, Tas 7001, Australia.</t>
  </si>
  <si>
    <t>Ron.Thresher@csiro.au</t>
  </si>
  <si>
    <t>Thresher, Ronald/C-7442-2009; MacRae, colin/U-1289-2017; Wilson, Nick/H-1228-2018</t>
  </si>
  <si>
    <t>MacRae, Colin/0000-0001-9470-0857; Wilson, Nick/0000-0002-1644-164X</t>
  </si>
  <si>
    <t>10.1016/j.gca.2010.05.024</t>
  </si>
  <si>
    <t>627LO</t>
  </si>
  <si>
    <t>WOS:000280041200005</t>
  </si>
  <si>
    <t>Walton, EL; Jugo, PJ; Herd, CDK; Wilke, M</t>
  </si>
  <si>
    <t>Walton, E. L.; Jugo, P. J.; Herd, C. D. K.; Wilke, M.</t>
  </si>
  <si>
    <t>Martian regolith in Elephant Moraine 79001 shock melts? Evidence from major element composition and sulfur speciation</t>
  </si>
  <si>
    <t>IMPLANTED NOBLE-GASES; OXYGEN FUGACITY; ANTARCTIC SHERGOTTITE; ISOTOPIC SYSTEMATICS; OXIDIZED SULFUR; CARBON-DIOXIDE; METEORITE; ORIGIN; PETROGENESIS; GLASSES</t>
  </si>
  <si>
    <t>Shock veins and melt pockets in Lithology A of Martian meteorite Elephant Moraine ( [ETA) 79001 have been investigated using electron microprobe (EM) analysis, petrography and X-ray Absorption Near Edge Structure (XANES) spectroscopy to determine elemental abundances and sulfur speciation (S2- versus S6+). The results constrain the materials that melted to form the shock glasses and identify the source of their high sulfur abundances. The XANES spectra for EETA79001 glasses show a sharp peak at 2.471 keV characteristic of crystalline sulfides and a broad peak centered at 2.477 keV similar to that obtained for sulfide-saturated glass standards analyzed in this study. Sulfate peaks at 2.482 keV were not observed. Bulk compositions of EETA79001 shock melts were estimated by averaging defocused EM analyses. Vein and melt pocket glasses are enriched in Al, Ca, Na and S, and depleted in Fe, Mg and Cr compared to the whole rock. Petrographic observations show preferential melting and mobilization of plagioclase and pyrrhotite associated with melt pocket and vein margins, contributing to the enrichments. Estimates of shock melt bulk compositions obtained from glass analyses are biased towards Fe- and Mg- depletions because, in general, basaltic melts produced from groundmass minerals (plagioclase and clinopyroxene) will quench to a glass, whereas ultramafic melts produced from olivine and low-Ca pyroxene megacrysts crystallize during the quench. We also note that the bulk composition of the shock melt pocket cannot be determined from the average composition of the glass but must also include the crystals that grew from the melt - pyroxene (En(72) (75)Fs(20) (21)Wo(5-7)) and olivine (Fo(75-80)). Reconstruction of glass + crystal analyses gives a bulk composition for the melt pocket that approaches that of Ethology A of the meteorite, reflecting bulk melting of everything except xenolith chromite. Our results show that EETA79001 shock veins and melt pockets represent local mineral melts formed by shock impedance contrasts, which can account for the observed compositional anomalies compared to the whole rock sample. The observation that melts produced during shock commonly deviate from the bulk composition of the host rock has been well documented from chondrites, rocks from terrestrial impact structures and other Martian meteorites. The bulk composition of shock melts reflects the proportions of minerals melted; large melt pockets encompass more minerals and approach the whole rock whereas small melt pockets and thin veins reflect local mineralogy. In the latter, the modal abundance of sulfide globules may reach up to 15 vol%. We conclude the shock melt pockets in EETA79001 lithology A contain no significant proportion of Martian regolith. (C) 2010 Elsevier Ltd. All rights reserved.</t>
  </si>
  <si>
    <t>[Walton, E. L.; Herd, C. D. K.] Univ Alberta, Dept Earth &amp; Atmospher Sci, Edmonton, AB T6G 2E3, Canada; [Walton, E. L.] Grant MacEwan Univ, Dept Phys Sci, Edmonton, AB T5J 4S2, Canada; [Jugo, P. J.] Laurentian Univ, Dept Earth Sci, Sudbury, ON P3E 2C6, Canada; [Wilke, M.] Deutsch GeoForschungsZentrum, Helmholtz Zentrum Potsdam, Sekt 3 3, D-14473 Potsdam, Germany</t>
  </si>
  <si>
    <t>University of Alberta; Laurentian University; Helmholtz Association; Helmholtz-Center Potsdam GFZ German Research Center for Geosciences</t>
  </si>
  <si>
    <t>Walton, EL (corresponding author), Univ Alberta, Dept Earth &amp; Atmospher Sci, 1-26 Earth Sci Bldg, Edmonton, AB T6G 2E3, Canada.</t>
  </si>
  <si>
    <t>ewalton@ualberta.ca</t>
  </si>
  <si>
    <t>Herd, Christopher/IYJ-9105-2023; Jugo, Pedro/B-4726-2008; Wilke, Max/Q-5982-2017</t>
  </si>
  <si>
    <t>Jugo, Pedro/0000-0001-9375-4044; Wilke, Max/0000-0002-1890-3940; Herd, Christopher/0000-0001-5210-4002</t>
  </si>
  <si>
    <t>Canadian Space Agency; NSERC; Antarctic Meteorite Working Group [EETA79001,73]</t>
  </si>
  <si>
    <t>Canadian Space Agency(Canadian Space Agency); NSERC(Natural Sciences and Engineering Research Council of Canada (NSERC)); Antarctic Meteorite Working Group</t>
  </si>
  <si>
    <t>This work has been funded by the Canadian Space Agency through the Space Science Fellowships program awarded to ELW, and NSERC Discovery Grants awarded to CDKH and PJJ. The authors gratefully acknowledge the Antarctic Meteorite Working Group for loan of EETA79001,73. Thanks to Sergei Matveev and George Braybrook (University of Alberta) for EM and SEM assistance. Thanks to Jean Susini (ESRF) for assistance with XANES. Paul Wallace (University of Oregon) provided the samples front Lau Basin and the Galapagos. We thank Allan Treiman whose comments improved an earlier draft of this manuscript, and later revisions by Jorg Fritz, Deon van Niekerk and an anonymous reviewer.</t>
  </si>
  <si>
    <t>10.1016/j.gca.2010.04.065</t>
  </si>
  <si>
    <t>WOS:000280041200015</t>
  </si>
  <si>
    <t>Durack, PJ; Wijffels, SE</t>
  </si>
  <si>
    <t>Durack, Paul J.; Wijffels, Susan E.</t>
  </si>
  <si>
    <t>Fifty-Year Trends in Global Ocean Salinities and Their Relationship to Broad-Scale Warming</t>
  </si>
  <si>
    <t>WATER-MASS CHANGES; SOUTHERN-OCEAN; INDIAN-OCEAN; FRESH-WATER; HYDROLOGICAL CYCLE; ATLANTIC-OCEAN; CLIMATE-CHANGE; PACIFIC-OCEAN; WORLD OCEAN; NORTH</t>
  </si>
  <si>
    <t>Using over 1.6 million profiles of salinity, potential temperature, and neutral density from historical archives and the international Argo Program, this study develops the three-dimensional field of multidecadal linear change for ocean-state properties. The period of analysis extends from 1950 to 2008, taking care to minimize the aliasing associated with the seasonal and major global El Nino Southern Oscillation modes. Large, robust, and spatially coherent multidecadal linear trends in salinity to 2000-dbar depth are found. Salinity increases at the sea surface are found in evaporation-dominated regions and freshening in precipitation-dominated regions, with the spatial pattern of change strongly resembling that of the mean salinity field, consistent with an amplification of the global hydrological cycle. Subsurface salinity changes on pressure surfaces are attributable to both isopycnal heave and real water-mass modification of the temperature-salinity relationship. Subduction and circulation by the ocean's mean flow of surface salinity and temperature anomalies appear to account for most regional subsurface salinity changes on isopycnals. Broad-scale surface warming and the associated poleward migration of isopycnal outcrops drive a clear and repeating pattern of subsurface isopycnal salinity change in each independent ocean basin. Qualitatively, the observed global multidecadal salinity changes are thus consonant with both broad-scale surface warming and the amplification of the global hydrological cycle.</t>
  </si>
  <si>
    <t>[Durack, Paul J.; Wijffels, Susan E.] CSIRO Marine &amp; Atmospher Res, Ctr Australian Weather &amp; Climate Res, Hobart, Tas 7001, Australia; [Durack, Paul J.] Univ Tasmania, Inst Marine &amp; Antarctic Studies, Hobart, Tas, Australia; [Durack, Paul J.; Wijffels, Susan E.] CSIRO, Wealth Oceans Natl Res Flagship, Hobart, Tas, Australia</t>
  </si>
  <si>
    <t>Commonwealth Scientific &amp; Industrial Research Organisation (CSIRO); University of Tasmania; Commonwealth Scientific &amp; Industrial Research Organisation (CSIRO)</t>
  </si>
  <si>
    <t>Durack, PJ (corresponding author), CSIRO Marine &amp; Atmospher Res, Ctr Australian Weather &amp; Climate Res, GPO Box 1538, Hobart, Tas 7001, Australia.</t>
  </si>
  <si>
    <t>paul.durack@csiro.au</t>
  </si>
  <si>
    <t>Durack, Paul James/A-8758-2010; Wijffels, Susan E/I-8215-2012</t>
  </si>
  <si>
    <t>Durack, Paul James/0000-0003-2835-1438; Wijffels, Susan/0000-0002-4717-0811</t>
  </si>
  <si>
    <t>CSIRO-University of Tasmania</t>
  </si>
  <si>
    <t>CSIRO-University of Tasmania(Commonwealth Scientific &amp; Industrial Research Organisation (CSIRO))</t>
  </si>
  <si>
    <t>This paper is a contribution to the Australian Climate Change Research Program and Commonwealth Scientific Industrial Research Organization (CSIRO) Wealth from Oceans Flagship. P.J.D. is supported by a joint CSIRO-University of Tasmania Ph.D. scholarship in Quantitative Marine Science (QMS). We acknowledge the sources of observed data utilized in this study: Taiyo Kobayashi, Toshio Suga, and Shinya Minato (JAMSTEC-IORGC) for the SeHyD and IOHB data, Ruth Curry and Alison MacDonald (WHOI) for the Hydrobase2 data, and Alejandro Orsi and Thomas Whitworth (Texas A&amp;M University) for the SODB data. The Argo data were collected and made freely available by the International Argo Program and the national programs that contribute to it. (available online at http:// www.argo.ucsd.edu and http://argo.jcommops.org). The Australian component of Argo is part of Australia's Integrated Marine Observing System (IMOS; available online at http://www.imos.org.au). Many thanks to the folks at the NODC without their efforts to locate, obtain, and digitize high-quality historical ocean data, studies such as this would not be possible. In particular, the sustained progress of the Global Oceanographic Data Archaeology and Rescue (GODAR; available online at http://www.nodc.noaa.gov/General/NODC-dataexch/ NODC-godar.html) project must be acknowledged, we hope data discovery and recovery work will continue into the future. The authors would also like to thank numerous colleagues from CSIRO, CAWCR, and the University of Tasmania for valuable feedback and input into this project. The Centre for Australian Weather and Climate Research is a partnership between CSIRO and the Australian Bureau of Meteorology. The authors thank Drs. Trevor McDougall and Bernadette Sloyan of CSIRO, Julia Durack, Moya Durack, and three anonymous reviewers for helpful comments with early drafts of this manuscript. The authors declare that they have no competing financial interests. P.J.D. completed the analysis and shared responsibility for writing the manuscript. S.E.W. assisted in analysis and shared responsibility for writing the manuscript.</t>
  </si>
  <si>
    <t>45 BEACON ST, BOSTON, MA 02108-3693, UNITED STATES</t>
  </si>
  <si>
    <t>10.1175/2010JCLI3377.1</t>
  </si>
  <si>
    <t>646CG</t>
  </si>
  <si>
    <t>hybrid, Green Submitted, Green Accepted</t>
  </si>
  <si>
    <t>WOS:000281512600004</t>
  </si>
  <si>
    <t>Borley, KA; Beers, JM; Sidell, BD</t>
  </si>
  <si>
    <t>Borley, Kimberly A.; Beers, Jody M.; Sidell, Bruce D.</t>
  </si>
  <si>
    <t>Phenylhydrazine-induced anemia causes nitric-oxide-mediated upregulation of the angiogenic pathway in Notothenia coriiceps</t>
  </si>
  <si>
    <t>Antarctic fish; icefish; hemoglobin; phenylhydrazine; angiogenesis; nitric oxide</t>
  </si>
  <si>
    <t>RAINBOW-TROUT; HYPOXIA; OXYGEN; HIF-1-ALPHA; EXPRESSION; GENE; HEMOGLOBIN; IDENTIFICATION; INHIBITION; METABOLISM</t>
  </si>
  <si>
    <t>Antarctic icefishes possess several cardiovascular characteristics that enable them to deliver oxygen adequately in the absence of hemoglobin (Hb). To gain insight into mechanisms driving development of these cardiovascular characteristics of icefish, we chemically induced severe anemia in a red-blooded notothenioid, Notothenia coriiceps. After 10 days of treatment with phenylhydrazine HCl, the hematocrit and Hb concentration of N. coriiceps decreased by &gt; 90% and &gt; 70%, respectively. Anemic fish exhibited a significantly higher concentration of nitric oxide (NO) metabolites in their plasma compared with that of control animals, indicating that corporeal levels of NO are higher in anemic animals than in control fish. The activity of nitric oxide synthase (NOS) was measured in brain, retina, pectoral muscle and ventricle of control and anemic animals. With the exception of retina, no significant differences in NOS activities were observed, indicating that the increase in plasma NO metabolites is due to loss of Hb, which normally plays a major role in the degradation of NO, and not due to an overall increase in the capacity for NO production. To determine whether loss of Hb can stimulate remodeling of the cardiovascular system, we measured expression of HIF-1 alpha, PHD2 and VEGF mRNA in retinae of control and anemic fish. Expression of all three genes was higher in anemic animals compared with control N. coriiceps, suggesting a causative relationship between loss of Hb and induction of angiogenesis that probably is mediated through nitric oxide signaling.</t>
  </si>
  <si>
    <t>[Beers, Jody M.; Sidell, Bruce D.] Univ Maine, Sch Marine Sci, Orono, ME 04469 USA; [Borley, Kimberly A.] Univ Maine, Dept Mol &amp; Biomed Sci, Orono, ME 04469 USA</t>
  </si>
  <si>
    <t>Sidell, BD (corresponding author), Univ Maine, Sch Marine Sci, 5751 Murray Hall, Orono, ME 04469 USA.</t>
  </si>
  <si>
    <t>bsidell@maine.edu</t>
  </si>
  <si>
    <t>US National Science Foundation [ANT 04-37887, ANT 07-39637]</t>
  </si>
  <si>
    <t>US National Science Foundation(National Science Foundation (NSF))</t>
  </si>
  <si>
    <t>The authors gratefully acknowledge the Master and crew of the ARSV Laurence M. Gould and the support personnel of Raytheon Polar Services both onboard the ship and at Palmer Station for their assistance in making the 2005 and 2007 field seasons both safe and productive. Additional thanks to Greg Mayer and Emily Notch for providing access to equipment and technical assistance. We also are indebted to Bruno Tota (University of Calabria) and colleagues for both stimulating and insightful interactions aimed at questions regarding nitric oxide in cardiovascular function. Funding for this research was provided by US National Science Foundation Grants ANT 04-37887 and ANT 07-39637 to B. D. S. from the Program in Antarctic Organisms and Ecosystems.</t>
  </si>
  <si>
    <t>10.1242/jeb.043281</t>
  </si>
  <si>
    <t>633CX</t>
  </si>
  <si>
    <t>WOS:000280478200021</t>
  </si>
  <si>
    <t>Truebano, M; Burns, G; Thorne, MAS; Hillyard, G; Peck, LS; Skibinski, DOF; Clark, MS</t>
  </si>
  <si>
    <t>Truebano, Manuela; Burns, Gavin; Thorne, Michael A. S.; Hillyard, Guy; Peck, Lloyd S.; Skibinski, David O. F.; Clark, Melody S.</t>
  </si>
  <si>
    <t>Transcriptional response to heat stress in the Antarctic bivalve Latemula elliptica</t>
  </si>
  <si>
    <t>Genomics; Heat shock; Laternula elliptica; Microarray; Stress; Transcriptome</t>
  </si>
  <si>
    <t>TEMPERATURE-DEPENDENT BIOGEOGRAPHY; DIFFERENTIAL GENE-EXPRESSION; CDNA MICROARRAY ANALYSIS; THERMAL-STRESS; SHOCK PROTEINS; LATERNULA-ELLIPTICA; REGULATORY NETWORK; OXIDATIVE STRESS; TOLERANCE; LIMITS</t>
  </si>
  <si>
    <t>Our ability to predict animal responses to temperature changes is currently limited and more sensitive methods of identifying mechanisms, limits and thresholds are required. Antarctic marine ectotherms are excellent candidates for the study of warming seawater temperatures as they represent some of the most stenothermal species on Earth. They live within a narrow thermal window and exhibit reduced physiological capacities with small elevations in temperature. Whilst the physiological effects of elevated temperatures are well documented in these species, knowledge at the molecular level is scant and hence our understanding of the cellular response is still limited. To increase our knowledge in this area, a cDNA microarray consisting of 8448 clones was constructed to study the heat stress response of Laternula elliptica, an infaunal Antarctic bivalve. Eight clams were exposed to 12 h heat stress at 3 degrees C and their gene expression profiles were individually compared to a pooled reference of non heat shocked clams. Significant changes in the expression of 294 clones, representing 160 transcripts were observed. Of these, 33 were identified by sequence similarity searches and classified to a variety of cellular functions including protein turnover, folding and chaperoning, intracellular signalling and trafficking and cytoskeletal activity. These results suggest that antioxidant genes and genes involved in Ca2+ signalling and homeostasis represent potential biomarkers as to the physiological state of this species under thermal stress. (C) 2010 Elsevier B.V. All rights reserved.</t>
  </si>
  <si>
    <t>[Truebano, Manuela; Burns, Gavin; Thorne, Michael A. S.; Hillyard, Guy; Peck, Lloyd S.; Clark, Melody S.] British Antarctic Survey, Nat Environm Res Council, Cambridge CB3 0ET, England; [Truebano, Manuela; Skibinski, David O. F.] Swansea Univ, Inst Life Sci, Sch Med, Swansea SA2 8PP, W Glam, Wales</t>
  </si>
  <si>
    <t>UK Research &amp; Innovation (UKRI); Natural Environment Research Council (NERC); NERC British Antarctic Survey; Swansea University</t>
  </si>
  <si>
    <t>Truebano, M (corresponding author), British Antarctic Survey, Nat Environm Res Council, Madingley Rd, Cambridge CB3 0ET, England.</t>
  </si>
  <si>
    <t>mtruebano@gmail.com</t>
  </si>
  <si>
    <t>Truebano, Manuela/AAO-4545-2021; Clark, Melody/D-7371-2014</t>
  </si>
  <si>
    <t>Truebano, Manuela/0000-0003-2586-6524; Clark, Melody/0000-0002-3442-3824; SKIBINSKI, David/0000-0003-4077-6236; Thorne, Michael/0000-0001-7759-612X</t>
  </si>
  <si>
    <t>Marine Genomics Europe (MGE) Network [GOCE-CT-2004-505403]; BAS Q4 BIOREACH/BIOFLAME; NERC [dml011000, bas0100025] Funding Source: UKRI; Natural Environment Research Council [bas0100025, dml011000] Funding Source: researchfish</t>
  </si>
  <si>
    <t>Marine Genomics Europe (MGE) Network; BAS Q4 BIOREACH/BIOFLAME; NERC(UK Research &amp; Innovation (UKRI)Natural Environment Research Council (NERC)); Natural Environment Research Council(UK Research &amp; Innovation (UKRI)Natural Environment Research Council (NERC))</t>
  </si>
  <si>
    <t>We thank the Marine Genomics Europe (MGE) Network (EU-FP6 contract No. GOCE-CT-2004-505403) and the BAS Q4 BIOREACH/BIOFLAME core programme for financial support. Manuela Truebano thanks MGE for a PhD fellowship and Dr Paul J. Seear for technical advice Sand critical comments. We also thank the Rothera Dive Team for providing samples.</t>
  </si>
  <si>
    <t>10.1016/j.jembe.2010.06.011</t>
  </si>
  <si>
    <t>641ZT</t>
  </si>
  <si>
    <t>WOS:000281173000009</t>
  </si>
  <si>
    <t>Bugoni, L; McGill, RAR; Furness, RW</t>
  </si>
  <si>
    <t>Bugoni, Leandro; McGill, Rona A. R.; Furness, Robert W.</t>
  </si>
  <si>
    <t>The importance of pelagic longline fishery discards for a seabird community determined through stable isotope analysis</t>
  </si>
  <si>
    <t>Albatross; Community disruption; Diet overlap; Longline fishery discards; Petrels; Wintering</t>
  </si>
  <si>
    <t>TROPHIC RELATIONSHIPS; SCAVENGING SEABIRDS; LIPID EXTRACTION; ARCTIC SEABIRDS; FORAGING AREAS; SOUTHERN-OCEAN; FOOD-WEB; CARBON; DELTA-C-13; NITROGEN</t>
  </si>
  <si>
    <t>Seabird species within a community are expected to have distinct trophic niches according to foraging methods and body size, but some seabirds exploit fishery waste which can be quite distinct from natural foods. Even in the presence of fishery discards we hypothesize that a pelagic seabird community is structured according to body size, feeding methods, and access to discards. We measured carbon and nitrogen stable isotopes in whole blood of seabirds from the offshore wintering community of Procellariiformes (albatrosses, petrels, shearwaters and storm-petrels) in the SW Atlantic Ocean. We compared this with isotope values of potential prey items and fishery discards, to investigate the importance of discards from the tuna-shark pelagic longline fishery in the diet of these birds. Despite contrasting body masses and feeding techniques, there was extensive overlap in the range of isotopic ratios for different species. Carbon isotope values were typical of the subtropical offshore region. Nitrogen values also showed a high degree of overlap among species and clearly signify that the birds are feeding on fishery waste (especially shark liver). Recently arrived migrants from the Antarctic and sub-Antarctic, and species still rearing chicks when sampled (e.g. wandering albatross Diomedea exulans) had carbon isotopic values indicative of Antarctic and sub-Antarctic regions. All species breeding at more southerly latitudes underwent a marked shift (increase) in carbon and nitrogen isotopes, indicating a change in diet between breeding and wintering seasons. Cory's shearwater (Calonectris diomedea), the only sampled species not attending vessels, had low nitrogen values reflecting a diet of flying fish which occur naturally in the area and showed no change in isotope values between breeding and wintering grounds. Mixing models demonstrate the need to include an external food source (Antarctic krill) to recreate the isotope values obtained from seabird blood: this corresponds to the blood of wintering migrants retaining a minor component from their diet in the southern breeding grounds. The stable isotope results suggest that the availability of discards from pelagic fisheries in the SW Atlantic Ocean lead to an artificially and poorly structured seabird community, with most species utilizing the same food resource. The balance between population benefits obtained from feeding upon otherwise unavailable discards, and the costs from incidental mortality on longline fishing hooks is likely to differ among species, with positive effects for small-sized species and negative effects on albatrosses and Procellaria petrels. (C) 2010 Elsevier B.V. All rights reserved.</t>
  </si>
  <si>
    <t>[Bugoni, Leandro; Furness, Robert W.] Univ Glasgow, Fac Biomed &amp; Life Sci, Glasgow G12 8QQ, Lanark, Scotland; [McGill, Rona A. R.] Scottish Univ, Environm Res Ctr, E Kilbride G75 0QF, Lanark, Scotland</t>
  </si>
  <si>
    <t>University of Glasgow; Scottish Universities Research &amp; Reactor Center</t>
  </si>
  <si>
    <t>Bugoni, L (corresponding author), Fdn Univ Fed Rio Grande FURG, Inst Ciencias Biol, CP 474, BR-96650900 Rio Grande, RS, Brazil.</t>
  </si>
  <si>
    <t>lbugoni@yahoo.com.br</t>
  </si>
  <si>
    <t>Fennell, Hannah/AAI-1408-2019; McGill, Rona/F-1793-2010; McGill, Rona/JAC-6969-2023; Bugoni, Leandro/F-9539-2012</t>
  </si>
  <si>
    <t>McGill, Rona/0000-0003-0400-7288; Bugoni, Leandro/0000-0003-0689-7026</t>
  </si>
  <si>
    <t>Natural Environment Research Council (NERC-UK) [EK81-07/05]; CAPES; Natural Environment Research Council [lsmsf010002] Funding Source: researchfish; NERC [lsmsf010002] Funding Source: UKRI</t>
  </si>
  <si>
    <t>Natural Environment Research Council (NERC-UK)(UK Research &amp; Innovation (UKRI)Natural Environment Research Council (NERC)); CAPES(Coordenacao de Aperfeicoamento de Pessoal de Nivel Superior (CAPES)); Natural Environment Research Council(UK Research &amp; Innovation (UKRI)Natural Environment Research Council (NERC)); NERC(UK Research &amp; Innovation (UKRI)Natural Environment Research Council (NERC))</t>
  </si>
  <si>
    <t>We gratefully acknowledge the captain C. Oliveira and crew of the fishing vessel Ana Amaral I and Akira V for logistic support onboard the vessel, A. Gomes Jr, J.P. Castello for helping during sampling potential prey, K. Griffiths for sexing birds, T. Vaske Jr and R.A. Santos for identifying prey. We also thank the critical revision of Dr. R. Phillips and two anonymous referees, which greatly improved the manuscript. Sample analysis was funded by the Natural Environment Research Council (NERC-UK, Grant Number EK81-07/05). L.B. received a CAPES Scholarship. This study was carried out according to permits from Brazilian and Scottish Governments. [ST]</t>
  </si>
  <si>
    <t>10.1016/j.jembe.2010.06.027</t>
  </si>
  <si>
    <t>WOS:000281173000023</t>
  </si>
  <si>
    <t>Close, DI</t>
  </si>
  <si>
    <t>Close, D. I.</t>
  </si>
  <si>
    <t>Slope and fan deposition in deep-water turbidite systems, East Antarctica</t>
  </si>
  <si>
    <t>seismic stratigraphy; turbidites; sediment waves; East Antarctica</t>
  </si>
  <si>
    <t>WILKES LAND MARGIN; CONTINENTAL-MARGIN; SEDIMENT WAVES; SEISMIC GEOMORPHOLOGY; SOUTH; STRATIGRAPHY; MORPHOLOGY; EVOLUTION; RISE</t>
  </si>
  <si>
    <t>Detailed seismic stratigraphic analysis of 2D reflection seismic data from the East Antarctic rifted continental margin provides an ancient analogue for turbidity fan systems at high-latitude margins. Reflector sequences characteristic of turbidity flow channel migration and aggradation are identified, along with other depositional elements integral to the understanding of deep-water deposition, such as channel levees, splays and wavy bedforms. Wavy bedforms are contrasted with slump-related features, which although present do not explain the morphological features interpreted here as sediment waves. Slump-related features suggest, qualitatively, a relationship between a basal detachment layer and a widespread bottom-simulating reflector. The influence of the initial morphology on slope deposition and distributary patterns for turbidite deposits is clear in these data. Healed-slope accommodation on an above-grade slope is evident in seismic profiles. Ponded and/or healed-slope accommodation is associated with pre-existing bathymetric highs, interpreted as rift-related, serpentinised, peridotite ridges. (C) 2010 Elsevier B.V. All rights reserved.</t>
  </si>
  <si>
    <t>Univ Oxford, Dept Earth Sci, Oxford OX1 2JD, England</t>
  </si>
  <si>
    <t>University of Oxford</t>
  </si>
  <si>
    <t>Close, DI (corresponding author), Univ Oxford, Dept Earth Sci, Oxford OX1 2JD, England.</t>
  </si>
  <si>
    <t>david.close@apachecorp.com</t>
  </si>
  <si>
    <t>10.1016/j.margeo.2010.03.002</t>
  </si>
  <si>
    <t>620TW</t>
  </si>
  <si>
    <t>WOS:000279524100002</t>
  </si>
  <si>
    <t>Kil, Y; Lee, SH; Park, MH; Wendlandt, RF</t>
  </si>
  <si>
    <t>Kil, Y.; Lee, S. -H.; Park, M. -H.; Wendlandt, R. F.</t>
  </si>
  <si>
    <t>Nature of serpentinization of ultramafic rocks from Hero Fracture Zone, Antarctic: Constraints from stable isotopes</t>
  </si>
  <si>
    <t>serpentinite; Hero Fracture Zone; Antarctic; spinet peridotite; upper mantle</t>
  </si>
  <si>
    <t>MID-ATLANTIC RIDGE; ABYSSAL PERIDOTITES; HYDROGEN ISOTOPE; UPPER-MANTLE; TALC-RICH; OXYGEN; ORIGIN; MARGIN; EXHUMATION; O18/O16</t>
  </si>
  <si>
    <t>Serpentinites from the Hero Fracture Zone, Drake Passage, Antarctica, contain serpentine, amphibole, talc, chlorite, and magnetite as well as relict olivine, pyroxene, and spinel from a spinel peridotite precursor. Two episodes of serpentinization are recognized. The first event produced lizardite and antigorite, whereas the second produced only lizardite. The initial and subsequent serpentinization events occurred at about 178283 degrees C and 170-298 degrees C, respectively. Calculated water/rock ratios of the serpentinization events are less than 5 for the initial event and greater than 5 for the subsequent event. A model involving deep seawater infiltration in the fracture zone, followed by serpentinization of mantle peridotite and buoyancy-driven uplift controlled by relatively small-scale faults and not by a large-scale detachment fault, is invoked to explain the emplacement of serpentinite on the surface. (C) 2010 Elsevier B.V. All rights reserved.</t>
  </si>
  <si>
    <t>[Kil, Y.] Korea Inst Geosci &amp; Mineral Resources, Taejon 305350, South Korea; [Lee, S. -H.] Korea Basic Sci Inst, Taejon 305333, South Korea; [Park, M. -H.] Korea Natl Oil Corp, Anyang 431711, South Korea; [Wendlandt, R. F.] Colorado Sch Mines, Dept Geol &amp; Geol Engn, Golden, CO 80401 USA</t>
  </si>
  <si>
    <t>Korea Institute of Geoscience &amp; Mineral Resources (KIGAM); Korea Basic Science Institute (KBSI); Korea National Oil Corporation; Colorado School of Mines</t>
  </si>
  <si>
    <t>Kil, Y (corresponding author), Korea Inst Geosci &amp; Mineral Resources, 92 Gwahang No, Taejon 305350, South Korea.</t>
  </si>
  <si>
    <t>basaltkil@yahoo.com</t>
  </si>
  <si>
    <t>Korea Polar Research Institute [KBSI-2004-1220-0111-0599]; Korea Institute of Geoscience and Mineral Resources [10-3114]</t>
  </si>
  <si>
    <t>Korea Polar Research Institute(Korea Polar Research Institute of Marine Research Placement (KOPRI)); Korea Institute of Geoscience and Mineral Resources</t>
  </si>
  <si>
    <t>This work was supported by the Korea Polar Research Institute (KBSI-2004-1220-0111-0599) and Korea Institute of Geoscience and Mineral Resources (10-3114). I would like to express my very sincere appreciation to unknown reviewers, and Dr. Jong-Ik Lee and Dr. Young-Keun Jin at KOPRI for their valuable discussions.</t>
  </si>
  <si>
    <t>10.1016/j.margeo.2010.03.004</t>
  </si>
  <si>
    <t>WOS:000279524100004</t>
  </si>
  <si>
    <t>Moran, AL; Woods, HA</t>
  </si>
  <si>
    <t>Moran, Amy L.; Woods, H. Arthur</t>
  </si>
  <si>
    <t>Limits to Diffusive O2 Transport: Flow, Form, and Function in Nudibranch Egg Masses from Temperate and Polar Regions</t>
  </si>
  <si>
    <t>ANTARCTIC SEA-URCHIN; EMBRYONIC-DEVELOPMENT; OPISTHOBRANCH MOLLUSKS; ULTRAVIOLET-RADIATION; OXYGEN AVAILABILITY; AMBYSTOMA-MACULATUM; DEVELOPMENTAL MODE; MARINE GASTROPODS; PACIFIC-OCEAN; CLUTCH SIZE</t>
  </si>
  <si>
    <t>Background: Many aquatic animals enclose embryos in gelatinous masses, and these embryos rely on diffusion to supply oxygen. Mass structure plays an important role in limiting or facilitating O-2 supply, but external factors such as temperature and photosynthesis can play important roles as well. Other external factors are less well understood. Methodology/Principal Findings: We first explored the effects of water flow on O-2 levels inside nudibranch embryo masses and compared the effects of flow on masses from temperate and polar regions. Water flow (still vs. vigorously bubbled) had a strong effect on central O-2 levels in all masses; in still water, masses were considerably more hypoxic than in bubbled water. This effect was stronger in temperate than in polar masses, likely due to the increased metabolic demand and O-2 consumption of temperate masses. Second, we made what are to our knowledge the first measurements of O-2 in invertebrate masses in the field. Consistent with laboratory experiments, O-2 in Antarctic masses was high in masses in situ, suggesting that boundary-layer effects do not substantially limit O-2 supply to polar embryos in the field. Conclusions/Significance: All else being equal, boundary layers are more likely to depress O-2 in masses in temperate or tropical regions; thus, selection on parents to choose high-flow sites for mass deposition is likely greater in warm water. Because of the large number of variables affecting diffusive O-2 supply to embryos in their natural environment, field observations are necessary to test hypotheses generated from laboratory experiments and mathematical modeling.</t>
  </si>
  <si>
    <t>[Moran, Amy L.] Clemson Univ, Dept Biol Sci, Clemson, SC 29634 USA; [Woods, H. Arthur] Univ Montana, Div Biol Sci, Missoula, MT 59812 USA</t>
  </si>
  <si>
    <t>Clemson University; University of Montana System; University of Montana</t>
  </si>
  <si>
    <t>Moran, AL (corresponding author), Clemson Univ, Dept Biol Sci, Clemson, SC 29634 USA.</t>
  </si>
  <si>
    <t>moran@clemson.edu</t>
  </si>
  <si>
    <t>Moran, Amy L/F-7072-2011</t>
  </si>
  <si>
    <t>Moran, Amy/0000-0002-0604-5096</t>
  </si>
  <si>
    <t>National Science Foundation [ANT-0551969, ANT-0440577]</t>
  </si>
  <si>
    <t>This work was supported by the National Science Foundation, Office of Polar Programs (ANT-0551969 to ALM and ANT-0440577 to HAW). The funders had no role in study design, data collection and analysis, decision to publish, or preparation of the manuscript.</t>
  </si>
  <si>
    <t>185 BERRY ST, STE 1300, SAN FRANCISCO, CA 94107 USA</t>
  </si>
  <si>
    <t>AUG 11</t>
  </si>
  <si>
    <t>e12113</t>
  </si>
  <si>
    <t>10.1371/journal.pone.0012113</t>
  </si>
  <si>
    <t>637WJ</t>
  </si>
  <si>
    <t>WOS:000280849100028</t>
  </si>
  <si>
    <t>Singh, SM; Pereira, N; Ravindra, R</t>
  </si>
  <si>
    <t>Singh, S. M.; Pereira, N.; Ravindra, R.</t>
  </si>
  <si>
    <t>Adaptive mechanisms for stress tolerance in Antarctic plants</t>
  </si>
  <si>
    <t>Antarctica; adaptation strategies; extreme climate; ozone; plant life; UV-radiation</t>
  </si>
  <si>
    <t>DRONNING-MAUD LAND; EAST ANTARCTICA; SCHIRMACHER OASIS; CYANOBACTERIA; DESATURASES; LICHENS; GENES; COLD; PHOTOSYNTHESIS; SYNECHOCYSTIS</t>
  </si>
  <si>
    <t>During the 23rd Indian Antarctic Expedition (IAE) in the summer 2003 at Schirmacher Oasis, Antarctica, it was observed that some plants changed their colour as an adaptation strategy to prevent bleaching of the chlorophyll molecule due to high intensity of UV light. The molecular basis of cold adaptation and the transduction of thermal-quanta signals in Antarctic plants is still a matter of debate. Life forms of Antarctica have a unique survival and functioning mechanism in the extremes of environment. This fragile continent has been burdened with increasing human pressure in the form of scientific expeditions and tourism activities adversely impacting the biodiversity of Antarctica. This article explores the life strategies displayed in algae, mosses and lichens as a result of adaptation to harsh climatic conditions with a focus on ozone depletion and its effects on these plants.</t>
  </si>
  <si>
    <t>[Pereira, N.] Univ Mumbai, Dept Bot, Bombay 400032, Maharashtra, India</t>
  </si>
  <si>
    <t>University of Mumbai</t>
  </si>
  <si>
    <t>drsmsingh@yahoo.com</t>
  </si>
  <si>
    <t>AUG 10</t>
  </si>
  <si>
    <t>657UL</t>
  </si>
  <si>
    <t>WOS:000282441000020</t>
  </si>
  <si>
    <t>Flocco, D; Feltham, DL; Turner, AK</t>
  </si>
  <si>
    <t>Flocco, Daniela; Feltham, Daniel L.; Turner, Adrian K.</t>
  </si>
  <si>
    <t>Incorporation of a physically based melt pond scheme into the sea ice component of a climate model</t>
  </si>
  <si>
    <t>THICKNESS DISTRIBUTION; THERMODYNAMIC MODEL; SUMMER; OCEAN</t>
  </si>
  <si>
    <t>The extent and thickness of the Arctic sea ice cover has decreased dramatically in the past few decades with minima in sea ice extent in September 2005 and 2007. These minima have not been predicted in the IPCC AR4 report, suggesting that the sea ice component of climate models should more realistically represent the processes controlling the sea ice mass balance. One of the processes poorly represented in sea ice models is the formation and evolution of melt ponds. Melt ponds accumulate on the surface of sea ice from snow and sea ice melt and their presence reduces the albedo of the ice cover, leading to further melt. Toward the end of the melt season, melt ponds cover up to 50% of the sea ice surface. We have developed a melt pond evolution theory. Here, we have incorporated this melt pond theory into the Los Alamos CICE sea ice model, which has required us to include the refreezing of melt ponds. We present results showing that the presence, or otherwise, of a representation of melt ponds has a significant effect on the predicted sea ice thickness and extent. We also present a sensitivity study to uncertainty in the sea ice permeability, number of thickness categories in the model representation, meltwater redistribution scheme, and pond albedo. We conclude with a recommendation that our melt pond scheme is included in sea ice models, and the number of thickness categories should be increased and concentrated at lower thicknesses.</t>
  </si>
  <si>
    <t>[Flocco, Daniela; Feltham, Daniel L.; Turner, Adrian K.] UCL, Ctr Polar Observat &amp; Modelling, Dept Earth Sci, London WC1E 6BT, England; [Feltham, Daniel L.] British Antarctic Survey, Cambridge CB3 0ET, England</t>
  </si>
  <si>
    <t>University of London; University College London; UK Research &amp; Innovation (UKRI); Natural Environment Research Council (NERC); NERC British Antarctic Survey</t>
  </si>
  <si>
    <t>Flocco, D (corresponding author), UCL, Ctr Polar Observat &amp; Modelling, Dept Earth Sci, Gower St, London WC1E 6BT, England.</t>
  </si>
  <si>
    <t>d.flocco@cpom.ucl.ac.uk</t>
  </si>
  <si>
    <t>Flocco, Daniela/ISA-8644-2023; Turner, Adrian K/A-9539-2009</t>
  </si>
  <si>
    <t>Flocco, Daniela/0000-0002-0025-5359; Turner, Adrian/0000-0001-6796-4187; Feltham, Daniel/0000-0003-2289-014X</t>
  </si>
  <si>
    <t>Leverhulme Trust; National Environmental Research Council of UK; NERC [earth010002] Funding Source: UKRI; Natural Environment Research Council [earth010002] Funding Source: researchfish</t>
  </si>
  <si>
    <t>Leverhulme Trust(Leverhulme Trust); National Environmental Research Council of UK; NERC(UK Research &amp; Innovation (UKRI)Natural Environment Research Council (NERC)); Natural Environment Research Council(UK Research &amp; Innovation (UKRI)Natural Environment Research Council (NERC))</t>
  </si>
  <si>
    <t>We acknowledge two anonymous reviewers, whose insightful comments have helped us improve the manuscript. D.L.F. acknowledges financial support made available through the award of a research prize by the Leverhulme Trust. We acknowledge financial support made possible under the Arctic Synoptic Basin-wide Oceanography consortium grant, awarded by the National Environmental Research Council of UK.</t>
  </si>
  <si>
    <t>C08012</t>
  </si>
  <si>
    <t>10.1029/2009JC005568</t>
  </si>
  <si>
    <t>639FJ</t>
  </si>
  <si>
    <t>Green Accepted, Bronze</t>
  </si>
  <si>
    <t>WOS:000280957200001</t>
  </si>
  <si>
    <t>Dmitrenko, IA; Kirillov, SA; Tremblay, LB; Bauch, D; Hölemann, JA; Krumpen, T; Kassens, H; Wegner, C; Heinemann, G; Schröder, D</t>
  </si>
  <si>
    <t>Dmitrenko, Igor A.; Kirillov, Sergey A.; Tremblay, L. Bruno; Bauch, Dorothea; Hoelemann, Jens A.; Krumpen, Thomas; Kassens, Heidemarie; Wegner, Carolyn; Heinemann, Guenther; Schroeder, David</t>
  </si>
  <si>
    <t>Impact of the Arctic Ocean Atlantic water layer on Siberian shelf hydrography</t>
  </si>
  <si>
    <t>LAPTEV SEA; BOUNDARY CURRENT; VARIABILITY; INTERMEDIATE; PERMAFROST; SLOPE; ICE</t>
  </si>
  <si>
    <t>This paper examines the role of the Arctic Ocean Atlantic water (AW) in modifying the Laptev Sea shelf bottom hydrography on the basis of historical records from 1932 to 2008, field observations carried out in April-May 2008, and 2002-2009 cross-slope measurements. A climatology of bottom hydrography demonstrates warming that extends offshore from the 30-50 m depth contour. Bottom layer temperature-time series constructed from historical records links the Laptev Sea outer shelf to the AW boundary current transporting warm and saline water from the North Atlantic. The AW warming of the mid-1990s and the mid-2000s is consistent with outer shelf bottom temperature variability. For April-May 2008 we observed on-shelf near-bottom warm and saline water intrusions up to the 20 m isobath. These intrusions are typically about 0.2 degrees C warmer and 1-1.5 practical salinity units saltier than ambient water. The 2002-2009 cross-slope observations are suggestive for the continental slope upward heat flux from the AW to the overlying low-halocline water (LHW). The lateral on-shelf wind-driven transport of the LHW then results in the bottom layer thermohaline anomalies recorded over the Laptev Sea shelf. We also found that polynya-induced vertical mixing may act as a drainage of the bottom layer, permitting a relatively small portion of the AW heat to be directly released to the atmosphere. Finally, we see no significant warming (up until now) over the Laptev Sea shelf deeper than 10-15 m in the historical record. Future climate change, however, may bring more intrusions of Atlantic-modified waters with potentially warmer temperature onto the shelf, which could have a critical impact on the stability of offshore submarine permafrost.</t>
  </si>
  <si>
    <t>[Dmitrenko, Igor A.; Bauch, Dorothea; Kassens, Heidemarie; Wegner, Carolyn] Univ Kiel IFM GEOMAR, Leibniz Inst Marine Sci, D-24148 Kiel, Germany; [Heinemann, Guenther; Schroeder, David] Univ Trier, Dept Environm Meteorol, Fac Geog Geosci, D-54286 Trier, Germany; [Hoelemann, Jens A.; Krumpen, Thomas] Alfred Wegener Inst Polar &amp; Marine Res, D-27570 Bremerhaven, Germany; [Kirillov, Sergey A.] Arctic &amp; Antarctic Res Inst, St Petersburg 199397, Russia; [Tremblay, L. Bruno] McGill Univ, Fac Sci, Dept Atmospher &amp; Ocean Sci, Montreal, PQ H3A 2K6, Canada</t>
  </si>
  <si>
    <t>University of Kiel; Helmholtz Association; GEOMAR Helmholtz Center for Ocean Research Kiel; Universitat Trier; Helmholtz Association; Alfred Wegener Institute, Helmholtz Centre for Polar &amp; Marine Research; Arctic &amp; Antarctic Research Institute; McGill University</t>
  </si>
  <si>
    <t>Dmitrenko, IA (corresponding author), Univ Kiel IFM GEOMAR, Leibniz Inst Marine Sci, Wischhofstr 1-3, D-24148 Kiel, Germany.</t>
  </si>
  <si>
    <t>Krumpen, Thomas/D-5163-2011; Tremblay, Bruno/I-4497-2012; Hoelemann, Jens/N-3608-2016</t>
  </si>
  <si>
    <t>Krumpen, Thomas/0000-0001-6234-8756; Bauch, Dorothea/0000-0002-1419-9714; Hoelemann, Jens/0000-0001-5102-4086; Dmitrenko, Igor/0000-0001-8388-7839</t>
  </si>
  <si>
    <t>BMBF; Otto Schmidt Laboratory for Polar and Marine Sciences; Deutsche Forschungsgemeinschaft (DFG); Natural Sciences and Engineering Research Council of Canada; National Science Foundation [OPP-0230325]; Arctic Science Program [ARC-05-20496]</t>
  </si>
  <si>
    <t>BMBF(Federal Ministry of Education &amp; Research (BMBF)); Otto Schmidt Laboratory for Polar and Marine Sciences; Deutsche Forschungsgemeinschaft (DFG)(German Research Foundation (DFG)); Natural Sciences and Engineering Research Council of Canada(Natural Sciences and Engineering Research Council of Canada (NSERC)CGIAR); National Science Foundation(National Science Foundation (NSF)); Arctic Science Program</t>
  </si>
  <si>
    <t>Financial support through the BMBF projects System Laptev Sea (I.A.D., J.A.H., T.K., H.K., G.H., and D.S.), Otto Schmidt Laboratory for Polar and Marine Sciences (S.K., J.A.H., H.K.), and the Deutsche Forschungsgemeinschaft (DFG) (D.B. and C.W.) is gratefully acknowledged. B. T. was supported by the Natural Sciences and Engineering Research Council of Canada Discovery Grant Program and by the National Science Foundation under grant OPP-0230325 from the Office of Polar Programs and grant ARC-05-20496 from the Arctic Science Program. Torben Klagge (IFM-GEOMAR) and Alfred Helbig (University of Trier) have rendered invaluable assistance in performing oceanographic and meteorological measurements in the Laptev Sea in spring 2008. The cross-slope hydrographic observations in 2002-2009 were carried out within the working framework of the ongoing NOAA and NSF-funded IARC Program Nansen and Amundsen Basins Observational System (NABOS). We gratefully acknowledge Andrey Novikhin (AARI) for CTD profiles taken in 2008-2009 from the R/Vs Ivan Kireev and Yakov Smirnitsky. We are grateful to Igor Polyakov (University of Alaska Fairbanks, United States) and Louis Fortier (Laval University, Canada) for borrowing the oceanographic equipment for the 2008 field campaign. We appreciate Rebecca Woodgate (University of Washington) and Leo Timo-khov (AARI) for their helpful comments and discussions. GME data were kindly provided by the German Meteorological Service.</t>
  </si>
  <si>
    <t>AUG 7</t>
  </si>
  <si>
    <t>C08010</t>
  </si>
  <si>
    <t>10.1029/2009JC006020</t>
  </si>
  <si>
    <t>636GP</t>
  </si>
  <si>
    <t>WOS:000280720000004</t>
  </si>
  <si>
    <t>Li, F; Newman, PA; Stolarski, RS</t>
  </si>
  <si>
    <t>Li, Feng; Newman, Paul A.; Stolarski, Richard S.</t>
  </si>
  <si>
    <t>Relationships between the Brewer-Dobson circulation and the southern annular mode during austral summer in coupled chemistry-climate model simulations</t>
  </si>
  <si>
    <t>EXTRATROPICAL CIRCULATION; OZONE DEPLETION; STRATOSPHERE; TROPOSPHERE; TRENDS</t>
  </si>
  <si>
    <t>The Brewer-Dobson circulation (BDC) is the mean meridional mass circulation in the stratosphere and the southern annular mode (SAM) is the prime variability pattern of the Southern Hemisphere extratropical troposphere. Motivated by previous studies showing that both the strengths of the BDC and the SAM have the largest trends in the austral summer in the recent past, this paper investigates the relationships between the BDC and the SAM using coupled chemistry-climate model simulations. The model results show that the strengthening of the BDC in the Southern Hemisphere during November-February (NDJF) is strongly projected onto the high index of the SAM. The trends in the BDC and the SAM are driven by Antarctic ozone depletion, which increases stratosphere-troposphere interactions through a delayed Antarctic vortex breakup. The prolonged persistence of stratospheric westerlies enhances upward propagation of tropospheric wave activity into the stratosphere and strengthens the BDC. The wave flux and westerly anomalies in the stratosphere in turn drive a SAM trend toward its high index. Model results also show that the BDC-SAM relationship is robust on the interannual time scale.</t>
  </si>
  <si>
    <t>[Li, Feng] Univ Maryland Baltimore Cty, Goddard Earth Sci &amp; Technol Ctr, Baltimore, MD 21228 USA; [Newman, Paul A.; Stolarski, Richard S.] NASA, Goddard Space Flight Ctr, Atmospher Chem &amp; Dynam Branch, Greenbelt, MD 20771 USA</t>
  </si>
  <si>
    <t>National Aeronautics &amp; Space Administration (NASA); NASA Goddard Space Flight Center; University System of Maryland; University of Maryland Baltimore County; National Aeronautics &amp; Space Administration (NASA); NASA Goddard Space Flight Center</t>
  </si>
  <si>
    <t>Li, F (corresponding author), Univ Maryland Baltimore Cty, Goddard Earth Sci &amp; Technol Ctr, 5523 Res Pk Dr,Suite 320, Baltimore, MD 21228 USA.</t>
  </si>
  <si>
    <t>feng.li@nasa.gov</t>
  </si>
  <si>
    <t>Stolarski, Richard S/B-8499-2013; Li, Feng/H-2241-2012; Newman, Paul A./D-6208-2012</t>
  </si>
  <si>
    <t>Li, Feng/0000-0002-7928-0775; Newman, Paul A./0000-0003-1139-2508</t>
  </si>
  <si>
    <t>This work was supported by NASA's Modeling and Analysis program. We thank three anonymous reviewers for their insightful comments. The NCEP Reanalysis 2 data are provided by the NOAA/OAR/ESRL PSD, Boulder, CO, USA, from their Web site at http://www.esrl.noaa.gov/psd/.</t>
  </si>
  <si>
    <t>AUG 6</t>
  </si>
  <si>
    <t>D15106</t>
  </si>
  <si>
    <t>10.1029/2009JD012876</t>
  </si>
  <si>
    <t>636GC</t>
  </si>
  <si>
    <t>WOS:000280718500003</t>
  </si>
  <si>
    <t>McFadden, RR; Siddoway, CS; Teyssier, C; Fanning, CM</t>
  </si>
  <si>
    <t>McFadden, R. R.; Siddoway, C. S.; Teyssier, C.; Fanning, C. M.</t>
  </si>
  <si>
    <t>Cretaceous oblique extensional deformation and magma accumulation in the Fosdick Mountains migmatite-cored gneiss dome, West Antarctica</t>
  </si>
  <si>
    <t>TECTONICS</t>
  </si>
  <si>
    <t>MARIE-BYRD-LAND; U-PB GEOCHRONOLOGY; HIGH-GRADE METAMORPHISM; KARAKORAM SHEAR ZONE; ROSS SEA RIFT; NEW-ZEALAND; MELT SEGREGATION; PACIFIC MARGIN; GRANITE MAGMA; SOUTH-ISLAND</t>
  </si>
  <si>
    <t>The Fosdick Mountains, West Antarctica, expose a 15 x 80 km migmatite-cored gneiss dome consisting of migmatitic gneisses, diatexite migmatite, and sub-horizontal leucogranite sheets. The Fosdick dome was emplaced and exhumed in the mid-Cretaceous due to oblique extension associated with the West Antarctic Rift system along the West Antarctic-New Zealand segment of East Gondwana. The dome is bounded to the south by a dextral oblique detachment structure and to the north by an inferred dextral strike-slip fault. Within the Fosdick dome and in the detachment zone, granite occupies leucosomes, dikes, sills, and dilatant and shear structures. The pattern of kilometer-scale domains of migmatite and granite suggest that lithologic variations and heterogeneous deformation (boudinage) resulted in pressure gradients that enhanced melt flow and magma accumulation in the Fosdick dome. Steep foliations are overprinted, folded, and transposed by subhorizontal fabrics. The crosscutting relationship is interpreted as a transition from wrench deformation to oblique divergence. Steep structures in the dome host concordant, subvertical leucosome and granite sheets yielding SHRIMP U-Pb zircon ages between ca. 117 and 114 Ma. Prevalent subhorizontal domains host large volumes of subhorizontal diatexite migmatite and granite sheets that yield U-Pb zircon ages between ca. 109 and 102 Ma. These ages indicate a timescale for melt influx of approximately 15 Ma and that the transition from wrench to oblique divergence may have occurred in as little as 5 Ma. Granites with crystallization ages between ca. 109 and 102 Ma were also emplaced in the South Fosdick Detachment zone, indicating that the detachment was active during oblique divergence. SHRIMP U-Pb titanite ages between ca. 102 and 97 Ma for late-to post-tectonic diorite dikes are interpreted as emplacement ages and give a minimum age for gneissic foliation development during detachment faulting. The Fosdick Mountains preserve a record of the middle to lower crustal response to a transition from wrench to oblique extensional deformation. Overprinting structural relationships show that a change in the angle of oblique extension can induce accumulation of sub-horizontal magma sheets and lead to initiation of a detachment zone. Citation: McFadden, R. R., C. S. Siddoway, C. Teyssier, and C. M. Fanning (2010), Cretaceous oblique extensional deformation and magma accumulation in the Fosdick Mountains migmatite-cored gneiss dome, West Antarctica, Tectonics, 29, TC4022, doi:10.1029/2009TC002492.</t>
  </si>
  <si>
    <t>[Fanning, C. M.] Australian Natl Univ, Res Sch Earth Sci, Canberra, ACT 0200, Australia; [Siddoway, C. S.] Colorado Coll, Dept Geol, Colorado Springs, CO 80903 USA; [McFadden, R. R.; Teyssier, C.] Univ Minnesota, Dept Geol &amp; Geophys, Minneapolis, MN 55455 USA</t>
  </si>
  <si>
    <t>Australian National University; Colorado College; University of Minnesota System; University of Minnesota Twin Cities</t>
  </si>
  <si>
    <t>McFadden, RR (corresponding author), Smithsonian Trop Res Inst, Apartado 0843-03092, Balboa, Ancon, Panama.</t>
  </si>
  <si>
    <t>Yakymchuk, Chris/H-1297-2013; Siddoway, Christine/HKV-0895-2023; Fanning, Christopher Mark/I-6449-2016</t>
  </si>
  <si>
    <t>Fanning, Christopher Mark/0000-0003-3331-3145; Siddoway, Christine Smith/0000-0003-0478-6138</t>
  </si>
  <si>
    <t>National Science Foundation Office of Polar [NSF-OPP 0338279, NSF-OPP 0337488]</t>
  </si>
  <si>
    <t>National Science Foundation Office of Polar</t>
  </si>
  <si>
    <t>This manuscript has been improved by extensive and insightful reviews of an earlier version by R. Weinberg, A. Tulloch, and Associate Editor R. Miller. We thank D. L. Whitney for significant contributions to ideas presented in this work and comments on earlier drafts of this paper. Companion studies by Fawna Korhonen, Tetsu Saito, and Mike Brown aided the formulation of hypotheses presented here. We thank Seth Kruckenberg and Jenny Haywood for fieldwork collaboration; Sylvie Fadrhonc, Chuck Magee, Sam Mertens, and Brenda Armstrong for contributions to the SHRIMP research; and Mike Roberts, Allen O'Bannon, and Forrest McCarthy for field coordination and safety. For logistical support, we thank employees of Raytheon Polar Services (Berg Field Center and USAP Cargo, in particular), ANG 109th, and Kenn Borek Air crews. Research was funded by the National Science Foundation Office of Polar Programs grants NSF-OPP 0338279 to C. S. Siddoway and NSF-OPP 0337488 to C. Teyssier, but the authors are fully responsible for the scientific content.</t>
  </si>
  <si>
    <t>0278-7407</t>
  </si>
  <si>
    <t>1944-9194</t>
  </si>
  <si>
    <t>Tectonics</t>
  </si>
  <si>
    <t>TC4022</t>
  </si>
  <si>
    <t>10.1029/2009TC002492</t>
  </si>
  <si>
    <t>636HO</t>
  </si>
  <si>
    <t>WOS:000280722600001</t>
  </si>
  <si>
    <t>Mazaud, A; Michel, E; Dewilde, F; Turon, JL</t>
  </si>
  <si>
    <t>Mazaud, A.; Michel, E.; Dewilde, F.; Turon, J. L.</t>
  </si>
  <si>
    <t>Variations of the Antarctic Circumpolar Current intensity during the past 500 ka</t>
  </si>
  <si>
    <t>GEOCHEMISTRY GEOPHYSICS GEOSYSTEMS</t>
  </si>
  <si>
    <t>Antarctic; current; past; cycles</t>
  </si>
  <si>
    <t>SOUTHERN INDIAN-OCEAN; ICE-CORE DUST; CYCLES; PALEOMAGNETISM; MAGNETISM; RECORD; WATER</t>
  </si>
  <si>
    <t>We examine the past variations of the Antarctic Circumpolar Current (ACC) by using variations in size and abundance of the magnetic grains deposited by this current at a site east the Kerguelen-Crozet plateau. Core MD00-2375G was taken at a midlatitude site during the ANTAUS cruise conducted in 2000 by the French R/V Marion Dufresne. Marine isotope stages (MIS) down to MIS 13 are identified, and an age model is derived from a correlation to the ice core isotopic record obtained from EPICA in Antarctica. Continuous records of abundance and size of the magnetic grains were obtained using environmental magnetism methods. Results show a strong modulation of the ACC flow intensity in response to glacial and interglacial cycles. The low abundance and the small size of magnetic grains indicate that the ACC was weak during warm stages and strong during glacial epochs. A large modulation is also observed at the sub-stage scale during the interglacials. A minimum in concentration and grain size occurs at the onset of MIS 11. At the MIS 6-5, 10-9, and possibly 12-11 transitions, observed variations suggest a mechanism involving both rapid and progressive variations of the ACC flow at deglaciations.</t>
  </si>
  <si>
    <t>[Mazaud, A.; Michel, E.; Dewilde, F.] UVSQ, CNRS, CEA, Domaine CNRS,Lab Sci Climat &amp; Environm, F-91198 Gif Sur Yvette, France; [Turon, J. L.] Univ Bordeaux 1, UMR 5805, F-33405 Talence, France</t>
  </si>
  <si>
    <t>Universite Paris Saclay; CEA; Centre National de la Recherche Scientifique (CNRS); Universite Paris Cite; Universite de Bordeaux; Centre National de la Recherche Scientifique (CNRS); CNRS - National Institute for Earth Sciences &amp; Astronomy (INSU)</t>
  </si>
  <si>
    <t>Mazaud, A (corresponding author), UVSQ, CNRS, CEA, Domaine CNRS,Lab Sci Climat &amp; Environm, F-91198 Gif Sur Yvette, France.</t>
  </si>
  <si>
    <t>alain.mazaud@lsce.ipsl.fr</t>
  </si>
  <si>
    <t>Michel, Elisabeth/0000-0001-7810-8888</t>
  </si>
  <si>
    <t>French Commissariat a l'Energie Atomique, the Centre National de la Recherche Scientifique; French ANR [PICC 05-BLAN-0312-01]</t>
  </si>
  <si>
    <t>French Commissariat a l'Energie Atomique, the Centre National de la Recherche Scientifique(Centre National de la Recherche Scientifique (CNRS)); French ANR(Agence Nationale de la Recherche (ANR))</t>
  </si>
  <si>
    <t>We thank the French institute IPEV, the crew of the R/V Marion Dufresne and Yvon Balut, the chief of the operations. We also thank Louis Geli, the chief of the ANTAUS cruise. We are most grateful to the two anonymous reviewers for their constructive comments that helped to improve greatly the manuscript. This study has been funded by the French Commissariat a l'Energie Atomique, the Centre National de la Recherche Scientifique and by the French ANR PICC 05-BLAN-0312-01. LSCE contribution 4253.</t>
  </si>
  <si>
    <t>1525-2027</t>
  </si>
  <si>
    <t>GEOCHEM GEOPHY GEOSY</t>
  </si>
  <si>
    <t>Geochem. Geophys. Geosyst.</t>
  </si>
  <si>
    <t>AUG 5</t>
  </si>
  <si>
    <t>Q08007</t>
  </si>
  <si>
    <t>10.1029/2010GC003033</t>
  </si>
  <si>
    <t>636FS</t>
  </si>
  <si>
    <t>WOS:000280717500001</t>
  </si>
  <si>
    <t>Granot, R; Cande, SC; Stock, JM; Davey, FJ; Clayton, RW</t>
  </si>
  <si>
    <t>Granot, R.; Cande, S. C.; Stock, J. M.; Davey, F. J.; Clayton, R. W.</t>
  </si>
  <si>
    <t>Postspreading rifting in the Adare Basin, Antarctica: Regional tectonic consequences</t>
  </si>
  <si>
    <t>West Antarctic rift system; rift; Adare Basin; multichannel seismic reflection; magnetic anomalies; tectonics</t>
  </si>
  <si>
    <t>TRANSANTARCTIC MOUNTAINS; ROSS SEA; VICTORIA-LAND; SOUTH-PACIFIC; PLATE MOTIONS; NEW-ZEALAND; WEST; EXTENSION; UPLIFT; EAST</t>
  </si>
  <si>
    <t>Extension during the middle Cenozoic (43-26 Ma) in the north end of the West Antarctic rift system (WARS) is well constrained by seafloor magnetic anomalies formed at the extinct Adare spreading axis. Kinematic solutions for this time interval suggest a southward decrease in relative motion between East and West Antarctica. Here we present multichannel seismic reflection and seafloor mapping data acquired within and near the Adare Basin on a recent geophysical cruise. We have traced the ANTOSTRAT seismic stratigraphic framework from the northwest Ross Sea into the Adare Basin, verified and tied to DSDP drill sites 273 and 274. Our results reveal three distinct periods of tectonic activity. An early localized deformational event took place close to the cessation of seafloor spreading in the Adare Basin (similar to 24 Ma). It reactivated a few normal faults and initiated the formation of the Adare Trough. A prominent pulse of rifting in the early Miocene (similar to 17 Ma) resulted in normal faulting that initiated tilted blocks. The overall trend of structures was NE-SW, linking the event with the activity outside the basin. It resulted in major uplift of the Adare Trough and marks the last extensional phase of the Adare Basin. Recent volcanic vents (Pliocene to present day) tend to align with the early Miocene structures and the on-land Hallett volcanic province. This latest phase of tectonic activity also involves near-vertical normal faulting ( still active in places) with negligible horizontal consequences. The early Miocene extensional event found within the Adare Basin does not require a change in the relative motion between East and West Antarctica. However, the lack of subsequent rifting within the Adare Basin coupled with the formation of the Terror Rift and an on-land and subice extension within the WARS require a pronounced change in the kinematics of the rift. These observations indicate that extension increased southward, therefore suggesting that a major change in relative plate motion took place in the middle Miocene. The late Miocene pole of rotation might have been located north of the Adare Basin, with opposite opening sign compared to the Eocene-Oligocene pole.</t>
  </si>
  <si>
    <t>[Granot, R.; Cande, S. C.] Univ Calif San Diego, Scripps Inst Oceanog, La Jolla, CA 92093 USA; [Stock, J. M.; Clayton, R. W.] CALTECH, Seismol Lab, Pasadena, CA 91125 USA; [Davey, F. J.] Inst Geol &amp; Nucl Sci, Lower Hutt, New Zealand</t>
  </si>
  <si>
    <t>University of California System; University of California San Diego; Scripps Institution of Oceanography; California Institute of Technology; GNS Science - New Zealand</t>
  </si>
  <si>
    <t>Granot, R (corresponding author), Inst Phys Globe, 4 Pl Jussieu, F-75005 Paris, France.</t>
  </si>
  <si>
    <t>granot@ipgp.fr</t>
  </si>
  <si>
    <t>Stock, Joann Miriam/AAN-1526-2021; Granot, Roi/F-4555-2012</t>
  </si>
  <si>
    <t>Stock, Joann Miriam/0000-0003-4816-7865; Granot, Roi/0000-0001-5366-188X</t>
  </si>
  <si>
    <t>NSF [OPP04-40959, OPP04-40923]</t>
  </si>
  <si>
    <t>We would like to thank Captain M. Watson, the crew, and the Raytheon staff of the R/VIB Nathaniel B. Palmer for their dedicated work during cruise NBP0701. Also, we thank Dietmar Muller and Sean Gulick for their helpful reviews; Neal Driscoll, Donna Blackman, and Jeff Gee for helpful discussions; Paul Henkart for the continuous help with SIOSEIS; and Chris Sorlein for introducing us to SPW software. Detlef Damaske is thanked for making the aeromagnetic data available for us. Interpretation of the seismic profiles was done with Kingdom Suite, a contribution of Seismic Micro-Technology. This project was funded by NSF grant OPP04-40959 (SIO) and OPP04-40923 (Caltech).</t>
  </si>
  <si>
    <t>AUG 4</t>
  </si>
  <si>
    <t>Q08005</t>
  </si>
  <si>
    <t>10.1029/2010GC003105</t>
  </si>
  <si>
    <t>636FR</t>
  </si>
  <si>
    <t>Green Accepted, Bronze, Green Published</t>
  </si>
  <si>
    <t>WOS:000280717400002</t>
  </si>
  <si>
    <t>Wang, WQ; Köhl, A; Stammer, D</t>
  </si>
  <si>
    <t>Wang, Weiqiang; Koehl, Armin; Stammer, Detlef</t>
  </si>
  <si>
    <t>Estimates of global ocean volume transports during 1960 through 2001</t>
  </si>
  <si>
    <t>MERIDIONAL OVERTURNING CIRCULATION; ANTARCTIC CIRCUMPOLAR CURRENT; HYDROGRAPHIC DATA; NORTH-ATLANTIC; DRAKE PASSAGE; VARIABILITY; WATER; HEAT; MASS; DEEP</t>
  </si>
  <si>
    <t>An estimate of global time-varying ocean volume transports is provided for the period 1960-2001 as it results from the German ECCO (GECCO) synthesis. Results confirm previously discussed mean-state ocean circulation systems, encompassing an upper meridional cell in the Atlantic with sinking in the North Atlantic connected to a lower meridional cell with sinking around Antarctica in the Pacific and Atlantic. Decadal to interdecadal variability as well as long-term trends of global ocean transport, analyzed over the course of the 42 years, appear as a reorganization of time-mean circulation structures, including the layer transports in the Antarctic Circumpolar Current (ACC) and the circulation involving the Indo-Pacific exchange. Citation: Wang, W., A. Kohl, and D. Stammer (2010), Estimates of global ocean volume transports during 1960 through 2001, Geophys. Res. Lett., 37, L15601, doi: 10.1029/2010GL043949.</t>
  </si>
  <si>
    <t>[Wang, Weiqiang; Koehl, Armin; Stammer, Detlef] Univ Hamburg, Inst Meerskunde, D-20144 Hamburg, Germany</t>
  </si>
  <si>
    <t>Wang, WQ (corresponding author), Univ Hamburg, Inst Meerskunde, KlimaCampus, D-20144 Hamburg, Germany.</t>
  </si>
  <si>
    <t>weiqiang.wang@zmaw.de</t>
  </si>
  <si>
    <t>Wang, Weiqiang/B-1776-2013; Kohl, Armin/I-9378-2014</t>
  </si>
  <si>
    <t>Kohl, Armin/0000-0002-9777-674X</t>
  </si>
  <si>
    <t>DFG [SPP 1257, SFB 512]; BMBF (North Atlantic)</t>
  </si>
  <si>
    <t>DFG(German Research Foundation (DFG)); BMBF (North Atlantic)(Federal Ministry of Education &amp; Research (BMBF))</t>
  </si>
  <si>
    <t>Funded, in part, through grants from the DFG (SPP 1257, SFB 512) and the BMBF (North Atlantic). We also acknowledge support of the ECCO effort, through the U.S. National Oceanographic Partnership Program (NOPP). Contribution to CLiSAP and the KlimaCampus of the University of Hamburg.</t>
  </si>
  <si>
    <t>AUG 3</t>
  </si>
  <si>
    <t>L15601</t>
  </si>
  <si>
    <t>10.1029/2010GL043949</t>
  </si>
  <si>
    <t>636FU</t>
  </si>
  <si>
    <t>WOS:000280717700001</t>
  </si>
  <si>
    <t>Butler, AJ; Rees, T; Beesley, P; Bax, NJ</t>
  </si>
  <si>
    <t>Butler, Alan J.; Rees, Tony; Beesley, Pam; Bax, Nicholas J.</t>
  </si>
  <si>
    <t>Marine Biodiversity in the Australian Region</t>
  </si>
  <si>
    <t>BYCATCH REDUCTION DEVICES; GREAT-BARRIER-REEF; PRAWN TRAWL FISHERY; PORT-PHILLIP BAY; COMMUNITY STRUCTURE; SPATIAL MANAGEMENT; SOUTHERN TASMANIA; CONTINENTAL-SLOPE; DIVERSITY; CONSERVATION</t>
  </si>
  <si>
    <t>The entire Australian marine jurisdictional area, including offshore and sub-Antarctic islands, is considered in this paper. Most records, however, come from the Exclusive Economic Zone (EEZ) around the continent of Australia itself. The counts of species have been obtained from four primary databases (the Australian Faunal Directory, Codes for Australian Aquatic Biota, Online Zoological Collections of Australian Museums, and the Australian node of the Ocean Biogeographic Information System), but even these are an underestimate of described species. In addition, some partially completed databases for particular taxonomic groups, and specialized databases (for introduced and threatened species) have been used. Experts also provided estimates of the number of known species not yet in the major databases. For only some groups could we obtain an (expert opinion) estimate of undiscovered species. The databases provide patchy information about endemism, levels of threat, and introductions. We conclude that there are about 33,000 marine species (mainly animals) in the major databases, of which 130 are introduced, 58 listed as threatened and an unknown percentage endemic. An estimated 17,000 more named species are either known from the Australian EEZ but not in the present databases, or potentially occur there. It is crudely estimated that there may be as many as 250,000 species (known and yet to be discovered) in the Australian EEZ. For 17 higher taxa, there is sufficient detail for subdivision by Large Marine Domains, for comparison with other National and Regional Implementation Committees of the Census of Marine Life. Taxonomic expertise in Australia is unevenly distributed across taxa, and declining. Comments are given briefly on biodiversity management measures in Australia, including but not limited to marine protected areas.</t>
  </si>
  <si>
    <t>[Butler, Alan J.; Bax, Nicholas J.] CSIRO Wealth Oceans Natl Res Flagship, Hobart, Tas, Australia; [Butler, Alan J.; Rees, Tony] CSIRO Marine &amp; Atmospher Res, Hobart, Tas, Australia; [Beesley, Pam] Australian Biol Resources Study, Canberra, ACT, Australia</t>
  </si>
  <si>
    <t>Commonwealth Scientific &amp; Industrial Research Organisation (CSIRO); Commonwealth Scientific &amp; Industrial Research Organisation (CSIRO)</t>
  </si>
  <si>
    <t>Butler, AJ (corresponding author), CSIRO Wealth Oceans Natl Res Flagship, Hobart, Tas, Australia.</t>
  </si>
  <si>
    <t>alan.butler@csiro.au</t>
  </si>
  <si>
    <t>Bax, Nicholas J/A-2321-2012; Rees, Tony/K-9837-2015</t>
  </si>
  <si>
    <t>Rees, Tony/0000-0003-1887-5211</t>
  </si>
  <si>
    <t>Commonwealth Scientific and Industrial Research Organisation of Australia (CSIRO) Wealth from Oceans National Research Flagship; CSIRO Marine and Atmospheric Research; public-good agency</t>
  </si>
  <si>
    <t>Commonwealth Scientific and Industrial Research Organisation of Australia (CSIRO) Wealth from Oceans National Research Flagship(Commonwealth Scientific &amp; Industrial Research Organisation (CSIRO)); CSIRO Marine and Atmospheric Research(Commonwealth Scientific &amp; Industrial Research Organisation (CSIRO)); public-good agency</t>
  </si>
  <si>
    <t>The time of Alan Butler and Nic Bax to work on this manuscript was funded by the Commonwealth Scientific and Industrial Research Organisation of Australia (CSIRO) Wealth from Oceans National Research Flagship, a public-good research funding mechanism. There was no external (commercial) client. The work of Tony Rees in maintaining OBIS and CAAB over many years, and in doing the data manipulation for this paper, was funded by CSIRO Marine and Atmospheric Research, a public-good agency. The work by Pam Beesley and other Australian Biological Resources Study (ABRS) staff in supplying data from the Australian Faunal Directory (AFD) was provided through the support of the Australian Government Department of the Environment, Water, Heritage and the Arts. The funders had no role in study design, data collection and analysis, decision to publish, or preparation of the manuscript.</t>
  </si>
  <si>
    <t>AUG 2</t>
  </si>
  <si>
    <t>e11831</t>
  </si>
  <si>
    <t>10.1371/journal.pone.0011831</t>
  </si>
  <si>
    <t>633RA</t>
  </si>
  <si>
    <t>WOS:000280520400005</t>
  </si>
  <si>
    <t>Griffiths, HJ</t>
  </si>
  <si>
    <t>Griffiths, Huw J.</t>
  </si>
  <si>
    <t>Antarctic Marine Biodiversity - What Do We Know About the Distribution of Life in the Southern Ocean?</t>
  </si>
  <si>
    <t>CLIMATE-CHANGE; BIOGEOGRAPHY; PHYTOPLANKTON; PRODUCTIVITY; DYNAMICS; FAUNA; WEST</t>
  </si>
  <si>
    <t>The remote and hostile Southern Ocean is home to a diverse and rich community of life that thrives in an environment dominated by glaciations and strong currents. Marine biological studies in the region date back to the nineteenth century, but despite this long history of research, relatively little is known about the complex interactions between the highly seasonal physical environment and the species that inhabit the Southern Ocean. Oceanographically, the Southern Ocean is a major driver of global ocean circulation and plays a vital role in interacting with the deep water circulation in each of the Pacific, Atlantic, and Indian oceans. The Census of Antarctic Marine Life and the Scientific Committee on Antarctic Research Marine Biodiversity Information Network (SCAR-MarBIN) have strived to coordinate and unify the available scientific expertise and biodiversity data to improve our understanding of Southern Ocean biodiversity. Taxonomic lists for all marine species have been compiled to form the Register of Antarctic Marine Species, which currently includes over 8,200 species. SCAR-MarBIN has brought together over 1 million distribution records for Southern Ocean species, forming a baseline against which future change can be judged. The sample locations and numbers of known species from different regions were mapped and the depth distributions of benthic samples plotted. Our knowledge of the biodiversity of the Southern Ocean is largely determined by the relative inaccessibility of the region. Benthic sampling is largely restricted to the shelf; little is known about the fauna of the deep sea. The location of scientific bases heavily influences the distribution pattern of sample and observation data, and the logistical supply routes are the focus of much of the at-sea and pelagic work. Taxa such as mollusks and echinoderms are well represented within existing datasets with high numbers of georeferenced records. Other taxa, including the species-rich nematodes, are represented by just a handful of digital records.</t>
  </si>
  <si>
    <t>Griffiths, HJ (corresponding author), British Antarctic Survey, Cambridge CB3 0ET, England.</t>
  </si>
  <si>
    <t>hjg@bas.ac.uk</t>
  </si>
  <si>
    <t>Griffiths, Huw J/D-4234-2009</t>
  </si>
  <si>
    <t>Griffiths, Huw J/0000-0003-1764-223X</t>
  </si>
  <si>
    <t>Alfred P. Sloan Foundation; Natural Environmental Research Council; Census of Antarctic Marine Life team; NERC [bas0100026] Funding Source: UKRI; Natural Environment Research Council [bas0100026] Funding Source: researchfish</t>
  </si>
  <si>
    <t>Alfred P. Sloan Foundation(Alfred P. Sloan Foundation); Natural Environmental Research Council(UK Research &amp; Innovation (UKRI)Natural Environment Research Council (NERC)); Census of Antarctic Marine Life team; NERC(UK Research &amp; Innovation (UKRI)Natural Environment Research Council (NERC)); Natural Environment Research Council(UK Research &amp; Innovation (UKRI)Natural Environment Research Council (NERC))</t>
  </si>
  <si>
    <t>The Alfred P. Sloan Foundation and The Natural Environmental Research Council. The funders had no role in study design, data collection and analysis, decision to publish, or preparation of the manuscript.; The support of the Census of Antarctic Marine Life team is gratefully acknowledged, along with that of colleagues from various science disciplines: David Barnes, Katrin Linse, Bruno Danis, Claire Allen, Sally Thorpe, Clause-Dieter Hillenbrand, Victoria Peck, Tom Jordan, Susie Grant, Victoria Wadley, Michael Stoddart, the scientists and crew of the IPY/CAML research vessels, SCAR-MarBIN, and all the RAMS taxonomic editors.</t>
  </si>
  <si>
    <t>e11683</t>
  </si>
  <si>
    <t>10.1371/journal.pone.0011683</t>
  </si>
  <si>
    <t>WOS:000280520400004</t>
  </si>
  <si>
    <t>Walton, DWH</t>
  </si>
  <si>
    <t>Walton, David W. H.</t>
  </si>
  <si>
    <t>Data Citation - Moving to New Norms</t>
  </si>
  <si>
    <t>Walton, David/0000-0002-7103-4043</t>
  </si>
  <si>
    <t>AUG</t>
  </si>
  <si>
    <t>10.1017/S0954102010000520</t>
  </si>
  <si>
    <t>638XV</t>
  </si>
  <si>
    <t>WOS:000280934100001</t>
  </si>
  <si>
    <t>Norris, K; Paton, D; Ayton, J</t>
  </si>
  <si>
    <t>Norris, Kimberley; Paton, Douglas; Ayton, Jeff</t>
  </si>
  <si>
    <t>Future directions in Antarctic psychology research</t>
  </si>
  <si>
    <t>adaptation; Antarctica; employment; relationships; research design; resilience</t>
  </si>
  <si>
    <t>WORK-FAMILY CONFLICT; MODEL; PERSONNEL; STRESS; ENVIRONMENTS; SATISFACTION; ANTECEDENTS; PERFORMANCE; ADJUSTMENT; EXPEDITION</t>
  </si>
  <si>
    <t>Although existing research regarding the experience of Antarctic employment has primarily focused on the absence period (i.e. the period of time in which the expeditioner physically works in Antarctica), it has been repeatedly demonstrated that the majority of expeditioners experience positive outcomes associated with their time 'on the ice' despite transient (and frequently subclinical) physical, psychological, and social difficulties. Research strategies directed towards the individual experience of the expeditioner have not been able to fully account for the processes underpinning the adjustment processes that have facilitated seemingly resilient and growth outcomes. Similarly, insufficient research attention has been given to the separate phases of Antarctic employment, nor the potential interdependence between them, which may also provide further insight into these processes. To address these issues it has been argued that an approach incorporating individual, interpersonal, and organizational factors throughout the Antarctic employment experience, from pre-departure through absence, reunion, and reintegration, be adopted.</t>
  </si>
  <si>
    <t>[Norris, Kimberley] Univ Tasmania, Hobart, Tas 7001, Australia; [Paton, Douglas] Univ Tasmania, Launceston, Tas 7250, Australia; [Ayton, Jeff] Australian Antarctic Div, Kingston, Tas 7050, Australia</t>
  </si>
  <si>
    <t>University of Tasmania; University of Tasmania; Australian Antarctic Division</t>
  </si>
  <si>
    <t>Norris, K (corresponding author), Univ Tasmania, Private Bag 30, Hobart, Tas 7001, Australia.</t>
  </si>
  <si>
    <t>Kimberley.Norris@utas.edu.au</t>
  </si>
  <si>
    <t>Norris, Kimberley/J-7260-2014</t>
  </si>
  <si>
    <t>Norris, Kimberley/0000-0003-3661-2749; Paton, Douglas/0000-0002-8673-2178; Ayton, Jeffrey/0000-0003-4012-6719</t>
  </si>
  <si>
    <t>Australian Antarctic station</t>
  </si>
  <si>
    <t>The authors wish to thank AAD expeditioners for their time and willingness to participate in this study. The authors also wish to acknowledge the support and assistance of Australian Antarctic station doctors Graham Denyer, Mark Rikard-Bell, Lloyd Fletcher, Jim Bumak, Jo Melick, John Cadden, Gordon Mor, Helen Cooley, James Doube, Eve Merfield, and Luigi De Frenza; and Polar Medicine Unit Head Office staff Dr Roland Watzl, Ms Melissa Kingston, Ms Robin Taylor and Ms Sue Hillam in the recruitment of participants. Additionally thanks are extended to the reviewers for their insightful comments that helped to further refine the arguments presented here.</t>
  </si>
  <si>
    <t>10.1017/S0954102010000271</t>
  </si>
  <si>
    <t>WOS:000280934100002</t>
  </si>
  <si>
    <t>Rodrigues, AR; Maluf, JCC; Braga, ED; Eichler, BB</t>
  </si>
  <si>
    <t>Rodrigues, Andre Rosch; Cattini Maluf, Joao Carlos; Braga, Elisabete de Santis; Eichler, Beatriz Beck</t>
  </si>
  <si>
    <t>Recent benthic foraminiferal distribution and related environmental factors in Ezcurra Inlet, King George Island, Antarctica</t>
  </si>
  <si>
    <t>Antarctic foraminifera; bottom sediment; bottom water; nutrient content; oceanographic biomarkers; South Shetland Islands</t>
  </si>
  <si>
    <t>EXPLORERS COVE; MCMURDO SOUND; WEDDELL SEA; ASSEMBLAGES; ECOLOGY; BAY; SEDIMENTS; SHELF</t>
  </si>
  <si>
    <t>This investigation attempts to determine which environmental parameters of the bottom water and sediment control recent foraminifera fauna at Ezcurra Inlet (King George Island, Antarctica), using data collected during four summers (2002/03, 2003/04, 2004/05 and 2006/07). The study revealed that Ezcurra Inlet contain typical Antarctic foraminifera fauna with three distinct assemblages and few differences in environmental parameters. The species Bolivina pseudopunctata, Fursenkoina fusiformis, Portatrochammina antarctica, and Adercotryma glomerata were abundant in the samples. An elevated abundance, richness and diversity were common at the entrance of the inlet at depths greater than 55 m, where the inlet was characterized by low temperatures and muddy sand. In the inner part of the inlet (depth 30-55 m), richness and diversity were low and the most significant species were Cassidulinoides parkerianus, C. porrectus, and Psammosphaera fusca. Shallow waters showed low values of richness and abundance and high temperatures coupled with coarser sediment. In areas with high suspended matter concentrations and pH values associated with low salinity the most representative species were Hippocrepinella hirudinea and Hemisphaerammina bradyi.</t>
  </si>
  <si>
    <t>[Rodrigues, Andre Rosch; Cattini Maluf, Joao Carlos; Braga, Elisabete de Santis; Eichler, Beatriz Beck] Univ Sao Paulo, Inst Oceanog, BR-05508900 Sao Paulo, Brazil</t>
  </si>
  <si>
    <t>Universidade de Sao Paulo</t>
  </si>
  <si>
    <t>Rodrigues, AR (corresponding author), Univ Sao Paulo, Inst Oceanog, 191 Cidade Univ, BR-05508900 Sao Paulo, Brazil.</t>
  </si>
  <si>
    <t>andrerr@usp.br</t>
  </si>
  <si>
    <t>Tmcocean, Inct/J-8735-2013; Braga, Elisabete/E-5285-2012; Rodrigues, Andre/D-4131-2015</t>
  </si>
  <si>
    <t>Braga, Elisabete/0000-0001-5780-3814; Rodrigues, Andre/0000-0003-1665-1708</t>
  </si>
  <si>
    <t>CNPq (Conselho Nacional de Pesquisa) [550349/2002-2, 558472/2005-2]; PROANTAR; Brazilian Navy; CAPES (Coordenadoria de aperfeicoamento ao pessoal de Nivel Superior)</t>
  </si>
  <si>
    <t>CNPq (Conselho Nacional de Pesquisa)(Conselho Nacional de Desenvolvimento Cientifico e Tecnologico (CNPQ)); PROANTAR; Brazilian Navy; CAPES (Coordenadoria de aperfeicoamento ao pessoal de Nivel Superior)(Coordenacao de Aperfeicoamento de Pessoal de Nivel Superior (CAPES))</t>
  </si>
  <si>
    <t>The field and laboratory work was financially supported by CNPq (Conselho Nacional de Pesquisa, 550349/2002-2 and 558472/2005-2), PROANTAR (Brazilian Antarctic Program) and the Brazilian Navy. Special thanks are due to the crew of the Skua boat for help with the fieldwork. The authors are especially grateful to Adriana R. Perretti, Katia S. Jaworski and Valquiria M. de C. Aguiar for help in the collection of the samples. We also thank Anail Talita P. Alves, Camila M. de Andrade, Teresa L. Diaz and Vitor G. Chiozzini for helping in the foraminiferal and chemistry analysis. We are grateful to Dr Wojciech Majewski and an anonymous referee for their constructive comments, and Dr David Martin for his helpful editorial comments on the manuscript. The research reported in this paper was a part of the lead author's PhD thesis, which was funded by a CAPES scholarship (Coordenadoria de aperfeicoamento ao pessoal de Nivel Superior).</t>
  </si>
  <si>
    <t>10.1017/S0954102010000179</t>
  </si>
  <si>
    <t>WOS:000280934100003</t>
  </si>
  <si>
    <t>Celussi, M; Bergamasco, A; Cataletto, B; Umani, SF; Del Negro, P</t>
  </si>
  <si>
    <t>Celussi, Mauro; Bergamasco, Andrea; Cataletto, Bruno; Umani, Serena Fonda; Del Negro, Paola</t>
  </si>
  <si>
    <t>Water masses' bacterial community structure and microbial activities in the Ross Sea, Antarctica</t>
  </si>
  <si>
    <t>biogeochemical processes; PCR-DGGE</t>
  </si>
  <si>
    <t>TERRA-NOVA BAY; PARTICULATE ORGANIC-MATTER; GRADIENT GEL-ELECTROPHORESIS; SOUTHERN-OCEAN; COASTAL WATERS; LEUCINE INCORPORATION; PHYTOPLANKTON BLOOM; SHELF-BREAK; DYNAMICS; SUMMER</t>
  </si>
  <si>
    <t>During the summer 2005/06, an oceanographic cruise was carried out in the Ross Sea, from Cape Adare, through the Terra Nova Bay polynya to the eastern edge of the Ross Ice Shelf. We analysed microbial activities (prokaryotic carbon production, protease, phosphatase, beta-glucosidase and lipase activity) and bacterial community structure (using Denaturing Gradient Gel Electrophoresis - DGGE) in order to establish if differences in bacterioplankton assemblages and their metabolic requirements occur within the five Ross Sea water masses: Antarctic Surface Waters (AASW), High Salinity Shelf Water (HSSW), Ice Shelf Water (ISW), Antarctic Bottom Water (AABW), Circumpolar Deep Water (CDW). Differences in activities were found between the highly active AASW and all the other water bodies. A Principal Component Analysis highlighted two main gradients: in the Cape Adare area (AASWn, CDW and AABW) higher phosphatase, lipase and glycolytic activities, increasing towards the surface, were identified, whereas in the southern sector of the basin [AASWs and (m)HSSW] higher leucine uptake and polypeptide degradation characterized the second gradient. DGGE fingerprinting showed for the first time that different water masses harboured diverse bacterial communities, highlighting the high specificity of deep water assemblages. Alpha- and Gammaproteobacteria represented the main phylogenetic groupings in all samples and no substantial difference in the phylogenetic composition of assemblages was found between different water masses.</t>
  </si>
  <si>
    <t>[Celussi, Mauro; Cataletto, Bruno; Del Negro, Paola] Ist Nazl Oceanog &amp; Geofis Sperimentale, Dept Biol Oceanog, I-34151 Trieste, Italy; [Bergamasco, Andrea] CNR ISMAR, Ist Sci Marine, Sez Venezia, I-30122 Venice, Italy; [Umani, Serena Fonda] Univ Trieste, Dept Life Sci, I-34127 Trieste, Italy</t>
  </si>
  <si>
    <t>Istituto Nazionale di Oceanografia e di Geofisica Sperimentale; Consiglio Nazionale delle Ricerche (CNR); Istituto di Scienze Marine (ISMAR-CNR); University of Trieste</t>
  </si>
  <si>
    <t>Celussi, M (corresponding author), Ist Nazl Oceanog &amp; Geofis Sperimentale, Dept Biol Oceanog, A Piccard 54, I-34151 Trieste, Italy.</t>
  </si>
  <si>
    <t>mcelussi@ogs.trieste.it</t>
  </si>
  <si>
    <t>; CNR, Ismar/P-1247-2014</t>
  </si>
  <si>
    <t>Bergamasco, Alessandro/0000-0003-3138-8418; CNR, Ismar/0000-0001-5351-1486; DEL NEGRO, Paola/0000-0003-2465-4896; CATALETTO, Bruno/0000-0001-8708-1314; Celussi, Mauro/0000-0002-5660-6832</t>
  </si>
  <si>
    <t>CLIMA; Italian National Programme for Antarctic Research</t>
  </si>
  <si>
    <t>This work was supported by the CLIMA and the POLAR DOVE projects of the Italian National Programme for Antarctic Research. The authors would like to thank the captain and the crew of the RV Italica for their assistance. E. Crevatin is kindly acknowledged for analytical support and H.A. Russell for language revision. We thank C. Comici, A. Gerecht, C. Manno and C. Morreale for their helpful contribution. We are grateful to three anonymous referees for their review comments and suggestions on the manuscript.</t>
  </si>
  <si>
    <t>10.1017/S0954102010000192</t>
  </si>
  <si>
    <t>WOS:000280934100004</t>
  </si>
  <si>
    <t>Post, AL; O'Brien, PE; Beaman, RJ; Riddle, MJ; De Santis, L</t>
  </si>
  <si>
    <t>Post, Alexandra L.; O'Brien, Philip E.; Beaman, Robin J.; Riddle, Martin J.; De Santis, Laura</t>
  </si>
  <si>
    <t>Physical controls on deep water coral communities on the George V Land slope, East Antarctica</t>
  </si>
  <si>
    <t>continental slope; hydrocorals; oceanographic processes; submarine canyons; vulnerable marine ecosystem</t>
  </si>
  <si>
    <t>MERTZ GLACIER POLYNYA; BENTHIC COMMUNITIES; CONTINENTAL-MARGIN; REGION; SHELF; SEA; PATTERNS; ICEBERGS; ICE</t>
  </si>
  <si>
    <t>Dense coral-sponge communities on the upper continental slope at 570-950 m off George V Land, East Antarctica have been identified as Vulnerable Marine Ecosystems. The challenge is now to understand their probable distribution on other parts of the Antarctic margin. We propose three main factors governing their distribution on the George V margin: 1) their depth in relation to iceberg scouring, 2) the flow of organic-rich bottom waters, and 3) their location at the head of shelf cutting canyons. Icebergs scour to 500 m in this region and the lack of such disturbance is a probable factor allowing the growth of rich benthic ecosystems. In addition, the richest communities are found in the heads of canyons which receive descending plumes of Antarctic Bottom Water formed on the George V shelf, which could entrain abundant food for the benthos. The canyons harbouring rich benthos are also those that cut the shelf break. Such canyons are known sites of high productivity in other areas due to strong current flow and increased mixing with shelf waters, and the abrupt, complex topography. These proposed mechanisms provide a framework for the identification of areas where there is a higher likelihood of encountering these Vulnerable Marine Ecosystems.</t>
  </si>
  <si>
    <t>[Post, Alexandra L.; O'Brien, Philip E.] Geosci Australia, Marine &amp; Coastal Environm Grp, Canberra, ACT 2601, Australia; [Beaman, Robin J.] James Cook Univ, Sch Earth &amp; Environm Sci, Cairns, Qld 4870, Australia; [Riddle, Martin J.] Australian Antarctic Div, Kingston, Tas 7050, Australia; [De Santis, Laura] Inst Nazl Oceanog &amp; Geofis Sperimentale, I-34010 Trieste, Italy</t>
  </si>
  <si>
    <t>Geoscience Australia; James Cook University; Australian Antarctic Division; Istituto Nazionale di Oceanografia e di Geofisica Sperimentale</t>
  </si>
  <si>
    <t>Post, AL (corresponding author), Geosci Australia, Marine &amp; Coastal Environm Grp, GPO Box 378, Canberra, ACT 2601, Australia.</t>
  </si>
  <si>
    <t>Alix.Post@ga.gov.au</t>
  </si>
  <si>
    <t>O'Brien, Philip/0000-0003-3446-3292; Post, Alexandra/0000-0002-6287-3283; De Santis, Laura/0000-0002-7752-7754</t>
  </si>
  <si>
    <t>10.1017/S0954102010000180</t>
  </si>
  <si>
    <t>WOS:000280934100005</t>
  </si>
  <si>
    <t>Hullé, M; Turpeau, E; Hudaverdian, S; Chaubet, B; Outreman, Y; Lebouvier, M</t>
  </si>
  <si>
    <t>Hulle, Maurice; Turpeau, Evelyne; Hudaverdian, Sylvie; Chaubet, Bernard; Outreman, Yannick; Lebouvier, Marc</t>
  </si>
  <si>
    <t>Aphids and associated natural enemies on Ile Amsterdam and Ile Saint-Paul, Southern Indian Ocean</t>
  </si>
  <si>
    <t>biological invasion; Hemiptera; host plants; Hymenoptera; sub-Antarctic islands</t>
  </si>
  <si>
    <t>ECOLOGICAL BIOGEOGRAPHY; HUMAN IMPACTS; HYMENOPTERA; ISLANDS; CONSERVATION; INVASIONS; KERGUELEN; DIVERSITY; CROZET</t>
  </si>
  <si>
    <t>Ile Amsterdam (37 degrees 50'S, 77 degrees 30'E, 55 km(2)) and lie Saint-Paul (38 degrees 43'S, 77 degrees 31'E, 7 km(2)) are very isolated volcanic islands which were originally colonized by a few invertebrate fauna and flora. Invasive species richness has then increased along with human activity. A three-year monitoring programme (1997, 2000, 2001) and a summer campaign (2007) allowed species diversity, host plants, abundance and phenology of introduced aphids and natural enemies to be described. Seven cosmopolitan aphid species have been found on Ile Amsterdam (Aulacorthum solani, A. circumflexum, Macrosiphum euphorbiae, Myzus ascalonicus, M. cymbalariae, M. oranatus and Rhopalosiphum padi) and three on Ile Saint-Paul (A. solani, M. cymbalariae and R. padi). On Ile Amsterdam, these aphids were found on 28 host plants (out of 57 sampled plants), mainly introduced species. Phylica arborea was the only native plant much colonized by one aphid species, A. circumflexum. Aphids were mainly present on the base or in this vicinity. One Hymenopteran parasitoid, Aphidius matricariae, and two hyperparasites (Dendrocerus aphidum and Phaenoglyphis villosa), probably introduced along with their host, were collected. Aphid activity is very low during the autumn (March May) and at a maximum in spring and summer. Their density and diversity decrease with distance from the research station. From these results, the possible impact of aphids on native plants is discussed.</t>
  </si>
  <si>
    <t>[Hulle, Maurice; Turpeau, Evelyne; Hudaverdian, Sylvie; Chaubet, Bernard; Outreman, Yannick] INRA, UMR BiO3P 1099, F-35653 Le Rheu, France; [Lebouvier, Marc] Univ Rennes 1, CNRS, UMR Ecobio 6553, Biol Stn, F-35380 Paimpont, France</t>
  </si>
  <si>
    <t>INRAE; Universite de Rennes; Centre National de la Recherche Scientifique (CNRS)</t>
  </si>
  <si>
    <t>Hullé, M (corresponding author), INRA, UMR BiO3P 1099, BP 35327, F-35653 Le Rheu, France.</t>
  </si>
  <si>
    <t>maurice.hulle@rennes.inra.fr</t>
  </si>
  <si>
    <t>Yannick, OUTREMAN/B-9309-2012; , AGROCAMPUS OUEST/O-6651-2016</t>
  </si>
  <si>
    <t>Yannick, OUTREMAN/0000-0002-7337-3049; Hulle, Maurice/0000-0002-9520-3454; , AGROCAMPUS OUEST/0000-0002-1800-4558</t>
  </si>
  <si>
    <t>French Polar Institute [136 ECOBIO]; CNRS (Zone Atelier Recherches sur l'Environnement Antarctique et Subantarctique) et l'ANR</t>
  </si>
  <si>
    <t>French Polar Institute; CNRS (Zone Atelier Recherches sur l'Environnement Antarctique et Subantarctique) et l'ANR(Centre National de la Recherche Scientifique (CNRS))</t>
  </si>
  <si>
    <t>This would not have been possible without the scientific volunteers (F. Troubadours, L. Derouard, F. Kerleau, D. Salomon, C. Baur and F. Gallais) who collected samples and J. Hulle who assisted in identifying insects in samples, B. van de Vijver who helped to identify plants on the field. We are grateful to two referees for their useful comments and suggestions on an earlier draft of the manuscript. This work was financially and logistically supported by the French Polar Institute (IPEV through Programme 136 ECOBIO), the CNRS (Zone Atelier Recherches sur l'Environnement Antarctique et Subantarctique) et l'ANR (programme EVINCE).</t>
  </si>
  <si>
    <t>10.1017/S0954102010000040</t>
  </si>
  <si>
    <t>WOS:000280934100006</t>
  </si>
  <si>
    <t>Trathan, PN; Agnew, D</t>
  </si>
  <si>
    <t>Trathan, P. N.; Agnew, D.</t>
  </si>
  <si>
    <t>Climate change and the Antarctic marine ecosystem: an essay on management implications</t>
  </si>
  <si>
    <t>CCAMLR; fishing; harvesting; monitoring; Southern Ocean; variability and change</t>
  </si>
  <si>
    <t>JUVENILE PATAGONIAN TOOTHFISH; OCEAN SEA-ICE; SOUTHERN-OCEAN; PENGUIN POPULATIONS; EUPHAUSIA-SUPERBA; COD RECRUITMENT; TEMPERATURE; VARIABILITY; GEORGIA; KRILL</t>
  </si>
  <si>
    <t>In this paper we review evidence for, and anticipated consequences of, climate change in Antarctic marine communities, examining the potential impacts on invertebrates and vertebrates alike and exploring plausible outcomes for species, with examples principally from the Antarctic literature. We suggest that industries with the greatest potential to aggravate climate change impacts on marine communities are marine capture fisheries. In the Southern Ocean, harvesting is governed under the Convention for the Conservation of Antarctic Marine Living Resources (CCAMLR). CCAMLR espouses an ecological management framework and so has the capacity to mitigate harvesting impacts such that they do not worsen impacts from climate change. We discuss some of the implications of climate change and advocate that CCAMLR address certain key issues if it is to fulfil its international obligations. It will be essential for CCAMLR to determine relative risks (uncertainties), impacts and timescales, of various processes consequent on climate change. Such risk assessments should be feasible with current knowledge and should provide a focus for future work. We believe it will be important to prioritize issues that reduce impacts and uncertainties by the greatest degree, and propose that future plans should involve shared responsibility (e.g. with SCAR etc.) for each of the risks described.</t>
  </si>
  <si>
    <t>[Trathan, P. N.] British Antarctic Survey, NERC, Cambridge CB3 0ET, England; [Agnew, D.] Marine Resource Assessment Grp Ltd, London W1J 5PN, England</t>
  </si>
  <si>
    <t>Trathan, PN (corresponding author), British Antarctic Survey, NERC, High Cross,Madingley Rd, Cambridge CB3 0ET, England.</t>
  </si>
  <si>
    <t>pnt@bas.ac.uk</t>
  </si>
  <si>
    <t>10.1017/S0954102010000222</t>
  </si>
  <si>
    <t>WOS:000280934100007</t>
  </si>
  <si>
    <t>Schiaparelli, S; Alvaro, MC; Bohn, J; Albertelli, G</t>
  </si>
  <si>
    <t>Schiaparelli, Stefano; Alvaro, Maria Chiara; Bohn, Jehns; Albertelli, Giancarlo</t>
  </si>
  <si>
    <t>'Hitchhiker' polynoid polychaetes in cold deep waters and their potential influence on benthic soft bottom food webs</t>
  </si>
  <si>
    <t>Antarctica; Holothuroidea; parasitism; Polychaeta; Ross Sea; 'symbiotic' association</t>
  </si>
  <si>
    <t>GASTROLEPIDIA-CLAVIGERA POLYCHAETA; HOLOTHURIANS; ORIGIN</t>
  </si>
  <si>
    <t>We describe a new association for Antarctica, involving an holothuroid host, Bathyplotes bongraini Vaney, 1914, and a parasitic polynoid polychaete, Eunoe opalina McIntosh, 1885, which lives on the host body. Both species have never been recorded in the study area, the Ross Sea. The ecological definition of this partnership is difficult to assess, being a mix of phoresis, protective association, parasitism and, possibly, kleptocommensalism. Eunoe opalina emerges also as a true predator, ingesting several food items that do not belong to the diet of Bathyplotes. We compare this association with analogous examples known from shallow tropical environments as well as bathyal and abyssal depths. Given the conspicuous similarities between the deep water and high latitude examples of this kind of association, a possible common origin is hypothesized. Although the role of such a kind of parasitic relationships in Antarctic communities remains to be fully evaluated, it seems evident that, at high latitudes, where trophic levels are simplified and food webs do not have much redundancy, the impact of such a 'multitasking' predator-parasite as E. opalina might be of a greater magnitude than its shallow water tropical counterpart.</t>
  </si>
  <si>
    <t>[Schiaparelli, Stefano; Albertelli, Giancarlo] Univ Genoa, Dipartimento Studio Terr &amp; Sue Risorse, I-16132 Genoa, Italy; [Alvaro, Maria Chiara] Univ Genoa, MNA, I-16132 Genoa, Italy; [Bohn, Jehns] Zool Staatssammlung Munchen, D-81247 Munich, Germany</t>
  </si>
  <si>
    <t>University of Genoa; University of Genoa</t>
  </si>
  <si>
    <t>Schiaparelli, S (corresponding author), Univ Genoa, Dipartimento Studio Terr &amp; Sue Risorse, Cso Europa 26, I-16132 Genoa, Italy.</t>
  </si>
  <si>
    <t>stefano.schiaparelli@unige.it</t>
  </si>
  <si>
    <t>Schiaparelli, Stefano/AAI-4024-2020</t>
  </si>
  <si>
    <t>Schiaparelli, Stefano/0000-0002-0137-3605</t>
  </si>
  <si>
    <t>New Zealand Ministry of Fisheries (MFish); NIWA (Wellington)</t>
  </si>
  <si>
    <t>We would like to acknowledge the crew of the Tangaroa expeditions 'BioRoss TAN0402' and 'IPY-CAML TAN0802' for logistic support during both cruises. A particular acknowledgement is due to Anne Nina Loerz (NIWA) and Sadie Mills (NIWA) for collaboration during the cruises. We are indebted to the New Zealand Ministry of Fisheries (MFish) and NIWA (Wellington) for the financial support of the cruises and related study activities. We are extremely grateful to MBARI (www.mbari.org) for the permission to use the picture from the Tiburon Dive 889, and to Mark O'Loughlin (Marine Biology Section, Museum Victoria) for the useful commentaries and suggestions. Geoff Read (NIWA, Wellington) kindly provided the E. opalina classification. Gaia Magioncalda and Sylvie de Sousa Pereira contributed to laboratory analyses. Two anonymous reviewers are acknowledged for useful comments on the manuscript. This paper is a contribution to the multinational Latitudinal Gradient Project and contribution #28 to the Census of Antarctic Marine Life (CAML).</t>
  </si>
  <si>
    <t>10.1017/S0954102010000210</t>
  </si>
  <si>
    <t>WOS:000280934100008</t>
  </si>
  <si>
    <t>Bockheim, JG</t>
  </si>
  <si>
    <t>Bockheim, James G.</t>
  </si>
  <si>
    <t>Soil preservation and ventifact recycling from dry-based glaciers in Antarctica</t>
  </si>
  <si>
    <t>boulder belt moraines; buried soils; recycled ventifacts; Transantarctic Mountains</t>
  </si>
  <si>
    <t>ICE-SURFACE FLUCTUATIONS; CENTRAL WRIGHT VALLEY; TRANSANTARCTIC MOUNTAINS; DEVELOPMENT RATES; CLIMATE-CHANGE; TAYLOR VALLEY; SIRIUS GROUP; LATE NEOGENE; BASAL ICE; ROSS SEA</t>
  </si>
  <si>
    <t>Soil preservation from three glacial thermal regimes was examined in the Transantarctic Mountains (TAM) using the University of Wisconsin Antarctic Soils Database (http://nsidc.org/data/ggd221). Glacial thermal regimes included temperate (wet-based) glaciers from overriding of the TAM prior to c. 15 Ma BP and subsequent polar (dry-based) glaciers. The glacial thermal regimes were distinguished from landform, sediment and erosional features. Buried soils were most common from deposition by dry-based glaciers (44 of 51 pedons). Several of these buried soils had a desert pavement intact with in situ ventifacts. Fifteen percent of the pedons contained recycled ventifacts in relict and buried soils that ranged from late Quaternary to Miocene in age, particularly in drift from dry-based glaciers (56 of 77 pedons). Overall 84% of the buried soils and 78% of the pedons with recycled ventifacts originated from dry-based glaciers. The proportion of soils with recycled clasts on a particular drift was greatest where the ratio of drift thickness to soil thickness (recycling ratio) was the least. These data illustrate the effectiveness of Antarctic dry-based glaciers in preserving underlying landforms and deposits, including soils. Moreover, the data imply that Antarctic glaciers have been recycling clasts for the past c. 15 Ma. These findings have important implications in selecting surface boulders for cosmogenic dating.</t>
  </si>
  <si>
    <t>Univ Wisconsin, Dept Soil Sci, Madison, WI 53706 USA</t>
  </si>
  <si>
    <t>Bockheim, JG (corresponding author), Univ Wisconsin, Dept Soil Sci, Madison, WI 53706 USA.</t>
  </si>
  <si>
    <t>bockheim@wisc.edu</t>
  </si>
  <si>
    <t>National Science Foundation, Antarctic Division; Antarctica New Zealand</t>
  </si>
  <si>
    <t>National Science Foundation, Antarctic Division(National Science Foundation (NSF)); Antarctica New Zealand</t>
  </si>
  <si>
    <t>This project was supported by grants from the National Science Foundation Office of Polar Programs, Antarctic Division. More recent support was provided by Antarctica New Zealand. The author appreciates working with G.H. Denton and the field assistance of S.C. Wilson, M. McLeod and many other individuals. Three anonymous reviewers provided helpful/constructive comments for revizing this paper.</t>
  </si>
  <si>
    <t>10.1017/S0954102010000167</t>
  </si>
  <si>
    <t>WOS:000280934100009</t>
  </si>
  <si>
    <t>Hunt, HW; Fountain, AG; Doran, PT; Basagic, H</t>
  </si>
  <si>
    <t>Hunt, H. W.; Fountain, A. G.; Doran, P. T.; Basagic, H.</t>
  </si>
  <si>
    <t>A dynamic physical model for soil temperature and water in Taylor Valley, Antarctica</t>
  </si>
  <si>
    <t>capillary water; longwave radiation; matric potential; permafrost; solar radiation; water vapour</t>
  </si>
  <si>
    <t>MCMURDO DRY VALLEYS; BEACON VALLEY; GLACIER ICE; STABILITY; CLIMATE; SEEPS; LIFE</t>
  </si>
  <si>
    <t>We developed a simulation model for terrestrial sites including sensible heat exchange between the atmosphere and ground surface, inter- and intra-layer heat conduction by rock and soil, and shortwave and longwave radiation. Water fluxes included snowmelt, freezing/thawing of soil water, soil capillary flow, and vapour flows among atmosphere, soil, and snow. The model accounted for 96-99% of variation in soil temperature data. No long-term temporal trends in soil temperature were apparent. Soil water vapour concentration in thawed surface soil in summer often was higher than in frozen deeper soils, leading to downward vapour fluxes. Katabatic winds caused a reversal of the usual winter pattern of upward vapour fluxes. The model exhibited a steady state depth distribution of soil water due to vapour flows and in the absence of capillary flows below the top 0.5 cm soil layer. Beginning with a completely saturated soil profile, soil water was lost rapidly, and within a few hundred years approached a steady state characterized by dry soil (&lt; 0.5% gravimetric) down to one metre depth and saturated soil below that. In contrast, it took 42 000 years to approach steady state beginning from a completely dry initial condition.</t>
  </si>
  <si>
    <t>[Hunt, H. W.] Colorado State Univ, Nat Resource Ecol Lab, Ft Collins, CO 80523 USA; [Fountain, A. G.; Basagic, H.] Portland State Univ, Dept Geol, Portland, OR 97201 USA; [Doran, P. T.] Univ Illinois, Chicago, IL 60607 USA</t>
  </si>
  <si>
    <t>Colorado State University; Portland State University; University of Illinois System; University of Illinois Chicago; University of Illinois Chicago Hospital</t>
  </si>
  <si>
    <t>Hunt, HW (corresponding author), Colorado State Univ, Nat Resource Ecol Lab, Ft Collins, CO 80523 USA.</t>
  </si>
  <si>
    <t>billh@nrel.colostate.edu</t>
  </si>
  <si>
    <t>NSF [OPP-0423595]; McMurdo LTER; Office of Polar Programs (OPP); Directorate For Geosciences [1041742] Funding Source: National Science Foundation</t>
  </si>
  <si>
    <t>NSF(National Science Foundation (NSF)); McMurdo LTER; Office of Polar Programs (OPP); Directorate For Geosciences(National Science Foundation (NSF)NSF - Directorate for Geosciences (GEO))</t>
  </si>
  <si>
    <t>Research supported by NSF project OPP-0423595, the McMurdo LTER. Chris Gardner provided quality control for the meteorology data. The reviewers (Kevin Hall and James Head) and editor made useful suggestions for improving the manuscript.</t>
  </si>
  <si>
    <t>10.1017/S0954102010000234</t>
  </si>
  <si>
    <t>WOS:000280934100010</t>
  </si>
  <si>
    <t>Thamban, M; Laluraj, CM; Mahalinganathan, K; Redkar, BL; Naik, SS; Shrivastava, PK</t>
  </si>
  <si>
    <t>Thamban, M.; Laluraj, C. M.; Mahalinganathan, K.; Redkar, B. L.; Naik, S. S.; Shrivastava, P. K.</t>
  </si>
  <si>
    <t>Glaciochemistry of surface snow from the Ingrid Christensen Coast, East Antarctica, and its environmental implications</t>
  </si>
  <si>
    <t>ion composition; Larsemann Hills; non-sea-salt sulphate; sea-salt aerosol</t>
  </si>
  <si>
    <t>DRONNING-MAUD-LAND; ICE CORE; DOME-C; PLATEAU AREAS; SEA-SPRAY; AEROSOL; PRECIPITATION; VARIABILITY; ATMOSPHERE; CHEMISTRY</t>
  </si>
  <si>
    <t>Spatial variations in the ion composition were studied in 55 surface snow samples collected along three transects in the Ingrid Christensen Coast of East Antarctica. The sea-salt ion constituents revealed a drastic reduction from the ice edge to inland sites. The computed sea-salt sodium and non-sea-salt calcium concentrations suggest that while sea spray primarily contributes to the Na(+), the crustal contribution dominates the Ca(2+) in snow samples. The Cl(-)/ssNa(+) ratios of the snow samples from the Larsemann transect varied between 4.7 and 1.05, indicating that additional Cl(-) sources like soil dust are important in the inland sites. The enrichment factors (ED confirm a dominant crustal source for Ca(2+) in all transects. The Ef(K(+)) values indicate a dominant sea spray source for K(+) in the coastal stations of the Larsemann and Publications transects. The Ef(Mg(2+)) values indicate the absence of any significant Mg(2+) enrichment compared to seawater values. Secondary sulphur species (nssSO(4)(2-) and MSA) within the snow samples suggest that both vary independently of each other, possibly influenced by the local biological activities. The nssSO(4)(2-) data revealed that several summer snow deposits in the study region are significantly fractionated, apparently related to the sea ice existence during summer.</t>
  </si>
  <si>
    <t>[Thamban, M.; Laluraj, C. M.; Mahalinganathan, K.; Redkar, B. L.; Naik, S. S.] Natl Ctr Antarctic &amp; Ocean Res, Vasco Da Gama 403004, Goa, India; [Shrivastava, P. K.] Geol Survey India, Antarctic Div, NIT 121001, Faridabad, India</t>
  </si>
  <si>
    <t>Thamban, M (corresponding author), Natl Ctr Antarctic &amp; Ocean Res, Vasco Da Gama 403004, Goa, India.</t>
  </si>
  <si>
    <t>meloth@ncaor.org</t>
  </si>
  <si>
    <t>Kanthanathan, Mahalinganathan/0000-0003-3407-3972; Thamban, Meloth/0000-0003-3379-8189</t>
  </si>
  <si>
    <t>Ministry of Earth Sciences, Government of India</t>
  </si>
  <si>
    <t>Ministry of Earth Sciences, Government of India(Ministry of Earth Science (MoES), Government of India)</t>
  </si>
  <si>
    <t>We thank the Ministry of Earth Sciences, Government of India, for the support and members of the XXVI InSEA, particularly K.P. Krishnan and P.C. George, for field assistance. We also thank Ashish Paiginkar and Anand Chodankar for the analytical support and Yatheesh (NIO) for help with Generic Mapping Tools (GMT). The constructive comments of the reviewers are also gratefully acknowledged.</t>
  </si>
  <si>
    <t>10.1017/S0954102010000155</t>
  </si>
  <si>
    <t>WOS:000280934100011</t>
  </si>
  <si>
    <t>Ma, YF; Bian, LG; Xiao, CD; Allison, I; Zhou, XJ</t>
  </si>
  <si>
    <t>Ma, Yongfeng; Bian, Lingen; Xiao, Cunde; Allison, Ian; Zhou, Xiuji</t>
  </si>
  <si>
    <t>Near surface climate of the traverse route from Zhongshan Station to Dome A, East Antarctica</t>
  </si>
  <si>
    <t>Antarctic climate; AWS; corelessness; harmonic analysis; katabatic; snow accumulation</t>
  </si>
  <si>
    <t>DRONNING MAUD LAND; ENERGY BALANCE; WIND</t>
  </si>
  <si>
    <t>Seasonal variation of temperature, pressure, snow accumulation, winds, and their harmonic analysis are presented by using the data from Zhongshan Station and three Automatic Weather Stations deployed between the East Antarctic coast and the summit of the ice sheet at Dome A for the period 2005-07. Results show that: 1) temperature, snow accumulation and specific humidity decrease with increasing elevation and distance from the coast, with snow accumulation decreasing from 199 mm water equivalent (w.e.) yr(-1) at LGB69 (180 km from the coast) to 31 mm w.e. yr(-1) at Dome A, 2) Dome A experiences an extremely low minimum temperature of -82.5 degrees C with the monthly mean temperature below -50 degrees C for eight months in contrast to Zhongshan Station which does not show any monthly mean temperatures below -20 degrees C, 3) mean surface wind speed increases from the coast to the escarpment region, and then reduces rapidly towards the interior plateau with the strongest winds occurring at katabatic sites with the greatest surface slopes, 4) temperature and pressure all shows a distinct biannual oscillation with a main minimum in spring and a secondary minimum in autumn, differing slightly from station to station, and 5) winter temperature corelessness increases as a function of elevation and distance from the coast, from 0.260 at the coastal Zhongshan Station to 0.433 at Dome A.</t>
  </si>
  <si>
    <t>[Ma, Yongfeng; Bian, Lingen; Xiao, Cunde; Zhou, Xiuji] Chinese Acad Meteorol Sci, Beijing 100081, Peoples R China; [Ma, Yongfeng] Chinese Acad Sci, Grad Univ, Coll Earth Sci, Beijing 100049, Peoples R China; [Xiao, Cunde] Chinese Acad Sci, Cold &amp; Arid Reg Environm &amp; Engn Res Inst, Lab Ice Core &amp; Cold Reg Environm, Lanzhou 730000, Peoples R China; [Allison, Ian] Australian Antarctic Div, Hobart, Tas 7001, Australia; [Allison, Ian] Antarctic Climate &amp; Ecosyst CRC, Hobart, Tas 7001, Australia</t>
  </si>
  <si>
    <t>China Meteorological Administration; Chinese Academy of Meteorological Sciences (CAMS); Chinese Academy of Sciences; University of Chinese Academy of Sciences, CAS; Chinese Academy of Sciences; Cold &amp; Arid Regions Environmental &amp; Engineering Research Institute, CAS; Australian Antarctic Division; University of Tasmania</t>
  </si>
  <si>
    <t>Bian, LG (corresponding author), Chinese Acad Meteorol Sci, Beijing 100081, Peoples R China.</t>
  </si>
  <si>
    <t>blg@cams.cma.gov.cn</t>
  </si>
  <si>
    <t>MA, Yong-Feng/JCE-0505-2023; MA, Yong-Feng/AAL-2017-2020; MA, Yong-Feng/GQB-2138-2022; Allison, Ian F/I-4477-2015</t>
  </si>
  <si>
    <t>MA, Yong-Feng/0000-0001-7102-2707; MA, Yong-Feng/0000-0001-7102-2707; Allison, Ian F/0000-0001-9599-0251</t>
  </si>
  <si>
    <t>National Key Technologies R&amp;D Program of China [2006BAB18B05]; National Natural Science Foundation of China [40575033, 40776002, 40620120112]; Chinese Arctic and Antarctic Administration (CAA)</t>
  </si>
  <si>
    <t>National Key Technologies R&amp;D Program of China(National Key Technology R&amp;D Program); National Natural Science Foundation of China(National Natural Science Foundation of China (NSFC)); Chinese Arctic and Antarctic Administration (CAA)</t>
  </si>
  <si>
    <t>We thank M. Sparrow and J. Burgess for carefully reviewing the original manuscript. Special recognition is given to all personnel involved in the CHINAREN traverse program. This work was supported by the National Key Technologies R&amp;D Program of China (2006BAB18B05), National Natural Science Foundation of China (40575033, 40776002, 40620120112), and Chinese Arctic and Antarctic Administration (CAA) IPY (2008-09) Program. The involvement of IA was supported by the Australian Government's Cooperative Research Centre program through the Antarctic Climate and Ecosystems Cooperative Research Centre (ACE CRC). The constructive comments of the reviewers and editor are also gratefully acknowledged.</t>
  </si>
  <si>
    <t>10.1017/S0954102010000209</t>
  </si>
  <si>
    <t>WOS:000280934100012</t>
  </si>
  <si>
    <t>Sundareswaran, VR; Singh, AK; Dube, S; Shivaji, S</t>
  </si>
  <si>
    <t>Sundareswaran, V. R.; Singh, Ashish Kumar; Dube, Smita; Shivaji, S.</t>
  </si>
  <si>
    <t>Aspartate aminotransferase is involved in cold adaptation in psychrophilic Pseudomonas syringae</t>
  </si>
  <si>
    <t>ARCHIVES OF MICROBIOLOGY</t>
  </si>
  <si>
    <t>Pseudomonas syringae; Psychrophilic bacterium; Aspartate aminotransferase; Transposon mutagenesis; Cold-inducible gene</t>
  </si>
  <si>
    <t>LOW-TEMPERATURE; ANTARCTIC BACTERIUM; GROWTH; PROTEIN; RNA; EXPRESSION; GENES; IDENTIFICATION; CLONING; OPERON</t>
  </si>
  <si>
    <t>CSM2, a cold-sensitive mutant of psychrophilic Pseudomonas syringae, grows like wild-type cells when cultured at 22 and 28A degrees C; but at 4A degrees C, the growth is retarded. In CSM2, AAT (coding for aspartate aminotransferase) is identified as the mutated gene. The expression of AAT in Pseudomonas syringae was transiently enhanced when cells were shifted from 22 to 4A degrees C indicating that AAT is cold-inducible. Complementation of the mutated AAT transformed CSM2 from a cold-sensitive phenotype to a cold-resistant phenotype like the wild-type cells, thus providing evidence for the first time that AAT is required for low-temperature growth.</t>
  </si>
  <si>
    <t>[Sundareswaran, V. R.; Singh, Ashish Kumar; Dube, Smita; Shivaji, S.] Ctr Cellular &amp; Mol Biol, Hyderabad 500007, Andhra Pradesh, India</t>
  </si>
  <si>
    <t>Singh, Ashish/AAK-6513-2020</t>
  </si>
  <si>
    <t>shivaji, sisinthy/0000-0003-0376-4658; Singh, Ashish/0000-0001-8076-0816</t>
  </si>
  <si>
    <t>Council of Scientific and Industrial Research, New Delhi, Government of India; CSIR</t>
  </si>
  <si>
    <t>Council of Scientific and Industrial Research, New Delhi, Government of India(Council of Scientific &amp; Industrial Research (CSIR) - India); CSIR(Council of Scientific &amp; Industrial Research (CSIR) - India)</t>
  </si>
  <si>
    <t>Mr. Ashish would like to thank the Council of Scientific and Industrial Research, New Delhi, Government of India, for a Junior and Senior Research Fellowship. SS would like to thank CSIR for funding under the Network Project titled Exploitation of India's rich microbial diversity. We are also thankful to Dr T N R Srinivas for help with construction of the phylogenetic trees.</t>
  </si>
  <si>
    <t>0302-8933</t>
  </si>
  <si>
    <t>1432-072X</t>
  </si>
  <si>
    <t>ARCH MICROBIOL</t>
  </si>
  <si>
    <t>Arch. Microbiol.</t>
  </si>
  <si>
    <t>10.1007/s00203-010-0591-7</t>
  </si>
  <si>
    <t>627JY</t>
  </si>
  <si>
    <t>WOS:000280036500007</t>
  </si>
  <si>
    <t>DeGange, AR; Byrd, GV; Walker, LR; Waythomas, CF</t>
  </si>
  <si>
    <t>DeGange, Anthony R.; Byrd, G. Vernon; Walker, Lawrence R.; Waythomas, C. F.</t>
  </si>
  <si>
    <t>Introduction-The Impacts of the 2008 Eruption of Kasatochi Volcano on Terrestrial and Marine Ecosystems in the Aleutian Islands, Alaska</t>
  </si>
  <si>
    <t>VEGETATION; SUCCESSION; BIRDS</t>
  </si>
  <si>
    <t>[DeGange, Anthony R.] US Geol Survey, Alaska Sci Ctr, Anchorage, AK 99508 USA; [Byrd, G. Vernon] US Fish &amp; Wildlife Serv, Homer, AK 99603 USA; [Walker, Lawrence R.] Univ Nevada, Sch Life Sci, Las Vegas, NV 89154 USA; [Waythomas, C. F.] US Geol Survey, Alaska Volcano Observ, Anchorage, AK 99508 USA</t>
  </si>
  <si>
    <t>United States Department of the Interior; United States Geological Survey; United States Department of the Interior; US Fish &amp; Wildlife Service; Nevada System of Higher Education (NSHE); University of Nevada Las Vegas; United States Department of the Interior; United States Geological Survey</t>
  </si>
  <si>
    <t>DeGange, AR (corresponding author), US Geol Survey, Alaska Sci Ctr, 4210 Univ Dr, Anchorage, AK 99508 USA.</t>
  </si>
  <si>
    <t>tdegange@usgs.gov</t>
  </si>
  <si>
    <t>Byrd, George Vernon/0000-0003-1108-541X</t>
  </si>
  <si>
    <t>10.1657/1938-4246-42.3.245</t>
  </si>
  <si>
    <t>651IL</t>
  </si>
  <si>
    <t>WOS:000281921300001</t>
  </si>
  <si>
    <t>Scott, WE; Nye, CJ; Waythomas, CF; Neal, CA</t>
  </si>
  <si>
    <t>Scott, William E.; Nye, Christopher J.; Waythomas, Christopher F.; Neal, Christina A.</t>
  </si>
  <si>
    <t>August 2008 Eruption of Kasatochi Volcano, Aleutian Islands, Alaska-Resetting an Island Landscape</t>
  </si>
  <si>
    <t>BIRDS</t>
  </si>
  <si>
    <t>Kasatochi Island, the subaerial portion of a small volcano in the western Aleutian volcanic arc, erupted on 7-8 August 2008. Pyroclastic flows and surges swept the island repeatedly and buried most of it and the near-shore zone in decimeters to tens of meters of deposits. Several key seabird rookeries in taluses were rendered useless. The eruption lasted for about 24 hours and included two initial explosive pulses and pauses over a 6-hr period that produced ash-poor eruption clouds, a 10-hr period of continuous ash-rich emissions initiated by an explosive pulse and punctuated by two others, and a final 8-hr period of waning ash emissions. The deposits of the eruption include a basal muddy tephra that probably reflects initial eruptions through the shallow crater lake, a sequence of pumiceous and lithic-rich pyroclastic deposits produced by flow, surge, and fall processes during a period of energetic explosive eruption, and a fine-grained upper mantle of pyroclastic-fall and -surge deposits that probably reflects the waning eruptive stage as lake and ground water again gained access to the erupting magma. An eruption with similar impact on the island's environment had not occurred for at least several centuries. Since the 2008 eruption, the volcano has remained quiet other than emission of volcanic gases. Erosion and deposition are rapidly altering slopes and beaches.</t>
  </si>
  <si>
    <t>[Scott, William E.] US Geol Survey, Cascades Volcano Observ, Vancouver, WA 98683 USA; [Nye, Christopher J.] Alaska Div Geol &amp; Geophys Surveys, Alaska Volcano Observ, Fairbanks, AK 99709 USA; [Waythomas, Christopher F.; Neal, Christina A.] US Geol Survey, Alaska Volcano Observ, Anchorage, AK 99508 USA</t>
  </si>
  <si>
    <t>United States Department of the Interior; United States Geological Survey; United States Department of the Interior; United States Geological Survey; United States Department of the Interior; United States Geological Survey</t>
  </si>
  <si>
    <t>Scott, WE (corresponding author), US Geol Survey, Cascades Volcano Observ, 1300 SE Cardinal Court, Vancouver, WA 98683 USA.</t>
  </si>
  <si>
    <t>wescott@usgs.gov</t>
  </si>
  <si>
    <t>North Pacific Research Board [923]; U.S. Geological Survey (USGS)</t>
  </si>
  <si>
    <t>North Pacific Research Board; U.S. Geological Survey (USGS)(United States Geological Survey)</t>
  </si>
  <si>
    <t>Fieldwork on Kasatochi Island in 2009 was supported by grants from the North Pacific Research Board (Project #923) and the U.S. Geological Survey (USGS) and by in-kind support from the U.S. Fish and Wildlife Service and USGS. Captain Billy Pepper and the crew of the RN Tiglax provided safe passage and fine accommodations. We thank other scientists involved in the Kasatochi work for engendering a fruitful and rewarding interdisciplinary effort. Brandon Browne, Brian Jicha, and Stephanie Prejean provided insightful and constructive reviews of our manuscript for which we are grateful. This is contribution 252 of the North Pacific Research Board.</t>
  </si>
  <si>
    <t>10.1657/1938-4246-42.3.250</t>
  </si>
  <si>
    <t>WOS:000281921300002</t>
  </si>
  <si>
    <t>Waythomas, CF; Scott, WE; Nye, CJ</t>
  </si>
  <si>
    <t>Waythomas, Christopher F.; Scott, William E.; Nye, Christopher J.</t>
  </si>
  <si>
    <t>The Geomorphology of an Aleutian Volcano following a Major Eruption: the 7-8 August 2008 Eruption of Kasatochi Volcano, Alaska, and Its Aftermath</t>
  </si>
  <si>
    <t>MOUNT ST-HELENS; MODELING WATER EROSION; SEDIMENT YIELD; PHYSICAL PRINCIPLES; GULLY PROCESSES; ISLAND; TEPHRA; INFILTRATION; VARIABILITY; RECOVERY</t>
  </si>
  <si>
    <t>Analysis of satellite images of Kasatochi volcano and field studies in 2008 and 2009 have shown that within about one year of the 7-8 August 2008 eruption, significant geomorphic changes associated with surface and coastal erosion have occurred. Gully erosion has removed 300,000 to 600,000 m(3) of mostly fine-grained volcanic sediment from the flanks of the volcano and much of this has reached the ocean. Sediment yield estimates from two representative drainage basins on the south and west flanks of the volcano, with drainage areas of 0.7 and 0.5 km(2), are about 10(4) m(3) km(-2) yr(-1) and are comparable to sediment yields documented at other volcanoes affected by recent eruptive activity. Estimates of the retreat of coastal cliffs also made from analysis of satellite images indicate average annual erosion rates of 80 to 140 m yr(-1). If such rates persist it could take 3-5 years for wave erosion to reach the pre-eruption coastline, which was extended seaward about 400 m by the accumulation of erupted volcanic material. As of 13 September 2009, the date of the most recent satellite image of the island, the total volume of material eroded by wave action was about 10(6) m(3). We did not investigate the distribution of volcanic sediment in the near shore ocean around Kasatochi Island, but it appears that erosion and sediment dispersal in the nearshore environment will be greatest during large storms when the combination of high waves and rainfall runoff are most likely to coincide.</t>
  </si>
  <si>
    <t>[Waythomas, Christopher F.] US Geol Survey, Alaska Volcano Observ, Anchorage, AK 99508 USA; [Scott, William E.] US Geol Survey, Cascades Volcano Observ, Vancouver, WA 98683 USA; [Nye, Christopher J.] Div Geol &amp; Geophys Surveys, Fairbanks, AK 99709 USA; [Nye, Christopher J.] Alaska Volcano Observ, Fairbanks, AK 99709 USA</t>
  </si>
  <si>
    <t>Waythomas, CF (corresponding author), US Geol Survey, Alaska Volcano Observ, 4210 Univ Dr, Anchorage, AK 99508 USA.</t>
  </si>
  <si>
    <t>chris@usgs.gov; wescott@usgs.gov; cnye@gi.alaska.edu</t>
  </si>
  <si>
    <t>North Pacific Research Board [923]; U.S. Geological Survey</t>
  </si>
  <si>
    <t>North Pacific Research Board; U.S. Geological Survey(United States Geological Survey)</t>
  </si>
  <si>
    <t>Funding for this work was provided by a grant from the North Pacific Research Board, Project #923, and the U.S. Geological Survey Volcano Hazards Program. The authors thank the crew and staff of the U.S. Fish and Wildlife Service R/V Tiglax for logistical support of our work on Kasatochi Island. Review comments by two anonymous reviewers and the associate editor are appreciated and helped improve the clarity of the manuscript This is contribution 253 of the North Pacific Research Board.</t>
  </si>
  <si>
    <t>10.1657/1938-4246-42.3.260</t>
  </si>
  <si>
    <t>WOS:000281921300003</t>
  </si>
  <si>
    <t>Wang, B; Michaelson, G; Ping, CL; Plumlee, G; Hageman, P</t>
  </si>
  <si>
    <t>Wang, Bronwen; Michaelson, Gary; Ping, Chien-Lu; Plumlee, Geoffrey; Hageman, Philip</t>
  </si>
  <si>
    <t>Characterization of Pyroclastic Deposits and Pre-eruptive Soils following the 2008 Eruption of Kasatochi Island Volcano, Alaska</t>
  </si>
  <si>
    <t>TEPHRA; VEGETATION; RECOVERY; EROSION</t>
  </si>
  <si>
    <t>The 7-8 August 2008 eruption of Kasatochi Island volcano blanketed the island in newly generated pyroclastic deposits and deposited ash into the ocean and onto nearby islands. Concentrations of water soluble Fe, Cu, and Zn determined from a 1:20 deionized water leachate of the ash were sufficient to provide short-term fertilization of the surface ocean. The 2008 pyroclastic deposits were thicker in concavities at bases of steeper slopes and thinner on steep slopes and ridge crests. By summer 2009, secondary erosion had exposed the pre-eruption soils along gulley walls and in gully bottoms on the southern and eastern slopes, respectively. Topographic and microtopographic position altered the depositional patterns of the pyroclastic flows and resulted in pre-eruption soils being buried by as little as 1 m of ash. The different erosion patterns gave rise to three surfaces on which future ecosystems will likely develop: largely pre-eruptive soils; fresh pyroclastic deposits influenced by shallowly buried, pre-eruptive soil; and thick (&gt;1 m) pyroclastic deposits. As expected, the chemical composition differed between the pyroclastic deposits and the pre-eruptive soils. Pre-eruptive soils hold stocks of C and N important for establishing biota that are lacking in the fresh pyroclastic deposits. The pyroclastic deposits are a source for P and K but have negligible nutrient holding capacity, making these elements vulnerable to leaching loss. Consequently, the pre-eruption soils may also represent an important long-term P and K source.</t>
  </si>
  <si>
    <t>[Wang, Bronwen] US Geol Survey, Alaska Sci Ctr, Anchorage, AK 99508 USA; [Michaelson, Gary; Ping, Chien-Lu] Univ Alaska Fairbanks, Sch Nat Resources &amp; Agr Sci, Palmer Res Ctr, Palmer, AK 99645 USA; [Plumlee, Geoffrey; Hageman, Philip] US Geol Survey, Denver Fed Ctr, Denver, CO 80225 USA</t>
  </si>
  <si>
    <t>United States Department of the Interior; United States Geological Survey; University of Alaska System; University of Alaska Fairbanks; United States Department of the Interior; United States Geological Survey</t>
  </si>
  <si>
    <t>Wang, B (corresponding author), US Geol Survey, Alaska Sci Ctr, 4210 Univ Dr, Anchorage, AK 99508 USA.</t>
  </si>
  <si>
    <t>bwang@usgs.gov</t>
  </si>
  <si>
    <t>North Pacific Research Board [923]; U.S. Geological Survey; U.S. Fish and Wildlife Service</t>
  </si>
  <si>
    <t>North Pacific Research Board; U.S. Geological Survey(United States Geological Survey); U.S. Fish and Wildlife Service(US Fish &amp; Wildlife Service)</t>
  </si>
  <si>
    <t>This study was funded by the North Pacific Research Board (Project #923), the U.S. Geological Survey, and the U.S. Fish and Wildlife Service. We are grateful to Jeff Williams and Lisa Spitler of the U.S. Fish and Wildlife Service for exceptional logistic support and to the Captain and crew of the M/V Tiglax for safe passage to and from Kasatochi Island. This is contribution 254 of the North Pacific Research Board.</t>
  </si>
  <si>
    <t>10.1657/1938-4246-42.3.276</t>
  </si>
  <si>
    <t>WOS:000281921300004</t>
  </si>
  <si>
    <t>Talbot, SS; Talbot, SL; Walker, LR</t>
  </si>
  <si>
    <t>Talbot, Stephen S.; Talbot, Sandra Looman; Walker, Lawrence R.</t>
  </si>
  <si>
    <t>Post-eruption Legacy Effects and Their Implications for Long-Term Recovery of the Vegetation on Kasatochi Island, Alaska</t>
  </si>
  <si>
    <t>ALEUTIAN ISLANDS; ERUPTION; COLONIZATION; SUCCESSION; VOLCANO</t>
  </si>
  <si>
    <t>We studied the vegetation of Kasatochi Island, central Aleutian Islands, to provide a general field assessment regarding the survival of plants, lichens, and fungi following a destructive volcanic eruption that occurred in 2008. Plant community data were analyzed using multivariate methods to explore the relationship between pre- and post-eruption plant cover; 5 major vegetation types were identified: Honckenya peploides beach, Festuca rubra cliff shelf, Lupinus nootkatensis Festuca rubra meadow, Leymus mollis bluff ridge (and beach), and Aleuria aurantia lower slope barrens. Our study provided a very unusual glimpse into the early stages of plant primary succession on a remote island where most or the vegetation was destroyed. Plants that apparently survived the eruption dominated early plant communities. Not surprisingly, the most diverse post-eruption community most closely resembled a widespread pre-eruption type. Microhabitats where early plant communities were found were distinct and apparently crucial in determining plant survival. Comparison with volcanic events in related boreal regions indicated some post-eruption pattern similarities.</t>
  </si>
  <si>
    <t>[Talbot, Stephen S.] US Fish &amp; Wildlife Serv, Anchorage, AK 99503 USA; [Talbot, Sandra Looman] US Geol Survey, Alaska Sci Ctr, Anchorage, AK 99508 USA; [Walker, Lawrence R.] Univ Nevada, Sch Life Sci, Las Vegas, NV 89154 USA</t>
  </si>
  <si>
    <t>United States Department of the Interior; US Fish &amp; Wildlife Service; United States Department of the Interior; United States Geological Survey; Nevada System of Higher Education (NSHE); University of Nevada Las Vegas</t>
  </si>
  <si>
    <t>Talbot, SS (corresponding author), US Fish &amp; Wildlife Serv, 1011 E Tudor Rd, Anchorage, AK 99503 USA.</t>
  </si>
  <si>
    <t>stephen_talbot@fws.gov</t>
  </si>
  <si>
    <t>Talbot, Sandra L/C-9433-2011</t>
  </si>
  <si>
    <t>Department of Botany at the University of Hawaii at Manoa; North Pacific Research Board [923]; U.S. Fish and Wildlife Service; U.S. Geological Survey</t>
  </si>
  <si>
    <t>Department of Botany at the University of Hawaii at Manoa; North Pacific Research Board; U.S. Fish and Wildlife Service(US Fish &amp; Wildlife Service); U.S. Geological Survey(United States Geological Survey)</t>
  </si>
  <si>
    <t>We thank the following taxonomic specialists for their confirmations or determinations of the following: ascomycetes-G. A. Laursen, University of Alaska (2009); bryophytes-W. B. Schofield, University of British Columbia (2001, 2003), and O. Lee, University of British Columbia (2009); graminoids-J. M. Saarela, Canadian Museum of Nature (2009); Epilobium-P. C. Hoch, Missouri Botanical Garden; miscellaneous vascular plants-A. R. Batten, University of Alaska (2001, 2003); Orchidaceae-C. J. Sheviak, New York State Museum (2001, 2003); Poaceae-R. J. Soreng, Smithsonian Institution (2001); Stellaria-J. K. Morton, University of Waterloo (2001, 2003); and lichens-J. W. Thomson, University of Wisconsin (2001, 2003). Our thanks to J. Brewer and R. Sicilian, U.S. Fish and Wildlife Service, for map production; and for the thoughtful reviews of P. Krestov (Institute of Biology and Soil Science, Vladivostok) and A. Solomeshch (University of California at Davis). Walker thanks the Department of Botany at the University of Hawaii at Manoa for support through the Wilder Chair program. Mention of trade names or commercial products does not constitute endorsement or recommendation for use. The North Pacific Research Board (Project #923), U.S. Fish and Wildlife Service, and U.S. Geological Survey provided support for this study. This is contribution 255 of the North Pacific Research Board.</t>
  </si>
  <si>
    <t>10.1657/1938-4246-42.3.285</t>
  </si>
  <si>
    <t>WOS:000281921300005</t>
  </si>
  <si>
    <t>Terrestrial Arthropods of Pre- and Post-eruption Kasatochi Island, Alaska, 2008-2009: a Shift from a Plant-Based to a Necromass-Based Food Web</t>
  </si>
  <si>
    <t>2008 VOLCANIC-ERUPTION; LINYPHIIDAE; COMMUNITY; AMERICA; ARANEAE; NORTH</t>
  </si>
  <si>
    <t>On 11 June 2008 the first author spent 10.66 h on Kasatochi Island and collected 396 terrestrial arthropod specimens estimated to represent a minimum of 58 species. Among these are included the first Alaskan records of the fly genus Lestremia and the ghost moth Sthenopis quadriguttatus (Grote). Also found were a new species of salpingid beetle in the genus Aegialites and sawfly in the genus Pseudodineura. On 10 and 12 August 2009, one year after an eruption that buried the island in ash, the first author spent 15 h sampling terrestrial arthropods. Specimens were also collected on 12-14 June 2009 by other team members. An estimated 17 post-eruption species were documented by the collection of 210 specimens. Evidence of breeding was seen in 4-9 species. Pitfall traps run from 14 June to 10 August 2009 flooded, capturing no arthropods. Fallout collectors representing 1 m(2), run during the same period, had four flies and no seeds. The majority of species recovered post-eruption were probably survivors or their offspring, some of which had commenced breeding on rotting kelp and bird carcasses. Of significance as the first post-eruption evidence of multi-trophic level interaction, a fly predator on kelp flies, Scathophaga, and an ichneumonid endoparasite of flies, Phygadeuon, were also present. No phytophagous or fungivorous species were found. Supporting the heterotrophs-first hypothesis of Hodkinson et al. (2002), the current terrestrial ecosystem of Kasatochi is necromass-based rather than plant-based.</t>
  </si>
  <si>
    <t>[Sikes, Derek S.; Slowik, Jozef] Univ Alaska Museum, Fairbanks, AK 99775 USA</t>
  </si>
  <si>
    <t>University of Alaska System; University of Alaska Fairbanks</t>
  </si>
  <si>
    <t>Sikes, DS (corresponding author), Univ Alaska Museum, 907 Yukon Dr, Fairbanks, AK 99775 USA.</t>
  </si>
  <si>
    <t>dssikes@alaska.edu</t>
  </si>
  <si>
    <t>Alaska EPSCoR NSF [EPS-0701898]; National Science Foundation [DBI-0847904]; State of Alaska; North Pacific Research Board [923]; Div Of Biological Infrastructure; Direct For Biological Sciences [0847904] Funding Source: National Science Foundation</t>
  </si>
  <si>
    <t>Alaska EPSCoR NSF(National Science Foundation (NSF)NSF - Office of the Director (OD)NSF - Office of Integrative Activities (OIA)); National Science Foundation(National Science Foundation (NSF)); State of Alaska; North Pacific Research Board; Div Of Biological Infrastructure; Direct For Biological Sciences(National Science Foundation (NSF)NSF - Directorate for Biological Sciences (BIO))</t>
  </si>
  <si>
    <t>We thank those who provided determinations: A. Bennett (Ichneumonidae), D. Nick le (Thripidae), B. Fleshman (Araneae), M. Bowser (Opiliones), R. Davidson (Carabidae), C. W. O'Brien (Curculionidae), H. Douglas (Elateridae), V. Gusarov (Salpingidae), A. Davies (Staphylinidae), M. Thayer (Staphylinidae), A. Smetana (Staphylinidae), J. Klimaszewski (Staphylinidae), T. Whitworth (Calliphoridae), W. Mathis, C. F. Thompson, S. Peek (Diptera), J. Forteir (Braconidae), D. Smith and H. Goulet (Tenthredinidae), D. Wagner (Hepialidae), L. Bonato (Geophilomorpha), M. Zapparoli (Lithobiida), S. Jewett (algae), M. Yoder (Diapriidae). We also thank Vernon Byrd and Jeff Williams of the U.S. Fish and Wildlife Service for their help in obtaining funding and transportation aboard the USFWS's vessel the M/V Tiglax. Kelly May and Mary Wyatt, specimen preparators and volunteers in the University of Alaska Museum, are thanked for their efforts. A. DeGange is also thanked for his role in organizing research efforts, workshops, and this special issue devoted to Kasatochi. Additional support is acknowledged from Alaska EPSCoR NSF award #EPS-0701898, National Science Foundation BRC award # DBI-0847904, the state of Alaska, and the North Pacific Research Board (Project #923). We thank two anonymous reviewers for their helpful comments. This is contribution 256 of the North Pacific Research Board.</t>
  </si>
  <si>
    <t>10.1657/1938-4246-42.3.297</t>
  </si>
  <si>
    <t>WOS:000281921300006</t>
  </si>
  <si>
    <t>Williams, JC; Drummond, BA; Buxton, RT</t>
  </si>
  <si>
    <t>Williams, Jeffrey C.; Drummond, Brie A.; Buxton, Rachel T.</t>
  </si>
  <si>
    <t>Initial Effects of the August 2008 Volcanic Eruption on Breeding Birds and Marine Mammals at Kasatochi Island, Alaska</t>
  </si>
  <si>
    <t>MOUNT ST-HELENS; RECRUITMENT; WASHINGTON; PATTERNS; AUKLETS; COLONY</t>
  </si>
  <si>
    <t>Kasatochi Island, home to a rich community of largely marine-dependent fauna, erupted with little warning on 7-8 August 2008 and buried the island under up to 30 m of tephra. We visited the island during the summer of 2009 to examine the effects of the eruption on local wildlife. The abundance of sea lions and many seabird species in 2009 was comparable to pre-eruption estimates, suggesting that adult mortality was low for these species. In contrast, shorebirds and passerines formerly breeding on the island were not observed in 2009 and probably perished in the eruption. The largest direct effect of the eruption to individual animals was probably mortality of chicks, with an estimated total 20,000-40,000 young birds lost. Indirect effects on wildlife consisted of loss of foraging habitat for species that relied on former terrestrial, intertidal, or nearshore-subtidal habitat and the near-total destruction of all former nesting habitats for most species. Although several species attempted to breed in 2009, all except Steller's sea lions failed due to lack of suitable breeding sites. The recovery of wildlife at Kasatochi will depend on erosion of the tephra layer blanketing the island to re-expose former breeding habitat.</t>
  </si>
  <si>
    <t>[Williams, Jeffrey C.; Drummond, Brie A.] US Fish &amp; Wildlife Serv, Homer, AK 99603 USA; [Buxton, Rachel T.] Mem Univ Newfoundland, Seabird Ecol Grp, Dept Biol, St John, NF A1B 3X9, Canada</t>
  </si>
  <si>
    <t>United States Department of the Interior; US Fish &amp; Wildlife Service; Memorial University Newfoundland</t>
  </si>
  <si>
    <t>Williams, JC (corresponding author), US Fish &amp; Wildlife Serv, 95 Sterling Highway,Suite 1, Homer, AK 99603 USA.</t>
  </si>
  <si>
    <t>jeff_williams@fws.gov</t>
  </si>
  <si>
    <t>Bond, Alexander L/A-3786-2010</t>
  </si>
  <si>
    <t>Buxton, Rachel/0000-0002-2772-8435</t>
  </si>
  <si>
    <t>U.S. Fish and Wildlife Service; North Pacific Research Board [923]</t>
  </si>
  <si>
    <t>U.S. Fish and Wildlife Service(US Fish &amp; Wildlife Service); North Pacific Research Board</t>
  </si>
  <si>
    <t>We especially thank the numerous technicians who collected data from 1996 to 2008 and added to our knowledge of Kasatochi before the eruption. Lowell Fritz and Tom Gelatt of the National Marine Mammal Laboratory, Seattle, Washington, allowed use of aerial photographic survey counts for Steller's sea lions. This paper benefitted from the comments provided by Robert Day, Leslie Slater, Don Dragoo, Lisa Spitler, and an anonymous reviewer. The U.S. Fish and Wildlife Service funded all work prior to the eruption; work in 2009 was funded by the U.S. Fish and Wildlife Service and North Pacific Research Board project grant 923. This is contribution 257 of the North Pacific Research Board.</t>
  </si>
  <si>
    <t>10.1657/1938-4246-42.3.306</t>
  </si>
  <si>
    <t>WOS:000281921300007</t>
  </si>
  <si>
    <t>Jewett, SC; Bodkin, JL; Chenelot, H; Esslinger, GG; Hoberg, MK</t>
  </si>
  <si>
    <t>Jewett, Stephen C.; Bodkin, James L.; Chenelot, Heloise; Esslinger, George G.; Hoberg, Max K.</t>
  </si>
  <si>
    <t>The Nearshore Benthic Community of Kasatochi Island, One Year after the 2008 Volcanic Eruption</t>
  </si>
  <si>
    <t>SEA OTTERS; ALEUTIAN ARCHIPELAGO; KELP FORESTS; INTERTIDAL COMMUNITY; DISTURBANCE; CALIFORNIA; AMPHIPODS; PATTERNS; RECOVERY; ZONATION</t>
  </si>
  <si>
    <t>A description is presented of the nearshore benthic community of Kasatochi Island 10-12 months after a catastrophic volcanic eruption in 2008. The eruption extended the coastline of the island approximately 400 m offshore, mainly along the south, southeast, and southwest shores, to roughly the 20 m isobath. Existing canopy kelp of Eualaria (Alaria) fistulosa, as well as limited understory algal species and associated fauna (e.g., urchin barrens) on the hard substratum were apparently buried following the eruption. Samples and observations revealed the substrate around the island in 2009 was comprised almost entirely of medium and coarse sands with a depauperate benthic community, dominated by opportunistic pontogeneiid amphipods. Comparisons of habitat and biological communities with other nearby Aleutian Islands, as well as with the Icelandic volcanic island of Surtsey, confirm dramatic reductions in flora and fauna consistent with an early stage of recovery from a large-scale disturbance event.</t>
  </si>
  <si>
    <t>[Jewett, Stephen C.; Bodkin, James L.; Esslinger, George G.] Univ Alaska Fairbanks, Inst Marine Sci, Fairbanks, AK 99775 USA; [Chenelot, Heloise; Hoberg, Max K.] US Geol Survey, Anchorage, AK 99508 USA</t>
  </si>
  <si>
    <t>University of Alaska System; University of Alaska Fairbanks; United States Department of the Interior; United States Geological Survey</t>
  </si>
  <si>
    <t>Jewett, SC (corresponding author), Univ Alaska Fairbanks, Inst Marine Sci, Fairbanks, AK 99775 USA.</t>
  </si>
  <si>
    <t>jewett@ims.uaf.edu</t>
  </si>
  <si>
    <t>North Pacific Research Board [923]; U.S. Geological Survey (USGS) Alaska Science Center</t>
  </si>
  <si>
    <t>North Pacific Research Board; U.S. Geological Survey (USGS) Alaska Science Center(United States Geological Survey)</t>
  </si>
  <si>
    <t>We thank the North Pacific Research Board (Project #923) and the U.S. Geological Survey (USGS) Alaska Science Center for funding this study. We also thank the crew of the U.S. Fish and Wildlife Service (USFWS) M/V Tiglax and USGS Research Diver Sandra Baldwin for her support in field operations. We thank Tony DeGange, Alaska Science Center, and Vernon Byrd, USFWS, for organizing the Kasatochi eruption science program; Jeff Williams, Alaska Maritime National Wildlife Refuge, for providing the water temperature data; Robert L. Lauth, Alaska Fisheries Science Center, National Oceanic and Atmospheric Administration (NOAA), for providing a video on the pre-eruption benthic community; Gary S. Drew, USGS, for providing help with the figures; and Mandy Lindeberg, Alaska Fisheries Science Center, NOAA, for providing help with the algal identifications. Finally, we thank Dr. James A. Estes, Dr. Howard M. Feder, and two anonymous reviewers for their helpful comments. Mention of trade names or commercial products does not constitute endorsement or recommendation for use. This is contribution 258 of the North Pacific Research Board.</t>
  </si>
  <si>
    <t>10.1657/1938-4246-42.3.315</t>
  </si>
  <si>
    <t>WOS:000281921300008</t>
  </si>
  <si>
    <t>Drew, GS; Dragoo, DE; Renner, M; Piatt, JE</t>
  </si>
  <si>
    <t>Drew, Gary S.; Dragoo, Donald E.; Renner, Martin; Piatt, John E.</t>
  </si>
  <si>
    <t>At-sea Observations of Marine Birds and Their Habitats before and after the 2008 Eruption of Kasatochi Volcano, Alaska</t>
  </si>
  <si>
    <t>AUKLETS; EASTERN; ISLAND; ASH; SEABIRDS; PATTERNS; LEAST</t>
  </si>
  <si>
    <t>Kasatochi volcano, an island volcano in the Aleutian chain, erupted on 7-8 August 2008. The resulting ash and pyroclastic flows blanketed the island, covering terrestrial habitats. We surveyed the marine environment surrounding Kasatochi Island in June and July of 2009 to document changes in abundance or distribution of nutrients, fish, and marine birds near the island when compared to patterns observed on earlier surveys conducted in 1996 and 2003. Analysis of Sea WiFS satellite imagery indicated that a large chlorophyll-a anomaly may have been the result of ash fertilization during the eruption. We found no evidence of continuing marine fertilization from terrestrial runoff 10 months after the eruption. At-sea surveys in June 2009 established that the most common species of seabirds at Kasatochi prior to the eruption, namely crested auklets (Aethia cristatella) and least auklets (Aethia pusilla) had returned to Kasatochi in relatively high numbers. Densities from more extensive surveys in July 2009 were compared with pre-eruption densities around Kasatochi and neighboring Ulak and Koniuji islands, but we found no evidence of an eruption effect. Crested and least auklet populations were not significantly reduced by the initial explosion and they returned to attempt breeding in 2009, even though nesting habitat had been rendered unusable. Maps of pre- and post-eruption seabird distribution anomalies indicated considerable variation, but we found no evidence that observed distributions were affected by the 2008 eruption.</t>
  </si>
  <si>
    <t>[Drew, Gary S.; Renner, Martin; Piatt, John E.] US Geol Survey, Alaska Sci Ctr, Anchorage, AK 99508 USA; [Dragoo, Donald E.] US Fish &amp; Wildlife Serv, Alaska Maritime NWR, Homer, AK 99603 USA</t>
  </si>
  <si>
    <t>United States Department of the Interior; United States Geological Survey; United States Department of the Interior; US Fish &amp; Wildlife Service</t>
  </si>
  <si>
    <t>Drew, GS (corresponding author), US Geol Survey, Alaska Sci Ctr, 4210 Univ Dr, Anchorage, AK 99508 USA.</t>
  </si>
  <si>
    <t>gdrew@usgs.gov</t>
  </si>
  <si>
    <t>Piatt, John/0000-0002-4417-5748; Drew, Gary/0000-0002-6789-0891</t>
  </si>
  <si>
    <t>North Pacific Research Board; U.S. Fish and Wildlife Service; U.S. Geological Survey</t>
  </si>
  <si>
    <t>North Pacific Research Board; U.S. Fish and Wildlife Service(US Fish &amp; Wildlife Service); U.S. Geological Survey(United States Geological Survey)</t>
  </si>
  <si>
    <t>This work would not have been possible without the past and continuing support of the Alaska Maritime National Wildlife Refuge. Their support of the SMMOCI surveys in 1996 and 2003 provided the baseline data for comparison. Over the three surveys, numerous biologists have contributed to marine bird surveys and we thank them all. We especially thank the crew of the M/V Tiglax for their commitment to this work. We thank the North Pacific Research Board, U.S. Fish and Wildlife Service and U.S. Geological Survey for providing funding for the post-eruption research in 2009. This is contribution 259 of the North Pacific Research Board. Helpful comments on the manuscript were provided by Dr. Kathy Kuletz, Dr. Stephen Garth, Anthony DeGange, and Vernon Byrd.</t>
  </si>
  <si>
    <t>10.1657/1938-4246-42.3.325</t>
  </si>
  <si>
    <t>WOS:000281921300009</t>
  </si>
  <si>
    <t>del Moral, R</t>
  </si>
  <si>
    <t>del Moral, Roger</t>
  </si>
  <si>
    <t>The Importance of Long-Term Studies of Ecosystem Reassembly after the Eruption of the Kasatochi Island Volcano</t>
  </si>
  <si>
    <t>MOUNT-ST-HELENS; PAPUA-NEW-GUINEA; PRIMARY SUCCESSION; EMERGENT ISLAND; CALDERA LAKE; PLANT INTERACTIONS; ALEUTIAN ISLANDS; KRAKATAU ISLANDS; COLONIZATION; VEGETATION</t>
  </si>
  <si>
    <t>Kasatochi Island is a small volcanic island in the central Aleutian Islands that erupted on 7 August 2008. An interdisciplinary team visited the island and its vicinity in the summer of 2009 to describe the immediate consequences of the eruptions on terrestrial, coastal, and benthic communities. The initial effects of the eruptions on soils, oceanic waters, benthic terrain, terrestrial plants, land birds, shore birds, nesting sea birds, arthropods, marine algae, and marine invertebrates were described. This overview summarizes the conventional understanding of mechanisms that drive the reassembly of devastated ecosystems and shows how studies of Kasatochi Island may enhance our understanding of succession. The presence of residual soils and low mortality among sea birds will hasten early recovery, but significant erosion (removal of tephra and marine sediments) must occur to permit a return to a fully functional ecosystem. Long-distance dispersal over seawater will be needed to replenish the plant communities. While scavenger arthropods survived, dispersal will be needed to generate complete insect communities. Land birds were killed and their habitats destroyed, so their re-colonization awaits vegetation development. Ecosystem recovery will be facilitated by allochthonous inputs of nutrients and by plant establishment. Monitoring how the biota returns to a new equilibrium and comparisons to adjacent islands will allow tests of assembly and biogeographic theory and further our understanding of terrestrial-marine interactions. The study of Kasatochi Island's recovery will produce a valuable story of ecosystem reassembly.</t>
  </si>
  <si>
    <t>Univ Washington, Dept Biol, Seattle, WA 98195 USA</t>
  </si>
  <si>
    <t>University of Washington; University of Washington Seattle</t>
  </si>
  <si>
    <t>del Moral, R (corresponding author), Univ Washington, Dept Biol, Box 351800, Seattle, WA 98195 USA.</t>
  </si>
  <si>
    <t>moral@uw.edu</t>
  </si>
  <si>
    <t>NSF [DEB 0541972]</t>
  </si>
  <si>
    <t>I thank the editors of this special volume, A. R. DeGange, G. V. Byrd, and L. R. Walker, for the kind invitation to comment on the exciting findings at Kasatochi Island. Comments by R. J. Whittaker improved the paper. My work is supported by NSF grant DEB 0541972. This is contribution No. 61 to the Mount St. Helens Succession Project.</t>
  </si>
  <si>
    <t>10.1657/1938-4246-42.3.335</t>
  </si>
  <si>
    <t>WOS:000281921300010</t>
  </si>
  <si>
    <t>Czimczik, CI; Welker, JM</t>
  </si>
  <si>
    <t>Czimczik, Claudia I.; Welker, Jeffrey M.</t>
  </si>
  <si>
    <t>Radiocarbon Content of CO2 Respired from High Arctic Tundra in Northwest Greenland</t>
  </si>
  <si>
    <t>MICROBIAL BIOMASS; CLIMATE-CHANGE; ECOSYSTEM; RESPIRATION; TEMPERATURE; EXCHANGE; BALANCE; ALASKA; SOILS; THAW</t>
  </si>
  <si>
    <t>Tundra soils contain large amounts of organic carbon (C) that might become available to microbial decomposition as soils warm. To elucidate the C sources currently sustaining CO2 emissions from striped tundra soils (soil respiration) in Northwest Greenland, we studied the seasonal pattern and radiocarbon (C-14) signature of soil respiration and of CO2 within the pore space, respired from roots and non-root associated microbes, and of bulk soil organic matter. Old C pools are present in the topsoil of both barren ridges (1000-5000 yrs) and vegetated troughs (modern to 600 yrs). Before leaf-out, soil respiration was depleted in C-14 relative to atmospheric CO2, root and microbial respiration within the topsoil, demonstrating a substantial contribution of C fixed before 1950. As the growing season progressed, the contribution of older C pools decreased, but remained apparent in the soil respiration from ridges and in pore space CO2. Soil respiration from troughs became dominated by recently fixed C. As the active layer deepens with permafrost thaw, buried C may become an increasingly larger component of soil respiration. Detecting microbial decomposition of older C pools requires continuous monitoring of soil and microbial respiration and better constraints on soil C pools.</t>
  </si>
  <si>
    <t>[Czimczik, Claudia I.] Univ Calif Irvine, Dept Earth Syst Sci, Irvine, CA 92697 USA; [Welker, Jeffrey M.] Univ Alaska Anchorage, Environm &amp; Nat Resources Inst, Anchorage, AK 99508 USA; [Welker, Jeffrey M.] Univ Alaska Anchorage, Dept Biol, Anchorage, AK 99508 USA</t>
  </si>
  <si>
    <t>University of California System; University of California Irvine; University of Alaska System; University of Alaska Anchorage; University of Alaska System; University of Alaska Anchorage</t>
  </si>
  <si>
    <t>Czimczik, CI (corresponding author), Univ Calif Irvine, Dept Earth Syst Sci, Croul Hall, Irvine, CA 92697 USA.</t>
  </si>
  <si>
    <t>czimczik@uci.edu</t>
  </si>
  <si>
    <t>Welker, Jeffrey M/C-9493-2013</t>
  </si>
  <si>
    <t>Czimczik, Claudia/0000-0002-8251-6603</t>
  </si>
  <si>
    <t>NSF [0508408]; G. Comer Foundation; Office of Polar Programs (OPP); Directorate For Geosciences [0508408] Funding Source: National Science Foundation</t>
  </si>
  <si>
    <t>NSF(National Science Foundation (NSF)); G. Comer Foundation; Office of Polar Programs (OPP); Directorate For Geosciences(National Science Foundation (NSF)NSF - Directorate for Geosciences (GEO))</t>
  </si>
  <si>
    <t>We thank M. Rogers, H. Kristenson, and K. Nagel for their assistance in the field, X. Xu, M. Kosh, M. Spalding, and M. Castaneda for their assistance in the lab, S. Trumbore for suggestions on the study design and manuscript, and Thule Air Base and the KCCAMS lab for logistical support. This work was funded by the NSF Biocomplexity grant (0508408) awarded to Welker and the G. Comer Foundation.</t>
  </si>
  <si>
    <t>10.1657/1938-4246-42.3.342</t>
  </si>
  <si>
    <t>WOS:000281921300011</t>
  </si>
  <si>
    <t>Robbins, JA; Matthews, JA</t>
  </si>
  <si>
    <t>Robbins, Jane A.; Matthews, John A.</t>
  </si>
  <si>
    <t>Regional Variation in Successional Trajectories and Rates of Vegetation Change on Glacier Forelands in South-Central Norway</t>
  </si>
  <si>
    <t>ALPINE COMMUNITIES; CONVERGENCE; ORDINATION; PATTERNS; JOTUNHEIMEN; DIVERGENCE; GRADIENTS; GLETSCHERVORFELD; HETEROGENEITY; ENVIRONMENTS</t>
  </si>
  <si>
    <t>Variability in the vascular plant species composition of four stages of primary succession was investigated on 39 glacier forelands in the Jotunheim and Jostedalsbreen regions of south-central Norway. The relative frequencies of species were recorded in the pioneer zone adjacent to the glacier snout, in vegetation on terrain ages of c. 70 years and c. 250 years, and in mature vegetation outside the foreland (approximately 10,000 years since deglaciation). Sorensen dissimilarity, non-metric multidimensional scaling, and cluster analysis were used to compare the relative variability in species composition of these four stages and to identify patterns of succession within four altitudinal belts. Indicator species analysis identified characteristic species within each stage. Variation partitioning was used to quantify the relative influence of altitude and continentality on species composition. Variability increased between pioneer and later successional stages at all but the highest altitudes, which showed no significant difference in variability between stages. The results suggest that up to an altitude of around 1600 m succession on glacier forelands follows a divergent trajectory: above this altitude little successional change occurs. Rate of successional change also varies with altitude: below about 1000 m, in the sub-alpine belt, the transition from pioneer vegetation to birch woodland occurs within 70 years; above about 1600 m in the high-alpine belt, herbaceous pioneer vegetation can persist indefinitely; at intermediate altitudes, the dwarf-shrub and snowbed vegetation types of the low- and mid-alpine belts develop within c. 250 years. The explanatory power of altitude and continentality on compositional variation and the relative importance of altitude increased with successional stage.</t>
  </si>
  <si>
    <t>[Robbins, Jane A.] Nottingham Trent Univ, Sch Anim Rural &amp; Environm Sci, Nottingham NG25 0QF, England; [Matthews, John A.] Swansea Univ, Dept Geog, Sch Environm &amp; Soc, Swansea SA2 8PP, W Glam, Wales</t>
  </si>
  <si>
    <t>Nottingham Trent University; Swansea University</t>
  </si>
  <si>
    <t>Robbins, JA (corresponding author), Nottingham Trent Univ, Sch Anim Rural &amp; Environm Sci, Nottingham NG25 0QF, England.</t>
  </si>
  <si>
    <t>jane.robbins@ntu.ac.uk</t>
  </si>
  <si>
    <t>University of Wales; Jotunheimen Research Trust</t>
  </si>
  <si>
    <t>Thanks to Robert Cook, Alexander Fuller, Geraint Owen, and Paul Richards for fieldwork assistance; the University of Wales and the Jotunheimen Research Trust for financial support; and Anna Ratcliffe for producing the map. This paper is Jotunheimen Research Expeditions Contribution No. 173.</t>
  </si>
  <si>
    <t>10.1657/1938-4246-42.3.351</t>
  </si>
  <si>
    <t>Green Published, Green Submitted</t>
  </si>
  <si>
    <t>WOS:000281921300012</t>
  </si>
  <si>
    <t>Van Bogaert, R; Jonasson, C; De Dapper, M; Callaghan, TV</t>
  </si>
  <si>
    <t>Van Bogaert, Rik; Jonasson, Christer; De Dapper, Morgan; Callaghan, Terry V.</t>
  </si>
  <si>
    <t>Range Expansion of Thermophilic Aspen (Populus tremula L.) in the Swedish Subarctic</t>
  </si>
  <si>
    <t>TREE-LINE AREA; CLIMATE-CHANGE; EUROPEAN ASPEN; BOREAL-FOREST; BIRCH FOREST; ENVIRONMENTAL-CHANGE; OPEROPHTERA-BRUMATA; EPIRRITA-AUTUMNATA; DYNAMICS; HOLOCENE</t>
  </si>
  <si>
    <t>In subarctic Sweden, recent decadal colonization and expansion of aspen (Populus tremula L.) were recorded. Over the past 100 years, aspen became c. 16 times more abundant, mainly as a result of increased sexual regeneration. Moreover, aspen now reach tree-size (&gt;2 m) at the alpine treeline, an ecotone that has been dominated by mountain birch (Betula pubescens ssp. czerepanovii) for at least the past 4000 years. We found that sexual regeneration in aspen probably occurred seven times or more within the last century. Whereas sexual regeneration occurred during moist years following a year with an exceptionally high June July temperature, asexual regeneration was favored by warm and dry summers. Disturbance to the birch forest by cyclic moth population outbreaks was critical in aspen establishment in the subalpine area. At the treeline, aspen colonization was less determined by these moth outbreaks, and was mainly restricted by summer temperature. If summer warming persists, aspen spread may continue in subarctic Sweden, particularly at the treeline. However, changing disturbance regimes, future herbivore population dynamics and the responses of aspen's competitors birch and pine to a changing climate may result in different outcomes.</t>
  </si>
  <si>
    <t>[Van Bogaert, Rik] FWO, Flanders Res Fdn, B-1000 Brussels, Belgium; [Van Bogaert, Rik; De Dapper, Morgan] Univ Ghent, Dept Geog, B-9000 Ghent, Belgium; [Jonasson, Christer; Callaghan, Terry V.] Royal Swedish Acad Sci, Abisko Sci Res Stn, SE-98107 Abisko, Sweden; [Jonasson, Christer] Uppsala Univ, Dept Phys Geog, S-75122 Uppsala, Sweden; [Callaghan, Terry V.] Univ Sheffield, Dept Anim &amp; Plant Sci, Sheffield S10 2TN, S Yorkshire, England</t>
  </si>
  <si>
    <t>Ghent University; Royal Swedish Academy of Sciences; Uppsala University; University of Sheffield</t>
  </si>
  <si>
    <t>Van Bogaert, R (corresponding author), FWO, Flanders Res Fdn, Egmontstr 5, B-1000 Brussels, Belgium.</t>
  </si>
  <si>
    <t>rikvanbogaert@gmail.com</t>
  </si>
  <si>
    <t>Callaghan, Terens V./N-7640-2014</t>
  </si>
  <si>
    <t>Flanders Research Foundation Belgium (FWO); IPY; Swedish Research Council [70083301]; EU [506004]</t>
  </si>
  <si>
    <t>Flanders Research Foundation Belgium (FWO)(FWO); IPY; Swedish Research Council(Swedish Research Council); EU(European Union (EU))</t>
  </si>
  <si>
    <t>This study was supported by the Flanders Research Foundation Belgium (FWO), the IPY-endorsed projects ENVIS-NAR and BTF (Back To the Future; Swedish Research Council, contract no. 70083301), and the ATANS-grant (EU Transnational Access Programme, FP6 contract no. 506004). We are indebted to Lena Barnekow, Anne Bjune, John Birks, Heikki Seppa, and Mats Sonesson for giving insight into their original pollen data sets. Kristof Haneca, Christof Bigler, Jan Hoogesteger, Paul Miller, Olle Tenow, and Jan Van den Bulcke provided essential information from which this study benefited. We would like to thank the Abisko Scientific Research Station staff for practical support, the Laboratory of Wood Technology (Ghent University), and Oriol Grau and Till Jochums for assistance in the field.</t>
  </si>
  <si>
    <t>10.1657/1938-4246-42.3.362</t>
  </si>
  <si>
    <t>Bronze, Green Published, Green Submitted</t>
  </si>
  <si>
    <t>WOS:000281921300013</t>
  </si>
  <si>
    <t>Zou, H; Zhou, X; Jiang, ZJ; Ashley, MCB; Cui, XQ; Feng, LL; Gong, XF; Hu, JY; Kulesa, CA; Lawrence, JS; Liu, GR; Luong-Van, DM; Ma, J; Moore, AM; Pennypacker, CR; Qin, WJ; Shang, ZH; Storey, JWV; Sun, B; Travouillon, T; Walker, CK; Wang, JL; Wang, LF; Wu, JH; Wu, ZY; Xia, LR; Yan, J; Yang, J; Yang, HG; Yao, YQ; Yuan, XY; York, DG; Zhang, ZH; Zhu, ZX</t>
  </si>
  <si>
    <t>Zou, Hu; Zhou, Xu; Jiang, Zhaoji; Ashley, M. C. B.; Cui, Xiangqun; Feng, Longlong; Gong, Xuefei; Hu, Jingyao; Kulesa, C. A.; Lawrence, J. S.; Liu, Genrong; Luong-Van, D. M.; Ma, Jun; Moore, A. M.; Pennypacker, C. R.; Qin, Weijia; Shang, Zhaohui; Storey, J. W. V.; Sun, Bo; Travouillon, T.; Walker, C. K.; Wang, Jiali; Wang, Lifan; Wu, Jianghua; Wu, Zhenyu; Xia, Lirong; Yan, Jun; Yang, Ji; Yang, Huigen; Yao, Yongqiang; Yuan, Xiangyan; York, D. G.; Zhang, Zhanhai; Zhu, Zhenxi</t>
  </si>
  <si>
    <t>SKY BRIGHTNESS AND TRANSPARENCY IN THE i-BAND AT DOME A, ANTARCTICA</t>
  </si>
  <si>
    <t>ASTRONOMICAL JOURNAL</t>
  </si>
  <si>
    <t>methods: data analysis; methods: statistical; techniques: photometric; telescopes</t>
  </si>
  <si>
    <t>2-M CLASS TELESCOPE; SITE; PILOT; PHOTOMETRY; CATALOG; CSTAR</t>
  </si>
  <si>
    <t>The i-band observing conditions at Dome A on the Antarctic plateau have been investigated using data acquired during 2008 with the Chinese Small Telescope Array. The sky brightness, variations in atmospheric transparency, cloud cover, and the presence of aurorae are obtained from these images. The median sky brightness of moonless clear nights is 20.5 mag arcsec(-2) in the SDSS i band at the south celestial pole (which includes a contribution of about 0.06 mag from diffuse Galactic light). The median over all Moon phases in the Antarctic winter is about 19.8 mag arcsec(-2). There were no thick clouds in 2008. We model contributions of the Sun and the Moon to the sky background to obtain the relationship between the sky brightness and transparency. Aurorae are identified by comparing the observed sky brightness to the sky brightness expected from this model. About 2% of the images are affected by relatively strong aurorae.</t>
  </si>
  <si>
    <t>[Zou, Hu; Zhou, Xu; Jiang, Zhaoji; Hu, Jingyao; Ma, Jun; Wang, Jiali; Wu, Jianghua; Wu, Zhenyu; Yan, Jun; Yao, Yongqiang] Chinese Acad Sci, Natl Astron Observ, Beijing 100012, Peoples R China; [Zou, Hu] Chinese Acad Sci, Grad Univ, Beijing 100049, Peoples R China; [Zhou, Xu; Jiang, Zhaoji; Cui, Xiangqun; Feng, Longlong; Gong, Xuefei; Hu, Jingyao; Wang, Jiali; Wang, Lifan; Yan, Jun; Yang, Ji; Yuan, Xiangyan; Zhu, Zhenxi] Chinese Acad Sci, Purple Mt Observ, Nanjing 210008, Peoples R China; [Ashley, M. C. B.; Luong-Van, D. M.; Storey, J. W. V.] Univ New S Wales, Sch Phys, Sydney, NSW 2052, Australia; [Cui, Xiangqun; Gong, Xuefei; Liu, Genrong; Xia, Lirong; Yuan, Xiangyan] Nanjing Inst Astron Opt &amp; Technol, Nanjing 210042, Peoples R China; [Kulesa, C. A.; Walker, C. K.] Univ Arizona, Steward Observ, Tucson, AZ 85721 USA; [Lawrence, J. S.] Macquarie Univ, Dept Phys, N Ryde, NSW 2109, Australia; [Moore, A. M.] CALTECH, Dept Astron, Pasadena, CA 91125 USA; [Pennypacker, C. R.; Travouillon, T.] Univ Calif Berkeley, Lawrence Berkeley Lab, Berkeley, CA 94720 USA; [Qin, Weijia; Sun, Bo; Yang, Huigen; Zhang, Zhanhai] Polar Res Inst China, Shanghai 200136, Peoples R China; [Shang, Zhaohui] Tianjin Normal Univ, Tianjin 300074, Peoples R China; [York, D. G.] Univ Chicago, Enrico Fermi Inst, Chicago, IL 60637 USA; [York, D. G.] Univ Chicago, Dept Astron &amp; Astrophys, Chicago, IL 60637 USA</t>
  </si>
  <si>
    <t>Chinese Academy of Sciences; National Astronomical Observatory, CAS; Chinese Academy of Sciences; University of Chinese Academy of Sciences, CAS; Purple Mountain Observatory, CAS; Chinese Academy of Sciences; Nanjing Institute of Astronomical Optics &amp; Technology, NAOC, CAS; University of New South Wales Sydney; Chinese Academy of Sciences; Nanjing Institute of Astronomical Optics &amp; Technology, NAOC, CAS; University of Arizona; Macquarie University; California Institute of Technology; United States Department of Energy (DOE); Lawrence Berkeley National Laboratory; University of California System; University of California Berkeley; Polar Research Institute of China; Tianjin Normal University; University of Chicago; University of Chicago</t>
  </si>
  <si>
    <t>Zou, H (corresponding author), Chinese Acad Sci, Natl Astron Observ, Beijing 100012, Peoples R China.</t>
  </si>
  <si>
    <t>zhouxu@bao.ac.cn</t>
  </si>
  <si>
    <t>Zou, Hu/HGD-9992-2022; Wang, Jiali/IQU-4490-2023; sun, bo/JFA-9978-2023; zhang, ling/JXW-6931-2024</t>
  </si>
  <si>
    <t>Travouillon, Tony/0000-0001-9304-6718; Lawrence, Jon/0000-0002-6998-6993; Moore, Anna/0000-0002-2894-6936; Ashley, Michael/0000-0003-1412-2028</t>
  </si>
  <si>
    <t>Chinese National Natural Science Foundation [10873016, 10803007, 10473012, 10573020, 10633020, 10673012, 10603006]; National Basic Research Program of China (973 Program) [2007CB815403]; Chinese PANDA International Polar Year; Polar Research Institute of China (PRIC); Australian Research Council; Australian Antarctic Division</t>
  </si>
  <si>
    <t>Chinese National Natural Science Foundation(National Natural Science Foundation of China (NSFC)); National Basic Research Program of China (973 Program)(National Basic Research Program of China); Chinese PANDA International Polar Year; Polar Research Institute of China (PRIC); Australian Research Council(Australian Research Council); Australian Antarctic Division</t>
  </si>
  <si>
    <t>This study has been supported by the Chinese National Natural Science Foundation through grants 10873016, 10803007, 10473012, 10573020, 10633020, 10673012, and 10603006, and by the National Basic Research Program of China (973 Program), No. 2007CB815403. This research is also supported by the Chinese PANDA International Polar Year project and the Polar Research Institute of China (PRIC). The support of the Australian Research Council and the Australian Antarctic Division for the PLATO observatory is gratefully acknowledged. The authors thank all members of the 2008 and 2009 PRIC Dome A expeditions for their heroic effort in reaching the site and for providing invaluable assistance to the expedition astronomers in setting up and servicing the PLATO observatory and its associated instrument suite. Iridium communications were provided by the US National Science Foundation and the United States Antarctic Program. Additional financial contributions have been made by the institutions involved in this collaboration.</t>
  </si>
  <si>
    <t>0004-6256</t>
  </si>
  <si>
    <t>1538-3881</t>
  </si>
  <si>
    <t>ASTRON J</t>
  </si>
  <si>
    <t>Astron. J.</t>
  </si>
  <si>
    <t>10.1088/0004-6256/140/2/602</t>
  </si>
  <si>
    <t>626HW</t>
  </si>
  <si>
    <t>WOS:000279958000026</t>
  </si>
  <si>
    <t>Hall, NR; Keisler, R; Knox, L; Reichardt, CL; Ade, PAR; Aird, KA; Benson, BA; Bleem, LE; Carlstrom, JE; Chang, CL; Cho, HM; Crawford, TM; Crites, AT; De Haan, T; Dobbs, MA; George, EM; Halverson, NW; Holder, GP; Holzapfel, WL; Hrubes, JD; Joy, M; Lee, AT; Leitch, EM; Lueker, M; McMahon, JJ; Mehl, J; Meyer, SS; Mohr, JJ; Montroy, TE; Padin, S; Plagge, T; Pryke, C; Ruhl, JE; Schaffer, KK; Shaw, L; Shirokoff, E; Spieler, HG; Stalder, B; Staniszewski, Z; Stark, AA; Switzer, ER; Vanderlinde, K; Vieira, JD; Williamson, R; Zahn, O</t>
  </si>
  <si>
    <t>Hall, N. R.; Keisler, R.; Knox, L.; Reichardt, C. L.; Ade, P. A. R.; Aird, K. A.; Benson, B. A.; Bleem, L. E.; Carlstrom, J. E.; Chang, C. L.; Cho, H. -M.; Crawford, T. M.; Crites, A. T.; De Haan, T.; Dobbs, M. A.; George, E. M.; Halverson, N. W.; Holder, G. P.; Holzapfel, W. L.; Hrubes, J. D.; Joy, M.; Lee, A. T.; Leitch, E. M.; Lueker, M.; McMahon, J. J.; Mehl, J.; Meyer, S. S.; Mohr, J. J.; Montroy, T. E.; Padin, S.; Plagge, T.; Pryke, C.; Ruhl, J. E.; Schaffer, K. K.; Shaw, L.; Shirokoff, E.; Spieler, H. G.; Stalder, B.; Staniszewski, Z.; Stark, A. A.; Switzer, E. R.; Vanderlinde, K.; Vieira, J. D.; Williamson, R.; Zahn, O.</t>
  </si>
  <si>
    <t>ANGULAR POWER SPECTRA OF THE MILLIMETER-WAVELENGTH BACKGROUND LIGHT FROM DUSTY STAR-FORMING GALAXIES WITH THE SOUTH POLE TELESCOPE</t>
  </si>
  <si>
    <t>cosmic background radiation; galaxies: abundances; large-scale structure of universe; submillimeter: diffuse background; submillimeter: galaxies</t>
  </si>
  <si>
    <t>MULTIBAND IMAGING PHOTOMETER; SOURCE COUNTS; ENERGY-DISTRIBUTIONS; RADIO-SOURCES; SUBMILLIMETER; SPITZER; ANISOTROPIES; EMISSION; UNIVERSE; TEMPERATURE</t>
  </si>
  <si>
    <t>We use data from the first 100 deg(2) field observed by the South Pole Telescope (SPT) in 2008 to measure the angular power spectrum of temperature anisotropies contributed by the background of dusty star-forming galaxies (DSFGs) at millimeter wavelengths. From the auto- and cross-correlation of 150 and 220 GHz SPT maps, we significantly detect both Poisson distributed and, for the first time at millimeter wavelengths, clustered components of power from a background of DSFGs. The spectral indices of the Poisson and clustered components are found to be (alpha) over bar alpha(P)(150-220) = 3.86 +/- 0.23 and alpha(C)(150-220) = 3.8 +/- 1.3, implying a steep scaling of the dust emissivity index beta similar to 2. The Poisson and clustered power detected in SPT, BLAST (at 600, 860, and 1200 GHz), and Spitzer (1900 GHz) data can be understood in the context of a simple model in which all galaxies have the same graybody spectrum with dust emissivity index of beta = 2 and dust temperature T-d = 34 K. In this model, half of the 150 GHz background light comes from redshifts greater than 3.2. We also use the SPT data to place an upper limit on the amplitude of the kinetic Sunyaev-Zel'dovich power spectrum at l = 3000 of 13 mu K-2 at 95% confidence.</t>
  </si>
  <si>
    <t>[Hall, N. R.; Knox, L.] Univ Calif Davis, Dept Phys, Davis, CA 95616 USA; [Keisler, R.; Benson, B. A.; Bleem, L. E.; Carlstrom, J. E.; Chang, C. L.; Crawford, T. M.; Crites, A. T.; Leitch, E. M.; McMahon, J. J.; Meyer, S. S.; Padin, S.; Pryke, C.; Schaffer, K. K.; Switzer, E. R.; Vieira, J. D.; Williamson, R.] Univ Chicago, Kavli Inst Cosmol Phys, Chicago, IL 60637 USA; [Keisler, R.; Bleem, L. E.; Carlstrom, J. E.; Meyer, S. S.; Vieira, J. D.] Univ Chicago, Dept Phys, Chicago, IL 60637 USA; [Ade, P. A. R.] Cardiff Univ, Dept Phys &amp; Astron, Cardiff CF24 3YB, S Glam, Wales; [Benson, B. A.; Carlstrom, J. E.; Chang, C. L.; McMahon, J. J.; Meyer, S. S.; Pryke, C.; Schaffer, K. K.; Switzer, E. R.] Univ Chicago, Enrico Fermi Inst, Chicago, IL 60637 USA; [Carlstrom, J. E.; Crawford, T. M.; Crites, A. T.; Leitch, E. M.; Meyer, S. S.; Padin, S.; Pryke, C.; Williamson, R.] Univ Chicago, Dept Astron &amp; Astrophys, Chicago, IL 60637 USA; [De Haan, T.; Dobbs, M. A.; Holder, G. P.; Shaw, L.; Vanderlinde, K.] McGill Univ, Dept Phys, Montreal, PQ H3A 2T8, Canada; [Halverson, N. W.] Univ Colorado, Dept Astrophys &amp; Planetary Sci, Boulder, CO 80309 USA; [Halverson, N. W.] Univ Colorado, Dept Phys, Boulder, CO 80309 USA; [Joy, M.] NASA, Marshall Space Flight Ctr, Dept Space Sci, Huntsville, AL 35812 USA; [Lee, A. T.; Spieler, H. G.] Univ Calif Berkeley, Lawrence Berkeley Lab, Div Phys, Berkeley, CA 94720 USA; [Mohr, J. J.] Univ Munich, Dept Phys, D-81679 Munich, Germany; [Mohr, J. J.] Excellence Cluster Univ, D-85748 Garching, Germany; [Mohr, J. J.] Max Planck Inst Extraterr Phys, D-85748 Garching, Germany; [Montroy, T. E.; Ruhl, J. E.; Staniszewski, Z.] Case Western Reserve Univ, Dept Phys, Ctr Educ &amp; Res Cosmol &amp; Astrophys, Cleveland, OH 44106 USA; [Stalder, B.; Stark, A. A.] Harvard Smithsonian Ctr Astrophys, Cambridge, MA 02138 USA; [Zahn, O.] Univ Calif Berkeley, Dept Phys, Berkeley Ctr Cosmol Phys, Berkeley, CA 94720 USA</t>
  </si>
  <si>
    <t>University of California System; University of California Davis; University of Chicago; University of Chicago; Cardiff University; University of Chicago; University of Chicago; McGill University; University of Colorado System; University of Colorado Boulder; University of Colorado System; University of Colorado Boulder; National Aeronautics &amp; Space Administration (NASA); NASA Marshall Space Flight Center; University of California System; University of California Berkeley; United States Department of Energy (DOE); Lawrence Berkeley National Laboratory; University of Munich; Max Planck Society; University System of Ohio; Case Western Reserve University; Smithsonian Astrophysical Observatory; Smithsonian Institution; Harvard University; University of California System; University of California Berkeley</t>
  </si>
  <si>
    <t>Hall, NR (corresponding author), Univ Calif Davis, Dept Phys, 1 Shields Ave, Davis, CA 95616 USA.</t>
  </si>
  <si>
    <t>nrhall@ucdavis.edu</t>
  </si>
  <si>
    <t>George, Elizabeth/AAR-7371-2021; Williamson, Ross/H-1734-2015; Ruhl, John/HHS-2212-2022; Holzapfel, William L/I-4836-2015; Reichardt, Christian/IST-5017-2023</t>
  </si>
  <si>
    <t>George, Elizabeth/0000-0001-7874-0445; Ruhl, John/0000-0001-5875-4751; Benson, Bradford/0000-0002-5108-6823; Holzapfel, William/0000-0002-5744-6439; Bleem, Lindsey/0000-0001-7665-5079; CRAWFORD, THOMAS/0000-0001-9000-5013; Meyer, Stephan/0000-0003-3315-4332; Stark, Antony/0000-0002-2718-9996; Reichardt, Christian/0000-0003-2226-9169; Dobbs, Matt/0000-0001-7166-6422; Mohr, Joseph/0000-0002-6875-2087; Aird, Kenneth/0000-0003-1441-9518; Chang, Clarence/0000-0002-6311-0448</t>
  </si>
  <si>
    <t>National Science Foundation (NSF) [ANT-0638937, ANT-0130612, PHY-0114422]; United States Antarctic Program; Raytheon Polar Services Company; Kavli Foundation; Gordon and Betty Moore Foundation; Office of Science of the U.S. Department of Energy [DE-AC02-05CH11231]; National Sciences and Engineering Research Council of Canada; Quebec Fonds de recherche sur la nature et les technologies; Canadian Institute for Advanced Research; Fermi Fellowship; GAAN Fellowship; Miller Institute for Basic Research in Science, University of California Berkeley; Alfred P. Sloan Research Fellowship; KICP Fellowships; STFC [ST/G002711/1] Funding Source: UKRI</t>
  </si>
  <si>
    <t>National Science Foundation (NSF)(National Science Foundation (NSF)); United States Antarctic Program; Raytheon Polar Services Company; Kavli Foundation; Gordon and Betty Moore Foundation(Gordon and Betty Moore Foundation); Office of Science of the U.S. Department of Energy(United States Department of Energy (DOE)); National Sciences and Engineering Research Council of Canada(Natural Sciences and Engineering Research Council of Canada (NSERC)); Quebec Fonds de recherche sur la nature et les technologies; Canadian Institute for Advanced Research(Canadian Institute for Advanced Research (CIFAR)); Fermi Fellowship(United States Department of Energy (DOE)University of Chicago); GAAN Fellowship; Miller Institute for Basic Research in Science, University of California Berkeley(University of California System); Alfred P. Sloan Research Fellowship(Alfred P. Sloan Foundation); KICP Fellowships; STFC(UK Research &amp; Innovation (UKRI)Science &amp; Technology Facilities Council (STFC))</t>
  </si>
  <si>
    <t>We thank Marco Viero and Guilaine Lagache for comparison of calculations as well as Andrew Blain, Douglas Scott, Rashid Sunyaev, Simon White, and George Efstathiou for useful conversations. The SPT team gratefully acknowledges the contributions to the design and construction of the telescope by S. Busetti, E. Chauvin, T. Hughes, P. Huntley, and E. Nichols and his team of ironworkers. We also thank the National Science Foundation (NSF) Office of Polar Programs, the United States Antarctic Program, and the Raytheon Polar Services Company for their support of the project. We are grateful for professional support from the staff of the South Pole station. We thank T. Lanting, J. Leong, A. Loehr, W. Lu, M. Runyan, D. Schwan, M. Sharp, and C. Greer for their early contributions to the SPT project, and J. Joseph and C. Vu for their contributions to the electronics.; The South Pole Telescope is supported by the National Science Foundation through grants ANT-0638937 and ANT-0130612. Partial support is also provided by the NSF Physics Frontier Center grant PHY-0114422 to the Kavli Institute of Cosmological Physics at the University of Chicago, the Kavli Foundation, and the Gordon and Betty Moore Foundation. This research used resources of the National Energy Research Scientific Computing Center, which is supported by the Office of Science of the U.S. Department of Energy under Contract No. DE-AC02-05CH11231. The McGill group acknowledges funding from the National Sciences and Engineering Research Council of Canada, the Quebec Fonds de recherche sur la nature et les technologies, and the Canadian Institute for Advanced Research. The following individuals acknowledge additional support: J.J.M. from a Fermi Fellowship, Z.S. from a GAAN Fellowship, A.T.L. from the Miller Institute for Basic Research in Science, University of California Berkeley, N.W.H. from an Alfred P. Sloan Research Fellowship, and K.S., B.A.B., and E.R.S. from KICP Fellowships.</t>
  </si>
  <si>
    <t>AUG 1</t>
  </si>
  <si>
    <t>10.1088/0004-637X/718/2/632</t>
  </si>
  <si>
    <t>626OV</t>
  </si>
  <si>
    <t>WOS:000279976200005</t>
  </si>
  <si>
    <t>Abbasi, R; Abdou, Y; Abu-Zayyad, T; Adams, J; Aguilar, JA; Ahlers, M; Andeen, K; Auffenberg, J; Bai, X; Baker, M; Barwick, SW; Bay, R; Alba, JLB; Beattie, K; Beatty, JJ; Bechet, S; Becker, JK; Becker, KH; Benabderrahmane, ML; BenZvi, S; Berdermann, J; Berghaus, P; Berley, D; Bernardini, E; Bertrand, D; Besson, DZ; Bissok, M; Blaufuss, E; Boersma, DJ; Bohm, C; Böser, S; Botner, O; Bradley, L; Braun, J; Buitink, S; Carson, M; Chirkin, D; Christy, B; Clem, J; Clevermann, F; Cohen, S; Colnard, C; Cowen, DF; D'Agostino, MV; Danninger, M; Davis, JC; De Clercq, C; Demirörs, L; Depaepe, O; Descamps, F; Desiati, P; de Vries-Uiterweerd, G; DeYoung, T; Diaz-Velez, JC; Dierckxsens, M; Dreyer, J; Dumm, JP; Duvoort, MR; Ehrlich, R; Eisch, J; Ellsworth, RW; Engdegard, O; Euler, S; Evenson, PA; Fadiran, O; Fazely, AR; Feusels, T; Filimonov, K; Finley, C; Foerster, MM; Fox, BD; Franckowiak, A; Franke, R; Gaisser, TK; Gallagher, J; Geisler, M; Gerhardt, L; Gladstone, L; Glüsenkamp, T; Goldschmidt, A; Goodman, JA; Grant, D; Griesel, T; Gross, A; Grullon, S; Gurtner, M; Ha, C; Hallgren, A; Halzen, F; Han, K; Hanson, K; Helbing, K; Herquet, P; Hickford, S; Hill, GC; Hoffman, KD; Homeier, A; Hoshina, K; Hubert, D; Huelsnitz, W; Hülss, JP; Hulth, PO; Hultqvist, K; Hussain, S; Ishihara, A; Jacobsen, J; Japaridze, GS; Johansson, H; Joseph, JM; Kampert, KH; Karg, T; Karle, A; Kelley, JL; Kemming, N; Kenny, P; Kiryluk, J; Kislat, F; Klein, SR; Knops, S; Köhne, JH; Kohnen, G; Kolanoski, H; Köpke, L; Koskinen, DJ; Kowalski, M; Kowarik, T; Krasberg, M; Krings, T; Kroll, G; Kuehn, K; Kuwabara, T; Labare, M; Lafebre, S; Laihem, K; Landsman, H; Lauer, R; Lehmann, R; Lennarz, D; Lünemann, J; Madsen, J; Majumdar, P; Marotta, A; Maruyama, R; Mase, K; Matis, HS; Matusik, M; Meagher, K; Merck, M; Mészáros, P; Meures, T; Middell, E; Milke, N; Miller, J; Montaruli, T; Morse, R; Movit, SM; Nahnhauer, R; Nam, JW; Naumann, U; Niessen, P; Nygren, DR; Odrowski, S; Olivas, A; Olivo, M; O'Murchadha, A; Ono, M; Panknin, S; Paul, L; de los Heros, CP; Petrovic, J; Piegsa, A; Pieloth, D; Porrata, R; Posselt, J; Price, PB; Prikockis, M; Przybylski, GT; Rawlins, K; Redl, P; Resconi, E; Rhode, W; Ribordy, M; Rizzo, A; Rodrigues, JP; Roth, P; Rothmaier, F; Rott, C; Roucelle, C; Ruhe, T; Rutledge, D; Ruzybayev, B; Ryckbosch, D; Sander, HG; Santander, M; Sarkar, S; Schatto, K; Schlenstedt, S; Schmidt, T; Schukraft, A; Schultes, A; Schulz, O; Schunck, M; Seckel, D; Semburg, B; Seo, SH; Sestayo, Y; Seunarine, S; Silvestri, A; Slipak, A; Spiczak, GM; Spiering, C; Stamatikos, M; Stanev, T; Stephens, G; Stezelberger, T; Stokstad, RG; Stoyanov, S; Strahler, EA; Straszheim, T; Sullivan, GW; Swillens, Q; Taavola, H; Taboada, I; Tamburro, A; Tarasova, O; Tepe, A; Ter-Antonyan, S; Tilav, S; Toale, PA; Toscano, S; Tosi, D; Turcan, D; van Eijndhoven, N; Vandenbroucke, J; Van Overloop, A; van Santen, J; Voge, M; Voigt, B; Walck, C; Waldenmaier, T; Wallraff, M; Walter, M; Weaver, C; Wendt, C; Westerhoff, S; Whitehorn, N; Wiebe, K; Wiebusch, CH; Wikström, G; Williams, DR; Wischnewski, R; Wissing, H; Wolf, M; Woschnagg, K; Xu, C; Xu, XW; Yodh, G; Yoshida, S; Zarzhitsky, P</t>
  </si>
  <si>
    <t>Abbasi, R.; Abdou, Y.; Abu-Zayyad, T.; Adams, J.; Aguilar, J. A.; Ahlers, M.; Andeen, K.; Auffenberg, J.; Bai, X.; Baker, M.; Barwick, S. W.; Bay, R.; Alba, J. L. Bazo; Beattie, K.; Beatty, J. J.; Bechet, S.; Becker, J. K.; Becker, K. -H.; Benabderrahmane, M. L.; BenZvi, S.; Berdermann, J.; Berghaus, P.; Berley, D.; Bernardini, E.; Bertrand, D.; Besson, D. Z.; Bissok, M.; Blaufuss, E.; Boersma, D. J.; Bohm, C.; Boeser, S.; Botner, O.; Bradley, L.; Braun, J.; Buitink, S.; Carson, M.; Chirkin, D.; Christy, B.; Clem, J.; Clevermann, F.; Cohen, S.; Colnard, C.; Cowen, D. F.; D'Agostino, M. V.; Danninger, M.; Davis, J. C.; De Clercq, C.; Demiroers, L.; Depaepe, O.; Descamps, F.; Desiati, P.; de Vries-Uiterweerd, G.; DeYoung, T.; Diaz-Velez, J. C.; Dierckxsens, M.; Dreyer, J.; Dumm, J. P.; Duvoort, M. R.; Ehrlich, R.; Eisch, J.; Ellsworth, R. W.; Engdegard, O.; Euler, S.; Evenson, P. A.; Fadiran, O.; Fazely, A. R.; Feusels, T.; Filimonov, K.; Finley, C.; Foerster, M. M.; Fox, B. D.; Franckowiak, A.; Franke, R.; Gaisser, T. K.; Gallagher, J.; Geisler, M.; Gerhardt, L.; Gladstone, L.; Gluesenkamp, T.; Goldschmidt, A.; Goodman, J. A.; Grant, D.; Griesel, T.; Gross, A.; Grullon, S.; Gurtner, M.; Ha, C.; Hallgren, A.; Halzen, F.; Han, K.; Hanson, K.; Helbing, K.; Herquet, P.; Hickford, S.; Hill, G. C.; Hoffman, K. D.; Homeier, A.; Hoshina, K.; Hubert, D.; Huelsnitz, W.; Huelss, J.-P.; Hulth, P. O.; Hultqvist, K.; Hussain, S.; Ishihara, A.; Jacobsen, J.; Japaridze, G. S.; Johansson, H.; Joseph, J. M.; Kampert, K. -H.; Karg, T.; Karle, A.; Kelley, J. L.; Kemming, N.; Kenny, P.; Kiryluk, J.; Kislat, F.; Klein, S. R.; Knops, S.; Koehne, J.-H.; Kohnen, G.; Kolanoski, H.; Koepke, L.; Koskinen, D. J.; Kowalski, M.; Kowarik, T.; Krasberg, M.; Krings, T.; Kroll, G.; Kuehn, K.; Kuwabara, T.; Labare, M.; Lafebre, S.; Laihem, K.; Landsman, H.; Lauer, R.; Lehmann, R.; Lennarz, D.; Luenemann, J.; Madsen, J.; Majumdar, P.; Marotta, A.; Maruyama, R.; Mase, K.; Matis, H. S.; Matusik, M.; Meagher, K.; Merck, M.; Meszaros, P.; Meures, T.; Middell, E.; Milke, N.; Miller, J.; Montaruli, T.; Morse, R.; Movit, S. M.; Nahnhauer, R.; Nam, J. W.; Naumann, U.; Niessen, P.; Nygren, D. R.; Odrowski, S.; Olivas, A.; Olivo, M.; O'Murchadha, A.; Ono, M.; Panknin, S.; Paul, L.; de los Heros, C. Perez; Petrovic, J.; Piegsa, A.; Pieloth, D.; Porrata, R.; Posselt, J.; Price, P. B.; Prikockis, M.; Przybylski, G. T.; Rawlins, K.; Redl, P.; Resconi, E.; Rhode, W.; Ribordy, M.; Rizzo, A.; Rodrigues, J. P.; Roth, P.; Rothmaier, F.; Rott, C.; Roucelle, C.; Ruhe, T.; Rutledge, D.; Ruzybayev, B.; Ryckbosch, D.; Sander, H. -G.; Santander, M.; Sarkar, S.; Schatto, K.; Schlenstedt, S.; Schmidt, T.; Schukraft, A.; Schultes, A.; Schulz, O.; Schunck, M.; Seckel, D.; Semburg, B.; Seo, S. H.; Sestayo, Y.; Seunarine, S.; Silvestri, A.; Slipak, A.; Spiczak, G. M.; Spiering, C.; Stamatikos, M.; Stanev, T.; Stephens, G.; Stezelberger, T.; Stokstad, R. G.; Stoyanov, S.; Strahler, E. A.; Straszheim, T.; Sullivan, G. W.; Swillens, Q.; Taavola, H.; Taboada, I.; Tamburro, A.; Tarasova, O.; Tepe, A.; Ter-Antonyan, S.; Tilav, S.; Toale, P. A.; Toscano, S.; Tosi, D.; Turcan, D.; van Eijndhoven, N.; Vandenbroucke, J.; Van Overloop, A.; van Santen, J.; Voge, M.; Voigt, B.; Walck, C.; Waldenmaier, T.; Wallraff, M.; Walter, M.; Weaver, Ch.; Wendt, C.; Westerhoff, S.; Whitehorn, N.; Wiebe, K.; Wiebusch, C. H.; Wikstroem, G.; Williams, D. R.; Wischnewski, R.; Wissing, H.; Wolf, M.; Woschnagg, K.; Xu, C.; Xu, X. W.; Yodh, G.; Yoshida, S.; Zarzhitsky, P.</t>
  </si>
  <si>
    <t>MEASUREMENT OF THE ANISOTROPY OF COSMIC-RAY ARRIVAL DIRECTIONS WITH ICECUBE</t>
  </si>
  <si>
    <t>ASTROPHYSICAL JOURNAL LETTERS</t>
  </si>
  <si>
    <t>cosmic rays; neutrinos</t>
  </si>
  <si>
    <t>We report the first observation of an anisotropy in the arrival direction of cosmic rays with energies in the multi-TeV region in the Southern sky using data from the IceCube detector. Between 2007 June and 2008 March, the partially deployed IceCube detector was operated in a configuration with 1320 digital optical sensors distributed over 22 strings at depths between 1450 and 2450 m inside the Antarctic ice. IceCube is a neutrino detector, but the data are dominated by a large background of cosmic-ray muons. Therefore, the background data are suitable for high-statistics studies of cosmic rays in the southern sky. The data include 4.3 billion muons produced by downward-going cosmic-ray interactions in the atmosphere; these events were reconstructed with a median angular resolution of 3 degrees and a median energy of similar to 20 TeV. Their arrival direction distribution exhibits an anisotropy in right ascension with a first-harmonic amplitude of (6.4 +/- 0.2 stat. +/- 0.8 syst.) x 10(-4).</t>
  </si>
  <si>
    <t>[Abbasi, R.; Aguilar, J. A.; Andeen, K.; Baker, M.; BenZvi, S.; Berghaus, P.; Braun, J.; Chirkin, D.; Desiati, P.; Diaz-Velez, J. C.; Dumm, J. P.; Eisch, J.; Gladstone, L.; Grullon, S.; Halzen, F.; Hanson, K.; Hill, G. C.; Hoshina, K.; Jacobsen, J.; Karle, A.; Kelley, J. L.; Krasberg, M.; Landsman, H.; Maruyama, R.; Merck, M.; Morse, R.; O'Murchadha, A.; Rodrigues, J. P.; Santander, M.; Toscano, S.; van Santen, J.; Weaver, Ch.; Wendt, C.; Westerhoff, S.; Whitehorn, N.] Univ Wisconsin, Dept Phys, Madison, WI 53706 USA; [Abdou, Y.; Carson, M.; Descamps, F.; de Vries-Uiterweerd, G.; Feusels, T.; Ryckbosch, D.; Van Overloop, A.] Univ Ghent, Dept Subat &amp; Radiat Phys, B-9000 Ghent, Belgium; [Abu-Zayyad, T.; Madsen, J.; Spiczak, G. M.] Univ Wisconsin, Dept Phys, River Falls, WI 54022 USA; [Adams, J.; Gross, A.; Han, K.; Hickford, S.] Univ Canterbury, Dept Phys &amp; Astron, Christchurch 1, New Zealand; [Ahlers, M.; Sarkar, S.] Univ Oxford, Dept Phys, Oxford OX1 3NP, England; [Auffenberg, J.; Becker, K. -H.; Gurtner, M.; Helbing, K.; Kampert, K. -H.; Karg, T.; Matusik, M.; Naumann, U.; Posselt, J.; Schultes, A.; Semburg, B.] Univ Wuppertal, Dept Phys, D-42119 Wuppertal, Germany; [Bai, X.; Clem, J.; Evenson, P. A.; Gaisser, T. K.; Hussain, S.; Kuwabara, T.; Niessen, P.; Ruzybayev, B.; Seckel, D.; Stanev, T.; Stoyanov, S.; Tilav, S.; Xu, C.] Univ Delaware, Bartol Res Inst, Newark, DE 19716 USA; [Bai, X.; Clem, J.; Evenson, P. A.; Gaisser, T. K.; Hussain, S.; Kuwabara, T.; Niessen, P.; Ruzybayev, B.; Seckel, D.; Stanev, T.; Stoyanov, S.; Tilav, S.; Xu, C.] Univ Delaware, Dept Phys &amp; Astron, Newark, DE 19716 USA; [Barwick, S. W.; Nam, J. W.; Silvestri, A.; Yodh, G.] Univ Calif Irvine, Dept Phys &amp; Astron, Irvine, CA 92697 USA; [Bay, R.; D'Agostino, M. V.; Filimonov, K.; Gerhardt, L.; Kiryluk, J.; Klein, S. R.; Porrata, R.; Price, P. B.; Vandenbroucke, J.; Woschnagg, K.] Univ Calif Berkeley, Dept Phys, Berkeley, CA 94720 USA; [Alba, J. L. Bazo; Benabderrahmane, M. L.; Berdermann, J.; Bernardini, E.; Franke, R.; Kislat, F.; Lauer, R.; Majumdar, P.; Middell, E.; Nahnhauer, R.; Schlenstedt, S.; Spiering, C.; Tarasova, O.; Tosi, D.; Voigt, B.; Walter, M.; Wischnewski, R.] DESY, D-15735 Zeuthen, Germany; [Beattie, K.; Buitink, S.; Gerhardt, L.; Goldschmidt, A.; Joseph, J. M.; Kiryluk, J.; Klein, S. R.; Matis, H. S.; Nygren, D. R.; Przybylski, G. T.; Stezelberger, T.; Stokstad, R. G.] Univ Calif Berkeley, Lawrence Berkeley Lab, Berkeley, CA 94720 USA; [Beatty, J. J.; Davis, J. C.; Kuehn, K.; Rott, C.; Stamatikos, M.] Ohio State Univ, Dept Phys, Columbus, OH 43210 USA; [Beatty, J. J.; Davis, J. C.; Kuehn, K.; Rott, C.; Stamatikos, M.] Ohio State Univ, Ctr Cosmol &amp; Astroparticle Phys, Columbus, OH 43210 USA; [Beatty, J. J.] Ohio State Univ, Dept Astron, Columbus, OH 43210 USA; [Bechet, S.; Bertrand, D.; Dierckxsens, M.; Hanson, K.; Labare, M.; Marotta, A.; Petrovic, J.; Swillens, Q.] Univ Libre Bruxelles, Sci Fac CP230, B-1050 Brussels, Belgium; [Becker, J. K.; Dreyer, J.; Olivo, M.] Ruhr Univ Bochum, Fak Phys &amp; Astron, D-44780 Bochum, Germany; [Berley, D.; Blaufuss, E.; Christy, B.; Ehrlich, R.; Ellsworth, R. W.; Goodman, J. A.; Hoffman, K. D.; Huelsnitz, W.; Meagher, K.; Olivas, A.; Redl, P.; Roth, P.; Schmidt, T.; Straszheim, T.; Sullivan, G. W.; Turcan, D.; Wissing, H.] Univ Maryland, Dept Phys, College Pk, MD 20742 USA; [Besson, D. Z.; Kenny, P.] Univ Kansas, Dept Phys &amp; Astron, Lawrence, KS 66045 USA; [Bissok, M.; Boersma, D. J.; Euler, S.; Geisler, M.; Gluesenkamp, T.; Huelss, J.-P.; Knops, S.; Krings, T.; Laihem, K.; Lennarz, D.; Meures, T.; Paul, L.; Schukraft, A.; Schunck, M.; Wallraff, M.; Wiebusch, C. H.] Rhein Westfal TH Aachen, Inst Phys 3, D-52056 Aachen, Germany; [Bohm, C.; Danninger, M.; Finley, C.; Hulth, P. O.; Hultqvist, K.; Johansson, H.; Seo, S. H.; Walck, C.; Wikstroem, G.] Stockholm Univ, Oskar Klein Ctr, SE-10691 Stockholm, Sweden; [Bohm, C.; Danninger, M.; Finley, C.; Hulth, P. O.; Hultqvist, K.; Johansson, H.; Seo, S. H.; Walck, C.; Wikstroem, G.] Stockholm Univ, Dept Phys, SE-10691 Stockholm, Sweden; [Boeser, S.; Franckowiak, A.; Homeier, A.; Kowalski, M.; Panknin, S.] Univ Bonn, Inst Phys, D-53115 Bonn, Germany; [Botner, O.; Engdegard, O.; Hallgren, A.; Miller, J.; Olivo, M.; de los Heros, C. Perez; Taavola, H.] Uppsala Univ, Dept Phys &amp; Astron, S-75120 Uppsala, Sweden; [Bradley, L.; Cowen, D. F.; DeYoung, T.; Foerster, M. M.; Fox, B. D.; Ha, C.; Koskinen, D. J.; Lafebre, S.; Meszaros, P.; Prikockis, M.; Rutledge, D.; Slipak, A.; Stephens, G.; Toale, P. A.] Penn State Univ, Dept Phys, University Pk, PA 16802 USA; [Clevermann, F.; Koehne, J.-H.; Milke, N.; Pieloth, D.; Rhode, W.; Ruhe, T.] TU Dortmund Univ, Dept Phys, D-44221 Dortmund, Germany; [Cohen, S.; Demiroers, L.; Ribordy, M.] Ecole Polytech Fed Lausanne, High Energy Phys Lab, CH-1015 Lausanne, Switzerland; [Colnard, C.; Gross, A.; Odrowski, S.; Resconi, E.; Roucelle, C.; Schulz, O.; Sestayo, Y.; Voge, M.; Wolf, M.] Max Planck Inst Kernphys, D-69177 Heidelberg, Germany; [Cowen, D. F.; Meszaros, P.; Movit, S. M.] Penn State Univ, Dept Astron &amp; Astrophys, University Pk, PA 16802 USA; [De Clercq, C.; Depaepe, O.; Hubert, D.; Rizzo, A.; Strahler, E. A.; van Eijndhoven, N.] Vrije Univ Brussel, Dienst ELEM, B-1050 Brussels, Belgium; [Duvoort, M. R.] Univ Utrecht, Dept Phys &amp; Astron, SRON, NL-3584 CC Utrecht, Netherlands; [Fadiran, O.; Japaridze, G. S.] Clark Atlanta Univ, CTSPS, Atlanta, GA 30314 USA; [Fazely, A. R.; Ter-Antonyan, S.; Xu, X. W.] Southern Univ, Dept Phys, Baton Rouge, LA 70813 USA; [Gallagher, J.] Univ Wisconsin, Dept Astron, Madison, WI 53706 USA; [Grant, D.] Univ Alberta, Dept Phys, Edmonton, AB T6G 2G7, Canada; [Griesel, T.; Koepke, L.; Kowarik, T.; Kroll, G.; Luenemann, J.; Piegsa, A.; Rothmaier, F.; Sander, H. -G.; Schatto, K.; Wiebe, K.] Johannes Gutenberg Univ Mainz, Inst Phys, D-55099 Mainz, Germany; [Herquet, P.; Kohnen, G.] Univ Mons, B-7000 Mons, Belgium; [Ishihara, A.; Mase, K.; Ono, M.; Yoshida, S.] Chiba Univ, Dept Phys, Chiba 2638522, Japan; [Kemming, N.; Kolanoski, H.; Lehmann, R.; Waldenmaier, T.] Humboldt Univ, Inst Phys, D-12489 Berlin, Germany; [Rawlins, K.] Univ Alaska, Dept Phys &amp; Astron, Anchorage, AK 99508 USA; [Seunarine, S.] Univ W Indies, Dept Phys, BB-11000 Bridgetown, Barbados; [Taboada, I.; Tepe, A.] Georgia Inst Technol, Sch Phys, Atlanta, GA 30332 USA; [Taboada, I.; Tepe, A.] Georgia Inst Technol, Ctr Relativist Astrophys, Atlanta, GA 30332 USA; [Williams, D. R.; Zarzhitsky, P.] Univ Alabama, Dept Phys &amp; Astron, Tuscaloosa, AL 35487 USA; [Stamatikos, M.] NASA, Goddard Space Flight Ctr, Greenbelt, MD 20771 USA</t>
  </si>
  <si>
    <t>University of Wisconsin System; University of Wisconsin Madison; Ghent University; University of Wisconsin System; University of Canterbury; University of Oxford; University of Wuppertal; University of Delaware; University of Delaware; University of California System; University of California Irvine; University of California System; University of California Berkeley; Helmholtz Association; Deutsches Elektronen-Synchrotron (DESY); United States Department of Energy (DOE); Lawrence Berkeley National Laboratory; University of California System; University of California Berkeley; University System of Ohio; Ohio State University; University System of Ohio; Ohio State University; University System of Ohio; Ohio State University; Universite Libre de Bruxelles; Ruhr University Bochum; University of Wurzburg; University System of Maryland; University of Maryland College Park; University of Kansas; RWTH Aachen University; Oskar Klein Centre; Stockholm University; Stockholm University; University of Bonn; Uppsala University; Pennsylvania Commonwealth System of Higher Education (PCSHE); Pennsylvania State University; Pennsylvania State University - University Park; Dortmund University of Technology; Swiss Federal Institutes of Technology Domain; Ecole Polytechnique Federale de Lausanne; Max Planck Society; Pennsylvania Commonwealth System of Higher Education (PCSHE); Pennsylvania State University; Pennsylvania State University - University Park; Vrije Universiteit Brussel; Utrecht University; Clark Atlanta University; Southern University System; Southern University &amp; A&amp;M College; University of Wisconsin System; University of Wisconsin Madison; University of Alberta; Johannes Gutenberg University of Mainz; University of Mons; Chiba University; Humboldt University of Berlin; University of Alaska System; University of Alaska Anchorage; University West Indies Mona Jamaica; University of the West Indies Open Campus; University System of Georgia; Georgia Institute of Technology; University System of Georgia; Georgia Institute of Technology; University of Alabama System; University of Alabama Tuscaloosa; National Aeronautics &amp; Space Administration (NASA); NASA Goddard Space Flight Center</t>
  </si>
  <si>
    <t>rasha.abbasi@icecube.wisc.edu; paolo.desiati@icecube.wisc.edu</t>
  </si>
  <si>
    <t>Williams, David/HKN-3732-2023; Seo, Seon-Hee/M-1189-2019; Resconi, Elisa/I-3874-2016; Rott, Carsten/ABB-1304-2021; Venkateswararao, Gollakaram/B-5490-2015; Sarkar, Subir/GPT-4902-2022; Bernardini, Elisa/AAA-4810-2020; Sarkar, Subir/G-5978-2011; Goodman, Jordan A/J-4188-2018; Díaz Vélez, Juan Carlos/T-2788-2018; Ha, Chang Hyon/AAR-8120-2021; Abdou, Yasser/JJE-5519-2023; Basu, Sumit/ABG-4301-2021; Laihem, Karim/K-3835-2015; Tjus, Julia/G-8145-2012; Tamburro, Alessio/A-5703-2013; Beatty, James/D-9310-2011; Matis, Howard S/HMV-9747-2023; Seo, Seon Hee/K-9250-2014; sanchez, juan/GSD-8167-2022; Auffenberg, Jan/D-3954-2014; Buitink, Stijn/F-2113-2016; Whitehorn, Nathan/HDM-8864-2022; Maruyama, Reina H/A-1064-2013; Wiebusch, Christopher H.V./G-6490-2012; Hubert, Daan/I-1096-2019; Naidu, Rajagopal/K-3038-2016; DeYoung, Tyce/O-6895-2019; Botner, Olga/A-9110-2013; Matis, Howard/AAO-2082-2021; Ha, C/GZL-9046-2022; Díaz Vélez, Juan Carlos/AAD-5211-2022; Taavola, Henric/B-4497-2011; Petrovic, Jelena/JUV-4849-2023; Hallgren, Allan/A-8963-2013; Benabderrahmane, Mohamed Lotfi/JFB-3165-2023; Aguilar Sanchez, Juan Antonio/H-4467-2015; Kowalski, Marek/G-5546-2012; Ahlers, Markus/V-8757-2017; Koskinen, David/G-3236-2014</t>
  </si>
  <si>
    <t>Seo, Seon-Hee/0000-0002-1496-624X; Resconi, Elisa/0000-0003-0705-2770; Rott, Carsten/0000-0002-6958-6033; Venkateswararao, Gollakaram/0000-0002-0327-7764; Bernardini, Elisa/0000-0003-3108-1141; Sarkar, Subir/0000-0002-3542-858X; Díaz Vélez, Juan Carlos/0000-0002-0087-0693; Abdou, Yasser/0000-0001-7098-0487; Basu, Sumit/0000-0003-0687-8124; Tjus, Julia/0000-0002-1748-7367; Beatty, James/0000-0003-0481-4952; Matis, Howard S/0000-0003-0764-4389; Auffenberg, Jan/0000-0002-1185-9094; Buitink, Stijn/0000-0002-6177-497X; Whitehorn, Nathan/0000-0002-3157-0407; Maruyama, Reina H/0000-0003-2794-512X; Wiebusch, Christopher H.V./0000-0002-6418-3008; Hubert, Daan/0000-0002-4365-865X; DeYoung, Tyce/0000-0003-4873-3783; Díaz Vélez, Juan Carlos/0000-0002-0087-0693; Taavola, Henric/0000-0002-2604-2810; Petrovic, Jelena/0000-0001-8535-7807; Benabderrahmane, Mohamed Lotfi/0000-0003-4410-5886; Beattie, Keith/0000-0001-5026-2023; De Clercq, Catherine/0000-0001-5266-7059; Perez de los Heros, Carlos/0000-0002-2084-5866; Bazo Alba, Jose Luis/0000-0001-9148-9101; Danninger, Matthias/0000-0002-7807-7484; Kappes, Alexander/0000-0003-1315-3711; Aguilar Sanchez, Juan Antonio/0000-0003-2252-9514; Kowalski, Marek/0000-0001-8594-8666; Schukraft, Anne/0000-0002-9112-5479; Meagher, Kevin/0000-0003-3967-1533; Kolanoski, Hermann/0000-0003-0435-2524; Ahlers, Markus/0000-0003-0709-5631; Yoshida, Shigeru/0000-0003-2480-5105; Kampert, Karl-Heinz/0000-0002-2805-0195; Franckowiak, Anna/0000-0002-5605-2219; van Eijndhoven, Nick/0000-0001-5558-3328; Carson, Michael/0000-0003-0400-7819; Lennarz, Dirk/0000-0002-0614-7359; Montaruli, Teresa/0000-0001-5014-2152; Klein, Spencer/0000-0003-2841-6553; BenZvi, Segev/0000-0001-5537-4710; Karg, Timo/0000-0003-3251-2126; Meszaros, Peter/0000-0002-4132-1746; Toscano, Simona/0000-0002-1860-2240; Santander, Juan Marcos/0000-0001-7297-8217; Seunarine, Suruj/0000-0003-3272-6896; Spiczak, Glenn/0000-0002-0030-0519; Rhode, Wolfgang/0000-0003-2636-5000; Koskinen, David/0000-0002-0514-5917; Ter-Antonyan, Samvel/0000-0002-5788-1369; Ruhe, Tim/0000-0002-4080-9563; Hill, Gary/0000-0001-8881-6802; Helbing, Klaus/0000-0003-2072-4172; Andeen, Karen/0000-0001-9394-0007; Ha, Chang Hyon/0000-0002-9598-8589; Desiati, Paolo/0000-0001-9768-1858; Lauer, Robert/0000-0003-1933-7861; Taboada, Ignacio/0000-0003-3509-3457</t>
  </si>
  <si>
    <t>U.S. National Science Foundation-Office of Polar Program; U.S. National Science Foundation-Physics Division; University of Wisconsin Alumni Research Foundation; U.S. Department of Energy; National Energy Research Scientific Computing Center; Division Of Physics; Direct For Mathematical &amp; Physical Scien [0856253] Funding Source: National Science Foundation</t>
  </si>
  <si>
    <t>U.S. National Science Foundation-Office of Polar Program(National Science Foundation (NSF)); U.S. National Science Foundation-Physics Division(National Science Foundation (NSF)); University of Wisconsin Alumni Research Foundation; U.S. Department of Energy(United States Department of Energy (DOE)); National Energy Research Scientific Computing Center; Division Of Physics; Direct For Mathematical &amp; Physical Scien(National Science Foundation (NSF)NSF - Directorate for Mathematical &amp; Physical Sciences (MPS))</t>
  </si>
  <si>
    <t>We acknowledge the support from the following agencies: U.S. National Science Foundation-Office of Polar Program, U.S. National Science Foundation-Physics Division, University of Wisconsin Alumni Research Foundation, U.S. Department of Energy, and National Energy Research Scientific Computing Center, the Louisiana Optical Network Initiative (LONI) grid computing resources; Swedish Research Council, Swedish Polar Research Secretariat, Swedish National Infrastructure for Computing (SNIC), and Knut and Alice</t>
  </si>
  <si>
    <t>2041-8205</t>
  </si>
  <si>
    <t>ASTROPHYS J LETT</t>
  </si>
  <si>
    <t>Astrophys. J. Lett.</t>
  </si>
  <si>
    <t>L194</t>
  </si>
  <si>
    <t>L198</t>
  </si>
  <si>
    <t>10.1088/2041-8205/718/2/L194</t>
  </si>
  <si>
    <t>636EI</t>
  </si>
  <si>
    <t>Green Submitted, Bronze, Green Published</t>
  </si>
  <si>
    <t>WOS:000280710700031</t>
  </si>
  <si>
    <t>Moller, SJ; Lee, JD; Commane, R; Edwards, P; Heard, DE; Hopkins, J; Ingham, T; Mahajan, AS; Oetjen, H; Plane, J; Roscoe, H; Lewis, AC; Carpenter, LJ</t>
  </si>
  <si>
    <t>Moller, S. J.; Lee, J. D.; Commane, R.; Edwards, P.; Heard, D. E.; Hopkins, J.; Ingham, T.; Mahajan, A. S.; Oetjen, H.; Plane, J.; Roscoe, H.; Lewis, A. C.; Carpenter, L. J.</t>
  </si>
  <si>
    <t>Measurements of nitrogen oxides from Hudson Bay: Implications for NOx release from snow and ice covered surfaces</t>
  </si>
  <si>
    <t>NOx; Snow-atmosphere interactions; COBRA; NOx emission; Box modelling; Photochemistry</t>
  </si>
  <si>
    <t>BOUNDARY-LAYER HALOGENS; OZONE CONCENTRATIONS; OPTICAL-PROPERTIES; PHOTOCHEMICAL NO; SEA-ICE; CHEMISTRY; FLUXES; HNO3; HONO; HYDROCARBONS</t>
  </si>
  <si>
    <t>Measurements of NO and NO2 were made at a surface site (55.28 degrees N, 77.77 degrees W) near Kuujjuarapik, Canada during February and March 2008. NOx mixing ratios ranged from near zero to 350 pptv with emission from snow believed to be the dominant source. The amount of NOx was observed to be dependent on the terrain over which the airmass has passed before reaching the measurement site. The 24 h average NOx emission rates necessary to reproduce observations were calculated using a zero-dimensional box model giving rates ranging from 6.9 x 10(8) molecule cm(-2) s(-1) to 1.2 x 10(9) molecule cm(-2) s(-1) for trajectories over land and from 3.8 x 10(8) molecule cm(-2) s(-1) to 6.6 x 10(8) molecule cm(-2) s(-1) for trajectories over sea ice. These emissions are higher than those suggested by previous studies and indicate the importance of lower latitude snowpack emissions. The difference in emission rate for the two types of snow cover shows the importance of snow depth and underlying surface type for the emission potential of snow-covered areas. (C) 2010 Elsevier Ltd. All rights reserved.</t>
  </si>
  <si>
    <t>[Moller, S. J.; Lee, J. D.; Hopkins, J.; Lewis, A. C.; Carpenter, L. J.] Univ York, Dept Chem, York YO10 5DD, N Yorkshire, England; [Commane, R.; Edwards, P.; Heard, D. E.; Ingham, T.; Mahajan, A. S.; Oetjen, H.; Plane, J.] Univ Leeds, Sch Chem, Leeds LS2 9JT, W Yorkshire, England; [Lee, J. D.; Hopkins, J.; Lewis, A. C.] Univ York, Natl Ctr Atmospher Sci, York YO10 5DD, N Yorkshire, England; [Heard, D. E.; Ingham, T.] Univ Leeds, Natl Ctr Atmospher Sci, Leeds LS2 9JT, W Yorkshire, England; [Roscoe, H.] British Antarctic Survey, Cambridge CB3 0ET, England</t>
  </si>
  <si>
    <t>University of York - UK; University of Leeds; University of York - UK; UK Research &amp; Innovation (UKRI); Natural Environment Research Council (NERC); NERC National Centre for Atmospheric Science; UK Research &amp; Innovation (UKRI); Natural Environment Research Council (NERC); NERC National Centre for Atmospheric Science; University of Leeds; UK Research &amp; Innovation (UKRI); Natural Environment Research Council (NERC); NERC British Antarctic Survey</t>
  </si>
  <si>
    <t>Lee, JD (corresponding author), Univ York, Dept Chem, York YO10 5DD, N Yorkshire, England.</t>
  </si>
  <si>
    <t>jdl3@york.ac.uk</t>
  </si>
  <si>
    <t>Oetjen, Hilke/AAU-5212-2021; Oetjen, Hilke/H-3708-2016; Plane, John M C/C-7444-2015; Commane, Roisin/O-3497-2019; Carpenter, Laura/JPY-0437-2023; lee, sooyoon/JEP-0415-2023; Edwards, Peter M/H-5236-2013; Carpenter, Lucy J/E-6742-2013; Mahajan, Anoop/D-2714-2012; Heard, Dwayne/M-3624-2017; Lewis, Alastair/A-6721-2008</t>
  </si>
  <si>
    <t>Oetjen, Hilke/0000-0002-3542-1337; Oetjen, Hilke/0000-0002-3542-1337; Commane, Roisin/0000-0003-1373-1550; Mahajan, Anoop/0000-0002-2909-5432; Heard, Dwayne/0000-0002-0357-6238; Moller, Sarah/0000-0003-4923-9509; HOPKINS, JAMES/0000-0002-0447-2633; Lee, James D/0000-0001-5397-2872; Lewis, Alastair/0000-0002-4075-3651; Edwards, Peter M./0000-0002-1076-6793; Carpenter, Lucy/0000-0002-6257-3950</t>
  </si>
  <si>
    <t>NERC [NE/D005914/1]; Natural Environment Research Council [ncas10006, NE/E007880/1, ncas10008, bas0100024, NE/D006104/1, NE/D005914/1] Funding Source: researchfish; NERC [NE/D006104/1, NE/D005914/1, bas0100024, ncas10006, ncas10008, NE/E007880/1] Funding Source: UKRI</t>
  </si>
  <si>
    <t>We would like to thank the staff at the Centre d'Etudes Nordique, Whapmagoosti-Kuujjuarapik for all their help and the use of their facilities. We would like to acknowledge Dr R.W. Obbard at the British Antarctic Survey (BAS), for discussions about sampling snow pH and nitrate near Kuujjuarapik, Dr E.W. Wolff at BAS, for suggestions of other available measurements of nitrate in snow in the Arctic and Helen Atkinson at BAS, for snow depth measurements near Kuujjuarapik during the measurement period. This work was supported by a NERC grant, number NE/D005914/1. S. J. Moller thanks NERC for her PhD studentship. We also thank two anonymous reviewers for helpful comments and suggestions.</t>
  </si>
  <si>
    <t>10.1016/j.atmosenv.2010.05.015</t>
  </si>
  <si>
    <t>634WH</t>
  </si>
  <si>
    <t>WOS:000280616100004</t>
  </si>
  <si>
    <t>De Santi, C; Tutino, ML; Mandrich, L; Giuliani, M; Parrilli, E; Del Vecchio, P; de Pascale, D</t>
  </si>
  <si>
    <t>De Santi, Concetta; Tutino, Maria Luisa; Mandrich, Luigi; Giuliani, Maria; Parrilli, Ermenegilda; Del Vecchio, Pompea; de Pascale, Donatella</t>
  </si>
  <si>
    <t>The hormone-sensitive lipase from Psychrobacter sp TA144: New insight in the structural/functional characterization</t>
  </si>
  <si>
    <t>BIOCHIMIE</t>
  </si>
  <si>
    <t>Psychrophilic micro-organisms; Cold-active enzymes; alpha/beta hydrolase fold; Ester synthesis; Esterases; Lipases</t>
  </si>
  <si>
    <t>ALPHA/BETA-HYDROLASE FOLD; CATALYTIC-ACTIVITY; CRYSTAL-STRUCTURE; MORAXELLA TA144; ACTIVE-SITE; GENE; ESTERASE; ENZYMES; CLONING; SEQUENCE</t>
  </si>
  <si>
    <t>Cold-adapted esterases and lipases have been found to be dominant activities throughout the cold marine environment, indicating their importance in bacterial degradation of the organic matter. lip2 Gene from Psychrobacter sp. TA144, a micro-organism isolated from the Antarctic sea water, was cloned and over-expressed in Escherichia coli. The recombinant protein (PsyHSL) accumulated in the insoluble fraction from which it was recovered in active form, purified to homogeneity and deeply characterised. Temperature dependence of PsyHSL activity was typical of psychrophilic enzymes, with an optimal temperature of 35 degrees C at pH 8.0. The enzyme resulted to be active on pNP-esters of fatty acids with acyl chain length from C-2 to C-12 and the preferred substrate was pNP-pentanoate showing a k(cat) = 26.2 +/- 0.1 s(-1), Km = 0.122 +/- 0.006 mM and a k(cat)/K-M = 215 +/- 11 mM(-1) s(-1). The enzyme was strongly inhibited by Hg2+, Zn2+, Cu2+, Fe3+, Mn2+ ions and it resulted to be activated in presence of methanol and acetonitrile, with calculated C-50 values of 1.98 M and 0.92 M, respectively. The region surrounding PsyHSL catalytic site showed an unexpected homology with the human HSL Further, both enzymes are characterised by the presence of an extra N-terminal domain, which role in the human protein has been related to regulative function. To clarify the function of PsyHSL N-terminal domain, a 97 amino acids deleted version of the enzyme was produced in E. coli in soluble form, purified and characterised. This mutant was inactive towards all tested substrates, indicating the involvement of this region in the catalytic process. (C) 2010 Elsevier Masson SAS. All rights reserved.</t>
  </si>
  <si>
    <t>[De Santi, Concetta; Mandrich, Luigi; de Pascale, Donatella] CNR, Inst Prot Biochem, I-80131 Naples, Italy; [Tutino, Maria Luisa; Giuliani, Maria; Parrilli, Ermenegilda] Univ Naples Federico II, Dept Organ Chem &amp; Biochem, I-80126 Naples, Italy; [Tutino, Maria Luisa; Parrilli, Ermenegilda] Univ Naples Federico II, Sch Biotechnol Sci, I-80126 Naples, Italy; [Del Vecchio, Pompea] Univ Naples Federico II, Dept Chem Paolo Corradini, I-80126 Naples, Italy</t>
  </si>
  <si>
    <t>Consiglio Nazionale delle Ricerche (CNR); Istituto di Biochimica delle Proteine (IBP-CNR); University of Naples Federico II; University of Naples Federico II; University of Naples Federico II</t>
  </si>
  <si>
    <t>de Pascale, D (corresponding author), CNR, Inst Prot Biochem, Via Pietro Castellino 3, I-80131 Naples, Italy.</t>
  </si>
  <si>
    <t>d.depascale@ibp.cnr.it</t>
  </si>
  <si>
    <t>parrilli, ermenegilda/K-4616-2016; parrilli, ermenegilda/JAZ-0586-2023; MANDRICH, Luigi/L-7198-2019; Del Vecchio, Pompea/C-8706-2009; TUTINO, MARIA LUISA/L-1834-2013; Mandrich, Luigi/AAH-9328-2020</t>
  </si>
  <si>
    <t>parrilli, ermenegilda/0000-0002-9002-5409; MANDRICH, Luigi/0000-0002-0025-9544; Mandrich, Luigi/0000-0002-0025-9544; Tutino, Maria Luisa/0000-0002-4978-6839; Del Vecchio, Pompea Giuseppina Grazia/0000-0002-9760-3478</t>
  </si>
  <si>
    <t>P.N.R.A. (Programma Nazionale Ricerche in Antartide)</t>
  </si>
  <si>
    <t>This work was supported by P.N.R.A. (Programma Nazionale Ricerche in Antartide 2004). We thank Rosaria Varlese for her excellent technical support with the fermentation units.</t>
  </si>
  <si>
    <t>ELSEVIER FRANCE-EDITIONS SCIENTIFIQUES MEDICALES ELSEVIER</t>
  </si>
  <si>
    <t>ISSY-LES-MOULINEAUX</t>
  </si>
  <si>
    <t>65 RUE CAMILLE DESMOULINS, CS50083, 92442 ISSY-LES-MOULINEAUX, FRANCE</t>
  </si>
  <si>
    <t>0300-9084</t>
  </si>
  <si>
    <t>1638-6183</t>
  </si>
  <si>
    <t>Biochimie</t>
  </si>
  <si>
    <t>10.1016/j.biochi.2010.04.001</t>
  </si>
  <si>
    <t>634HG</t>
  </si>
  <si>
    <t>WOS:000280570800005</t>
  </si>
  <si>
    <t>Parrilli, E; Giuliani, M; Giordano, D; Russo, R; Marino, G; Verde, C; Tutino, ML</t>
  </si>
  <si>
    <t>Parrilli, Ermenegilda; Giuliani, Maria; Giordano, Daniela; Russo, Roberta; Marino, Gennaro; Verde, Cinzia; Tutino, Maria Luisa</t>
  </si>
  <si>
    <t>The role of a 2-on-2 haemoglobin in oxidative and nitrosative stress resistance of Antarctic Pseudoalteromonas haloplanktis TAC125</t>
  </si>
  <si>
    <t>Pseudoalteromonas haloplanktis TAC125; Cold-adapted bacteria; Truncated haemoglobin; Oxygen scavenger</t>
  </si>
  <si>
    <t>NITRIC-OXIDE; TRUNCATED HEMOGLOBIN; BACTERIUM; GENOME; LIGAND; COLD; SECRETION; REDUCTASE; BINDING</t>
  </si>
  <si>
    <t>The 2-on-2 haemoglobins, previously named truncated, are monomeric, low-molecular weight oxygen-binding proteins that share the overall topology with vertebrate haemoglobins. Although several studies on 2-on-2 haemoglobins have been reported, their physiological and biochemical functions are not yet well defined, and various roles have been suggested. The genome of the psychrophilic Antarctic marine bacterium Pseudoalteromonas haloplanktis TAC125 (PhTAC125) is endowed with three genes encoding 2-on-2 haemoglobins. To investigate the function played by one of the three trHbs, PhHbO, a PhTAC125 genomic mutant strain was constructed, in which the encoding gene was knocked-out. The mutant strain was grown under controlled conditions and several aspects of bacterium physiology were compared with those of wild-type cells when dissolved oxygen pressure in solution and growth temperature were changed. Interestingly, inactivation of the PhHbO encoding gene makes the mutant bacterial strain sensitive to high solution oxygen pressure, to H2O2, and to a nitrosating agent, suggesting the involvement of PhHbO in oxidative and nitrosative stress resistance. (C) 2010 Elsevier Masson SAS. All rights reserved.</t>
  </si>
  <si>
    <t>[Parrilli, Ermenegilda; Giuliani, Maria; Marino, Gennaro; Tutino, Maria Luisa] Univ Naples Federico II, Dipartimento Chim Organ &amp; Biochim, I-80126 Naples, Italy; [Parrilli, Ermenegilda; Marino, Gennaro; Tutino, Maria Luisa] Univ Naples Federico II, Fac Sci Biotecnol, I-80126 Naples, Italy; [Giordano, Daniela; Russo, Roberta; Verde, Cinzia] Natl Res Council CNR, IBP, I-80131 Naples, Italy</t>
  </si>
  <si>
    <t>University of Naples Federico II; University of Naples Federico II; Consiglio Nazionale delle Ricerche (CNR); Istituto di Biochimica delle Proteine (IBP-CNR)</t>
  </si>
  <si>
    <t>Tutino, ML (corresponding author), Univ Naples Federico II, Dipartimento Chim Organ &amp; Biochim, Complesso Univ MS Angelo,Via Cinthia 4, I-80126 Naples, Italy.</t>
  </si>
  <si>
    <t>tutino@unina.it</t>
  </si>
  <si>
    <t>parrilli, ermenegilda/JAZ-0586-2023; parrilli, ermenegilda/K-4616-2016; Giordano, Daniela/AFK-7772-2022; TUTINO, MARIA LUISA/L-1834-2013</t>
  </si>
  <si>
    <t>parrilli, ermenegilda/0000-0002-9002-5409; Giordano, Daniela/0000-0002-8891-6245; VERDE, Cinzia/0000-0001-6185-282X; Tutino, Maria Luisa/0000-0002-4978-6839</t>
  </si>
  <si>
    <t>Ministero dell'Universita e della Ricerca Scientifica; Programma Nazionale di Ricerche in Antartide (PNRA)</t>
  </si>
  <si>
    <t>Ministero dell'Universita e della Ricerca Scientifica(Ministry of Education, Universities and Research (MIUR)); Programma Nazionale di Ricerche in Antartide (PNRA)</t>
  </si>
  <si>
    <t>We are grateful to L Boechi and D. Estrin (Departamento de Quimica Inorganica, Analitica y Quimica Fisica/INQUIMAE-CONICET, Facultad de Ciencias Exactas y Naturales, Universidad de Buenos Aires, Ciudad Universitaria, Pabellon II, Buenos Aires, Argentina) for molecular modelling and molecular dynamic simulation of PhHbO. Our tanks to Rosaria Varlese for her technical support with the fermentation experiments. This work was supported by grants of Ministero dell'Universita e della Ricerca Scientifica (PRIN 2007 Prof. Mazzarella) and of Programma Nazionale di Ricerche in Antartide (PNRA) 2004-2006 (Prof. G. Marino). It is in framework of the SCAR programme Evolution and Biodiversity in the Antarctic (EBA) and of the project CAREX (Coordination Action for Research Activities on life in Extreme Environments) EC FP/call 2007.2.2.1.6.</t>
  </si>
  <si>
    <t>10.1016/j.biochi.2010.04.018</t>
  </si>
  <si>
    <t>WOS:000280570800012</t>
  </si>
  <si>
    <t>Toncheva-Panova, T; Pouneva, I; Chernev, G; Minkova, K</t>
  </si>
  <si>
    <t>Toncheva-Panova, T.; Pouneva, I.; Chernev, G.; Minkova, K.</t>
  </si>
  <si>
    <t>INCORPORATION OF SYNECHOCYSTIS SALINA IN HYBRID MATRICES. EFFECT OF UV-B RADIATION ON THE COPPER AND CADMIUM BIOSORPTION</t>
  </si>
  <si>
    <t>copper and cadmium biosorption; hybrids; Synechocystis salina immobilization; UV-B radiation</t>
  </si>
  <si>
    <t>HEAVY-METALS; METABOLISM; ALGAE</t>
  </si>
  <si>
    <t>The isolated Antarctic cyanobacterium Synechocystis salina was embedded in silica hybrid matrices. The ability of the cyanobacterium to remove copper (about 7.6 mg.g(-1) biomass) and cadmium (about 9.0 mg.g(-1) biomass) was shown. UV-B treatment of cells prior to their immobilization decreased the percentage of viable cells to 4.5. At the same time it increased the copper sorption to 18.8 mg.g(-1) biomass without influencing too much the sorption of cadmium (9.0-8.6 mg.g(-1) biomass). The addition of carrageenan to the matrices containing viable UV-B non-irradiated cells increased the accumulation of copper and cadmium by about 2.9 and 3.9 fold, respectively Results indicate that immobilized in hybrid matrices viable and dead Synechocystis salina cells could be used as an active copper and cadmium removing biocomponent for bioremediation of wastewaters and/or soils.</t>
  </si>
  <si>
    <t>[Toncheva-Panova, T.; Pouneva, I.; Minkova, K.] Bulgarian Acad Sci, Acad M Popov Inst Plant Physiol, Sofia, Bulgaria; [Chernev, G.] Univ Chem Technol &amp; Met, BU-1756 Sofia, Bulgaria</t>
  </si>
  <si>
    <t>Bulgarian Academy of Sciences; University of Chemical Technology &amp; Metallurgy - Bulgaria</t>
  </si>
  <si>
    <t>Minkova, K (corresponding author), Bulgarian Acad Sci, Acad M Popov Inst Plant Physiol, Sofia, Bulgaria.</t>
  </si>
  <si>
    <t>kaledona@gmail.com</t>
  </si>
  <si>
    <t>Chernev, Georgi/0000-0001-7982-822X</t>
  </si>
  <si>
    <t>National Fund for Scientific Research, Ministry of Education and Science, Bulgaria [DOO2-317/2008]; [NT2-01]; [NT2-03/2006]</t>
  </si>
  <si>
    <t>National Fund for Scientific Research, Ministry of Education and Science, Bulgaria; ;</t>
  </si>
  <si>
    <t>This work was supported by Grants NT2-01 and NT2-03/2006 and partly by Grant DOO2-317/2008 of the National Fund for Scientific Research, Ministry of Education and Science, Bulgaria.</t>
  </si>
  <si>
    <t>10.2478/V10133-010-0068-5</t>
  </si>
  <si>
    <t>643NJ</t>
  </si>
  <si>
    <t>WOS:000281303100005</t>
  </si>
  <si>
    <t>Ashford, J; La Mesa, M; Fach, BA; Jones, C; Everson, I</t>
  </si>
  <si>
    <t>Ashford, Julian; La Mesa, Mario; Fach, Bettina A.; Jones, Christopher; Everson, Inigo</t>
  </si>
  <si>
    <t>Testing early life connectivity using otolith chemistry and particle-tracking simulations</t>
  </si>
  <si>
    <t>CANADIAN JOURNAL OF FISHERIES AND AQUATIC SCIENCES</t>
  </si>
  <si>
    <t>ANTARCTIC CIRCUMPOLAR CURRENT; SOUTH SHETLAND ISLANDS; TOOTHFISH DISSOSTICHUS-ELEGINOIDES; ICEFISH CHAENOCEPHALUS-ACERATUS; KRILL EUPHAUSIA-SUPERBA; SCOTIA SEA ICEFISH; MARINE FISH; STOCK IDENTIFICATION; POPULATION-STRUCTURE; OCEAN CIRCULATION</t>
  </si>
  <si>
    <t>We measured the otolith chemistry of adult Scotia Sea icefish (Chaenocephalus aceratus), a species with a long pelagic larval phase, along the Antarctic Circumpolar Current (ACC) and compared the chemistry with simulated particle transport using a circulation model. Material laid down in otolith nuclei during early life showed (i) strong heterogeneity between the Antarctic Peninsula and South Georgia consistent with a population boundary, (ii) evidence of finer-scale heterogeneity between sampling areas on the Antarctic Peninsula, and (iii) similarity between the eastern and northern shelves of South Georgia, indicating a single, self-recruiting population there. Consistent with the otolith chemistry, simulations of the large-scale circulation predicted that particles released at depths of 100-300 m on the Antarctic Peninsula shelf during spring, corresponding to hatching of icefish larvae from benthic nests, are transported in the southern ACC, missing South Georgia but following trajectories along the southern Scotia Ridge instead. These results suggest that the timing of release and position of early life stages in the water column substantially influence the direction and extent of connectivity. Used in complement, the two techniques promise an innovative approach for generating and testing predictions to resolve early dispersal and connectivity of populations related to the physical circulation of oceanic systems.</t>
  </si>
  <si>
    <t>[Ashford, Julian] Old Dominion Univ, Ctr Quantitat Fisheries Ecol, Norfolk, VA 23508 USA; [La Mesa, Mario] CNR, ISMAR, Sez Ancona, I-60125 Ancona, Italy; [Fach, Bettina A.] Middle E Tech Univ, Inst Marine Sci, TR-33731 Erdemli, Turkey; [Jones, Christopher] NOAA, Antarctic Ecosyst Res Div, SW Fisheries Sci Ctr, La Jolla, CA 92037 USA; [Everson, Inigo] Anglia Polytech Univ, Environm Sci Res Ctr, Sch Appl Sci, Cambridge CB1 1PT, England</t>
  </si>
  <si>
    <t>Old Dominion University; Consiglio Nazionale delle Ricerche (CNR); Istituto di Scienze Marine (ISMAR-CNR); Middle East Technical University; National Oceanic Atmospheric Admin (NOAA) - USA; Anglia Ruskin University</t>
  </si>
  <si>
    <t>Ashford, J (corresponding author), Old Dominion Univ, Ctr Quantitat Fisheries Ecol, 800 W 46th St, Norfolk, VA 23508 USA.</t>
  </si>
  <si>
    <t>jashford@odu.edu</t>
  </si>
  <si>
    <t>Fach, Bettina A/JCE-6687-2023; Fach, Bettina A/B-6003-2016; CNR, Ismar/P-1247-2014</t>
  </si>
  <si>
    <t>Fach, Bettina A/0000-0003-4688-1918; CNR, Ismar/0000-0001-5351-1486</t>
  </si>
  <si>
    <t>US National Science Foundation [NSF-OPP-0338294]; NOAA; Italian Programma Nazionale in Antartide and Consiglio Nazionale delle Ricerche; German National Science Foundation [FA-475/1-2]</t>
  </si>
  <si>
    <t>US National Science Foundation(National Science Foundation (NSF)); NOAA(National Oceanic Atmospheric Admin (NOAA) - USA); Italian Programma Nazionale in Antartide and Consiglio Nazionale delle Ricerche(Consiglio Nazionale delle Ricerche (CNR)); German National Science Foundation(German Research Foundation (DFG))</t>
  </si>
  <si>
    <t>We thank the crew of the R/V Yuzhmorgeologiya and personnel from the NOAA Antarctic Marine Living Resources Program, who organized and implemented the Peninsula survey, and Tony North and the crew of the F/V Argos Galicia, who collected the samples from South Georgia. The Woods Hole Oceanographic Institution kindly allowed us to use their Plasma Mass Spectrometry Facility, and Scot Bird-whistell provided crucial technical support. At Old Dominion University, Eileen Hofmann, John Klinck, and Cynthia Jones were instrumental in their advice and encouragement. We acknowledge the Associate Editor and two reviewers for many helpful comments that substantially improved the manuscript. Funding was through the US National Science Foundation (NSF-OPP-0338294) and the NOAA Antarctic Marine Living Resources Program, the Italian Programma Nazionale in Antartide and Consiglio Nazionale delle Ricerche, and the German National Science Foundation (FA-475/1-2). The computer facilities and resources for the particle simulations were provided by the Institute of Marine Sciences at the Middle East Technical University.</t>
  </si>
  <si>
    <t>CANADIAN SCIENCE PUBLISHING, NRC RESEARCH PRESS</t>
  </si>
  <si>
    <t>1200 MONTREAL ROAD, BUILDING M-55, OTTAWA, ON K1A 0R6, CANADA</t>
  </si>
  <si>
    <t>0706-652X</t>
  </si>
  <si>
    <t>CAN J FISH AQUAT SCI</t>
  </si>
  <si>
    <t>Can. J. Fish. Aquat. Sci.</t>
  </si>
  <si>
    <t>10.1139/F10-065</t>
  </si>
  <si>
    <t>Fisheries; Marine &amp; Freshwater Biology</t>
  </si>
  <si>
    <t>642JL</t>
  </si>
  <si>
    <t>WOS:000281208400009</t>
  </si>
  <si>
    <t>Huang, JB; Wang, SW; Gong, DY; Zhou, TJ; Wen, XY; Zhang, ZY; Zhu, JH</t>
  </si>
  <si>
    <t>Huang JianBin; Wang ShaoWu; Gong DaoYi; Zhou TianJun; Wen XinYu; Zhang ZiYin; Zhu JinHong</t>
  </si>
  <si>
    <t>Atmospheric oscillations over the last millennium</t>
  </si>
  <si>
    <t>atmospheric oscillation; climate variability; ENSO; Medieval Warm Period; Little Ice Age</t>
  </si>
  <si>
    <t>SOUTHERN ANNULAR MODE; VARIABILITY; PACIFIC; TELECONNECTIONS; PATAGONIA; ENSO</t>
  </si>
  <si>
    <t>The variations of global atmospheric oscillations over the last millennium, including the North Atlantic scillation (NAO), the North Pacific Oscillation (NPO) highly associated with the Pacific Decadal Oscillation (PDO), the Southern Oscillation (SO) and the Antarctic Oscillation (AAO), are studied and compared in this paper based on observations and reconstructed data. The cross correlation analysis of AAO, NAO and NPO shows that there is no significant relationship on interannual variation among them. However, the consistency on decadal variability is prominent. During A.D.1920-1940 and A.D.1980-2000, the positive (strong) phase was dominant and the negative (weak) one noticeable during A.D.1940-1980. In addition, the reconstructed atmospheric oscillations series demonstrate that the positive phase existed in the early of the last millennium for NAO and in the late of the last millennium for AAO, respectively; while it occurred in the mid-late of the last millennium for PDO and ENSO.</t>
  </si>
  <si>
    <t>[Huang JianBin; Wang ShaoWu; Wen XinYu; Zhu JinHong] Peking Univ, Sch Phys, Dept Atmospher Sci, Beijing 100871, Peoples R China; [Gong DaoYi; Zhang ZiYin] Beijing Normal Univ, State Key Lab Earth Surface Proc &amp; Resource Ecol, Coll Resources Sci &amp; Technol, Beijing 100875, Peoples R China; [Zhou TianJun] Chinese Acad Sci, Inst Atmospher Phys, LASG, Beijing 100871, Peoples R China</t>
  </si>
  <si>
    <t>Peking University; Beijing Normal University; Chinese Academy of Sciences; Institute of Atmospheric Physics, CAS</t>
  </si>
  <si>
    <t>Huang, JB (corresponding author), Peking Univ, Sch Phys, Dept Atmospher Sci, Beijing 100871, Peoples R China.</t>
  </si>
  <si>
    <t>hjb@pku.edu.cn</t>
  </si>
  <si>
    <t>ZHOU, Tianjun/C-3195-2012</t>
  </si>
  <si>
    <t>ZHOU, Tianjun/0000-0002-5829-7279</t>
  </si>
  <si>
    <t>R&amp;D Special Found for Public Welfare Industry (Meteorology) [GYHY200706010]; National Key Technology R&amp;D Program of China [2006BAC03B03]; National Science Foundation for Postdoctoral Scientists of China [4131482-051]</t>
  </si>
  <si>
    <t>R&amp;D Special Found for Public Welfare Industry (Meteorology); National Key Technology R&amp;D Program of China(National Key Technology R&amp;D Program); National Science Foundation for Postdoctoral Scientists of China(China Postdoctoral Science FoundationNational Natural Science Foundation of China (NSFC))</t>
  </si>
  <si>
    <t>This work was supported by R&amp;D Special Found for Public Welfare Industry (Meteorology) (GYHY200706010) and the National Key Technology R&amp;D Program of China (2006BAC03B03) and the National Science Foundation for Postdoctoral Scientists of China (4131482-051).</t>
  </si>
  <si>
    <t>10.1007/s11434-010-3210-8</t>
  </si>
  <si>
    <t>637HM</t>
  </si>
  <si>
    <t>WOS:000280808100021</t>
  </si>
  <si>
    <t>Huang, J; Kang, SC; Shen, CD; Cong, ZY; Liu, KX; Wang, W; Liu, LC</t>
  </si>
  <si>
    <t>Huang Jie; Kang ShiChang; Shen ChengDe; Cong ZhiYuan; Liu KeXin; Wang Wei; Liu LiChao</t>
  </si>
  <si>
    <t>Concentration and seasonal variation of 10Be in surface aerosols of Lhasa, Tibet</t>
  </si>
  <si>
    <t>Be-10 concentration; background value; seasonal variation; Lhasa</t>
  </si>
  <si>
    <t>STRATOSPHERE-TROPOSPHERE EXCHANGE; ATMOSPHERIC DEPOSITION; ANTARCTIC OZONE; ICE; TRANSPORT; PLATEAU; BERYLLIUM-7; ALTITUDE; PB-210; TRACER</t>
  </si>
  <si>
    <t>Thirty samples of total suspended particles were collected at a site in western part of Lhasa, Tibet from August 2006 to July 2007. The Be-10 concentrations were determined by Accelerator Mass Spectrometer (AMS). Analysis of correlation between Be-10 concentrations and meteorological factors revealed that the wet scavenging has little effect on Be-10. Be-10 can be used as a proxy of transport processes of the upper atmosphere over the Tibetan Plateau. Analysis of correlation between Be-10 concentrations and NCEP reanalysis data demonstrated that higher Be-10 concentrations in spring were probably caused by the atmosphere exchange from stratosphere to troposphere during February to June. Lower Be-10 concentrations during August to September were consistent with the synchronous lower O-3 values, suggestive of both Be-10 and O-3 were probably influenced by the atmosphere exchange from troposphere to stratosphere.</t>
  </si>
  <si>
    <t>[Huang Jie; Kang ShiChang; Cong ZhiYuan] Chinese Acad Sci, Inst Tibetan Plateau Res, Key Lab Tibetan Environm Changes &amp; Land Surface P, Beijing 100085, Peoples R China; [Kang ShiChang] Chinese Acad Sci, State Key Lab Cryospher Sci, Lanzhou 730000, Peoples R China; [Shen ChengDe] Chinese Acad Sci, Guangzhou Inst Geochem, Key Lab Isotope Geochronol &amp; Geochem, Guangzhou 510000, Guangdong, Peoples R China; [Liu KeXin] Peking Univ, State Key Lab Nucl Phys &amp; Technol, Beijing 100871, Peoples R China; [Wang Wei] Tibet Meteorol Bur, Inst Plateau Atmosphere &amp; Environm Sci, Lhasa 850000, Peoples R China; [Liu LiChao] Chinese Acad Sci, Cold &amp; Arid Regions Environm &amp; Engn Res Inst, Lanzhou 730000, Peoples R China; [Huang Jie] Chinese Acad Sci, Grad Univ, Beijing 100049, Peoples R China</t>
  </si>
  <si>
    <t>Chinese Academy of Sciences; Institute of Tibetan Plateau Research, CAS; Chinese Academy of Sciences; Chinese Academy of Sciences; Guangzhou Institute of Geochemistry, CAS; Peking University; Chinese Academy of Sciences; Cold &amp; Arid Regions Environmental &amp; Engineering Research Institute, CAS; Chinese Academy of Sciences; University of Chinese Academy of Sciences, CAS</t>
  </si>
  <si>
    <t>Kang, SC (corresponding author), Chinese Acad Sci, Inst Tibetan Plateau Res, Key Lab Tibetan Environm Changes &amp; Land Surface P, Beijing 100085, Peoples R China.</t>
  </si>
  <si>
    <t>shichang.kang@itpcas.ac.cn</t>
  </si>
  <si>
    <t>cong, z/KCF-0053-2024; 丛, 志远/E-5237-2012; Liu, Kexin/GQH-0970-2022; Kang, Shichang/I-6830-2018</t>
  </si>
  <si>
    <t>Kang, Shichang/0000-0003-2115-9005</t>
  </si>
  <si>
    <t>National Basic Research Program of China [2005CB422004]; National Natural Science Foundation of China [40830743, 40605034, 40771187]; Foundation of State Key Laboratory of Cryospheric Science, Chinese Academy of Sciences [SKLCS-ZZ-2008-01]</t>
  </si>
  <si>
    <t>National Basic Research Program of China(National Basic Research Program of China); National Natural Science Foundation of China(National Natural Science Foundation of China (NSFC)); Foundation of State Key Laboratory of Cryospheric Science, Chinese Academy of Sciences(Chinese Academy of Sciences)</t>
  </si>
  <si>
    <t>The authors appreciate the arduous sampling work of Xi Luo. Great help was offered from staff of Lhasa department, Institute of Tibetan Plateau Research, Chinese Academy of Sciences. Many thanks are given to all of them. The authors also greatly thank two anonymous referees for their constructive comments and thoughtful suggestions. This work was supported by the National Basic Research Program of China (2005CB422004), the National Natural Science Foundation of China (40830743, 40605034 and 40771187), and the Foundation of State Key Laboratory of Cryospheric Science, Chinese Academy of Sciences (SKLCS-ZZ-2008-01).</t>
  </si>
  <si>
    <t>10.1007/s11434-010-3233-1</t>
  </si>
  <si>
    <t>638TT</t>
  </si>
  <si>
    <t>WOS:000280920100014</t>
  </si>
  <si>
    <t>Ding, MH; Xiao, CD; Jin, B; Ren, JW; Qin, DH; Sun, WZ</t>
  </si>
  <si>
    <t>Ding MingHu; Xiao CunDe; Jin Bo; Ren JiaWen; Qin DaHe; Sun WeiZhen</t>
  </si>
  <si>
    <t>Distribution of δ 18O in surface snow along a transect from Zhongshan Station to Dome A, East Antarctica</t>
  </si>
  <si>
    <t>Antarctica; ITASE; isotope; Dome A; delta O-18; CHINARE</t>
  </si>
  <si>
    <t>LAMBERT GLACIER BASIN; ACCUMULATION RATES; ICE-CORE; VARIABILITY; LAND; ISOTOPES; RECORD</t>
  </si>
  <si>
    <t>Surface snow samples were collected during the 14th (1997/1998) and 24th (2007/2008) Chinese National Antarctica Research Expeditions along a transect from Zhongshan Station to Dome A. The stable oxygen isotope ratios of these samples were measured to investigate their relationships with temperature and geographical parameters (latitude, longitude, altitude and distance to the coast). The results reveal a strong positive correlation (R=0.945) between delta O-18 and mean annual temperature, with a gradient of 0.84aEuro degrees A degrees C-1, which is a little higher than that in Terre Adelie Land. Regression analyses also show that the delta O-18 of surface snow is strongly correlated with distance to the coast (R=0.942), latitude (R=0.942), and altitude (R=0.941). But no significant correlation was found between delta O-18 and longitude in study area. Altitude should be the most important factor influencing the delta O-18 distribution because of distinctive topography. The delta O-18-altitude and T-altitude gradients along this transect are determined to be -1.1aEuro degrees/100 m and 1.31A degrees C/100 m, respectively.</t>
  </si>
  <si>
    <t>[Ding MingHu] Chinese Acad Sci, Inst Geol &amp; Geophys, Div Cenozo Geol &amp; Environm, Beijing 100029, Peoples R China; [Ding MingHu; Xiao CunDe; Ren JiaWen; Qin DaHe; Sun WeiZhen] Chinese Acad Sci, Cold &amp; Arid Reg Environm &amp; Engn Res Inst, State Key Lab Cryospher Sci, Lanzhou 730000, Peoples R China; [Ding MingHu] Chinese Acad Sci, Grad Univ, Beijing 100049, Peoples R China; [Jin Bo] Chinese Arctic &amp; Antarctic Adm, Beijing 100860, Peoples R China</t>
  </si>
  <si>
    <t>Chinese Academy of Sciences; Institute of Geology &amp; Geophysics, CAS; Chinese Academy of Sciences; Cold &amp; Arid Regions Environmental &amp; Engineering Research Institute, CAS; Chinese Academy of Sciences; University of Chinese Academy of Sciences, CAS</t>
  </si>
  <si>
    <t>Ding, MH (corresponding author), Chinese Acad Sci, Inst Geol &amp; Geophys, Div Cenozo Geol &amp; Environm, Beijing 100029, Peoples R China.</t>
  </si>
  <si>
    <t>dingminghu@cams.cma.gov.cn</t>
  </si>
  <si>
    <t>Jiawen, Ren/K-7734-2012; Ding, Minghu/AFU-3600-2022</t>
  </si>
  <si>
    <t>Ding, Minghu/0000-0002-1142-6598</t>
  </si>
  <si>
    <t>National Natural Science Foundation of China [40776002]; Chinese Academy of Sciences; Strategic Research Fund on Polar Sciences of National Oceanic Administration [20080201]; Opening Founding of State Key Laboratory of Cryospheric Sciences [SKLCS-07-02]</t>
  </si>
  <si>
    <t>National Natural Science Foundation of China(National Natural Science Foundation of China (NSFC)); Chinese Academy of Sciences(Chinese Academy of Sciences); Strategic Research Fund on Polar Sciences of National Oceanic Administration; Opening Founding of State Key Laboratory of Cryospheric Sciences</t>
  </si>
  <si>
    <t>We are thankful to the kindly help of the 24th CHINARE especially the Dome A Group during the field work. Wang Yetang gave a lot of useful suggestions. This work was supported by the National Natural Science Foundation of China (40776002), the Hundred-Talent Program of Chinese Academy of Sciences, the Strategic Research Fund on Polar Sciences of National Oceanic Administration (20080201) and the Opening Founding of State Key Laboratory of Cryospheric Sciences (SKLCS-07-02).</t>
  </si>
  <si>
    <t>10.1007/s11434-010-3179-3</t>
  </si>
  <si>
    <t>638TY</t>
  </si>
  <si>
    <t>WOS:000280920600018</t>
  </si>
  <si>
    <t>Cui, XB; Sun, B; Tian, G; Tang, XY; Zhang, XP; Jiang, YY; Guo, JX; Li, X</t>
  </si>
  <si>
    <t>Cui XiangBin; Sun Bo; Tian Gang; Tang XueYuan; Zhang XiangPei; Jiang YunYun; Guo JingXue; Li Xin</t>
  </si>
  <si>
    <t>Preliminary results of ice radar investigation along the traverse between Zhongshan and Dome A in East Antarctic ice sheet: Ice thickness and subglacial topography</t>
  </si>
  <si>
    <t>East Antarctica; ice sheet; Dome A; ice radar; ice thickness; subglacial topography</t>
  </si>
  <si>
    <t>MASSES</t>
  </si>
  <si>
    <t>During the 24th Chinese National Antarctic Research Expedition (CHINARE 24, 2007/08), a ground-based ice radar was used to survey ice thickness and subglacial topography along the 1170 km traverse between Zhongshan and Dome A in East Antarctic ice sheet (EAIS). Ice-bedrock interface was detected along 82% of the traverse and data was collected at a horizontal resolution of &lt; 5.6 m. The data was processed to produce curves of ice thickness distribution and subglacial topography along the traverse. The results indicate that, along the traverse, the average ice thickness is 2037 m, smaller than the average ice thickness in EAIS; the thickest ice is at 730 km, and the thinnest ice (891 m) is at the edge of the ice sheet, but the slightly larger ice thickness (1078 m) in inland appears at 1020 km; the average subglacial topography elevation is 728 m, greatly larger than the average value in EAIS, and the largest elevation reaches up to 2650 m at 1034 km. The lowest terrain is located at 765 km. In further inland of 900-1170 km, the subglacial topography is relatively high due to the existence of the Gamburtsev Subglacial Mountains in the region. Generally, the influence of subglacial topography on ice surface is not significant, except at 900 km where great rise of subglacial topography causes evident uplift of ice surface. Where ice-bedrock interface was detected, the frequent and strong change of ice thickness and subglacial topography in small-scale means large bedrock roughness along the traverse, and is considered as the result of the integrated influence of ice flow, basal environments and geology. The segment where bedrock was not detected has very large ice thickness. The strong ice flow there also makes internal structure more complicated and induces serious attenuation of radar signals.</t>
  </si>
  <si>
    <t>[Cui XiangBin; Sun Bo; Tang XueYuan; Zhang XiangPei; Jiang YunYun; Guo JingXue; Li Xin] Polar Res Inst China, Shanghai 200136, Peoples R China; [Tian Gang] Zhejiang Univ, Dept Earth Sci, Hangzhou 310027, Peoples R China</t>
  </si>
  <si>
    <t>Polar Research Institute of China; Zhejiang University</t>
  </si>
  <si>
    <t>Sun, B (corresponding author), Polar Res Inst China, Shanghai 200136, Peoples R China.</t>
  </si>
  <si>
    <t>sunbo@pric.gov.cn</t>
  </si>
  <si>
    <t>Cui, Xiangbin/Y-1551-2019; sun, bo/JFA-9978-2023</t>
  </si>
  <si>
    <t>Cui, Xiangbin/0000-0002-4269-8086;</t>
  </si>
  <si>
    <t>Ministry of Science and Technology of China [2006BAB18B01]; National Natural Science Foundation of China [40476005]; Polar Strategy Research Foundation in China [20070215]</t>
  </si>
  <si>
    <t>Ministry of Science and Technology of China(Ministry of Science and Technology, China); National Natural Science Foundation of China(National Natural Science Foundation of China (NSFC)); Polar Strategy Research Foundation in China</t>
  </si>
  <si>
    <t>The authors would like to thank the 21st and 24th Chinese National Antarctic Research Expedition and many teammates for their selfless help in the field data collection, the Oceanographic Division (Polar Research Institute of China) for providing good research conditions, as well as all colleagues for their advice and help. This work was supported by the Ministry of Science and Technology of China (2006BAB18B01), the National Natural Science Foundation of China (40476005) and the Polar Strategy Research Foundation in China (20070215).</t>
  </si>
  <si>
    <t>10.1007/s11434-010-3238-9</t>
  </si>
  <si>
    <t>WOS:000280920600019</t>
  </si>
  <si>
    <t>Beers, JM; Borley, KA; Sidell, BD</t>
  </si>
  <si>
    <t>Beers, Jody M.; Borley, Kimberly A.; Sidell, Bruce D.</t>
  </si>
  <si>
    <t>Relationship among circulating hemoglobin, nitric oxide synthase activities and angiogenic poise in red- and white-blooded Antarctic notothenioid fishes</t>
  </si>
  <si>
    <t>Angiogenesis; Antarctic fish; Hemoglobin; Icefish; Nitric oxide; NOS; Notothenioid; VEGF</t>
  </si>
  <si>
    <t>ENDOTHELIAL GROWTH-FACTOR; SKELETAL-MUSCLE; GENE-EXPRESSION; HYPOXIA; MYOGLOBIN; NITRATE; QUANTIFICATION; IDENTIFICATION; VASCULATURE; HIF-1-ALPHA</t>
  </si>
  <si>
    <t>Nitric oxide (NO)-mediated angiogenesis may play a role in establishing dense retinal vasculatures of Antarctic hemoglobinless icefishes (suborder: Notothenioidei). We hypothesized that loss of hemoglobin (Hb) leads to elevation in [NO] due to decreased degradation of the compound when the NO-scavenger Hb is absent, thereby inducing vascular growth. We found that total mass of NO metabolites, nitrite plus nitrate (NOx), in plasma is greater in icefishes than in red-blooded notothenioids [e.g. C. aceratus (Hb-), 22.7 +/- 2.9 mu M; N. coriiceps (Hb+), 14.7 +/- 1.7 mu M], suggesting a higher NO load in hemoglobinless animals. High NO levels do not appear to be a result of greater NO synthesis; we consistently measured lower activities of the enzyme catalyzing NO production, nitric oxide synthase, in tissues of icefishes than in Hb-expressing notothenioids [e.g. 96 10 and 216 39 pmol(min g wet wt)(-1) in brain tissue of C. aceratus (Hb-) and G. gibberifrons (Hb+), respectively]. Levels of mRNA for hypoxia-induced (HIF-1 alpha and PHD2) and angiogenic genes (VEGF) were similar in red- and white-blooded species, indicating that vascular maintenance in adult animals does not require differences in angiogenic tone. This does not preclude a cause-and-effect relationship between absence of Hb and NO-mediated angiogenesis during earlier ontogenetic stages of icefishes. (C) 2010 Elsevier Inc. All rights reserved.</t>
  </si>
  <si>
    <t>US National Science Foundation [ANT 0437887, ANT 0739637]; Directorate For Geosciences; Office of Polar Programs (OPP) [0739637] Funding Source: National Science Foundation</t>
  </si>
  <si>
    <t>US National Science Foundation(National Science Foundation (NSF)); Directorate For Geosciences; Office of Polar Programs (OPP)(National Science Foundation (NSF)NSF - Directorate for Geosciences (GEO))</t>
  </si>
  <si>
    <t>We gratefully acknowledge the masters and crew of the ARSV Laurence M. Gould and the support personnel of Raytheon Polar Services both onboard the LMG and at Palmer Station for a safe and successful field season. Sincere thanks to H. William Detrich, Ill and coworkers of Northeastern University for their generous donation of samples. Additional thanks to Greg Mayer and Emily Notch for their technical assistance with the molecular work, and to G. Mayer for providing access to equipment. We also are indebted to Prof. Bruno Tota and colleagues for both stimulating and insightful interaction aimed at questions regarding nitric oxide in cardiovascular function of icefishes. Funding for this research was provided by US National Science Foundation Grants ANT 0437887 and ANT 0739637 to B.D.S.</t>
  </si>
  <si>
    <t>1531-4332</t>
  </si>
  <si>
    <t>10.1016/j.cbpa.2010.03.027</t>
  </si>
  <si>
    <t>621MD</t>
  </si>
  <si>
    <t>WOS:000279582000008</t>
  </si>
  <si>
    <t>Hawes, TC; Worland, MR; Bale, JS</t>
  </si>
  <si>
    <t>Hawes, T. C.; Worland, M. R.; Bale, J. S.</t>
  </si>
  <si>
    <t>Freezing in the Antarctic limpet, Nacella concinna</t>
  </si>
  <si>
    <t>CRYOBIOLOGY</t>
  </si>
  <si>
    <t>Freezing; Mucus; Osmolality; Mollusc; Intertidal; Antarctic</t>
  </si>
  <si>
    <t>TEMPERATURE; STREBEL; MUCUS; DISTURBANCE; TOLERANCES; METABOLISM</t>
  </si>
  <si>
    <t>The process of organismal freezing in the Antarctic limpet, Nacelle concinna, is complicated by molluscan biology. Internal ice formation is, in particular, mediated by two factors: (a) the provision of an inoculative target for ice formation in the exposed mucus-secreting foot; and (b) osmoconformity to the marine environment. With regard to the first, direct observations of the independent freezing of pedal mucus support the hypothesis that internal ice formation is delayed by the mucal film. As to the second, ice nucleation parametrics of organismal tissue (head, midgut, gonad, foot) and mucus in both inter- and subtidal populations were characterized by high melting points (range = -4.61 to -6.29 degrees C), with only c.50% of a given sample osmotically active. At this stage it would be premature to ascribe a cryo-adaptive function to the mucus as the protective effects are more readily attributed to the physical properties of the secretion (i.e. viscosity) and their corresponding effects on the rate of heat transfer. As it is difficult to thermally distinguish between the freezing of mucus and the rest of the animal, the question as to whether it is tolerant of internal as well as external ice formation remains problematic, although it may be well suited to the osmotic stresses of organismal freezing. (C) 2010 Elsevier Inc. All rights reserved.</t>
  </si>
  <si>
    <t>[Hawes, T. C.; Bale, J. S.] Univ Birmingham, Sch Biosci, Birmingham B15 2TT, W Midlands, England; [Worland, M. R.] British Antarctic Survey, Cambridge CB3 OET, England</t>
  </si>
  <si>
    <t>University of Birmingham; UK Research &amp; Innovation (UKRI); Natural Environment Research Council (NERC); NERC British Antarctic Survey</t>
  </si>
  <si>
    <t>Hawes, TC (corresponding author), Univ Otago, Dept Zool, POB 56, Dunedin, New Zealand.</t>
  </si>
  <si>
    <t>tinstone12@hotmail.com</t>
  </si>
  <si>
    <t>NERC Antarctic funding initiative, UK [7/26]; NERC [bas0100025] Funding Source: UKRI; Natural Environment Research Council [bas0100025] Funding Source: researchfish</t>
  </si>
  <si>
    <t>NERC Antarctic funding initiative, UK(UK Research &amp; Innovation (UKRI)Natural Environment Research Council (NERC)); NERC(UK Research &amp; Innovation (UKRI)Natural Environment Research Council (NERC)); Natural Environment Research Council(UK Research &amp; Innovation (UKRI)Natural Environment Research Council (NERC))</t>
  </si>
  <si>
    <t>The research described in this paper was funded by a CGS grant (7/26) from the NERC Antarctic funding initiative, UK.</t>
  </si>
  <si>
    <t>0011-2240</t>
  </si>
  <si>
    <t>1090-2392</t>
  </si>
  <si>
    <t>Cryobiology</t>
  </si>
  <si>
    <t>10.1016/j.cryobiol.2010.06.006</t>
  </si>
  <si>
    <t>Biology; Physiology</t>
  </si>
  <si>
    <t>Life Sciences &amp; Biomedicine - Other Topics; Physiology</t>
  </si>
  <si>
    <t>640SY</t>
  </si>
  <si>
    <t>WOS:000281073900020</t>
  </si>
  <si>
    <t>Gesheva, V; Stackebrandt, E; Vasileva-Tonkova, E</t>
  </si>
  <si>
    <t>Gesheva, Victoria; Stackebrandt, Erko; Vasileva-Tonkova, Evgenia</t>
  </si>
  <si>
    <t>Biosurfactant Production by Halotolerant Rhodococcus fascians from Casey Station, Wilkes Land, Antarctica</t>
  </si>
  <si>
    <t>CURRENT MICROBIOLOGY</t>
  </si>
  <si>
    <t>PSEUDOMONAS-AERUGINOSA; HYDROCARBONS; MICROORGANISMS; GROWTH; SOILS; BIODEGRADATION; RHAMNOLIPIDS; ACTINOMYCETE; PROPOSAL; STRAIN</t>
  </si>
  <si>
    <t>Isolate A-3 from Antarctic soil in Casey Station, Wilkes Land, was characterized for growth on hydrocarbons. Use of glucose or kerosene as a sole carbon source in the culture medium favoured biosynthesis of surfactant which, by thin-layer chromatography, indicated the formation of a rhamnose-containing glycolipid. This compound lowered the surface tension at the air/water interface to 27 mN/m as well as inhibited the growth of B. subtilis ATCC 6633 and exhibited hemolytic activity. A highly hydrophobic surface of the cells suggests that uptake occurs via a direct cell-hydrocarbon substrate contact. Strain A-3 is Gram-positive, halotolerant, catalase positive, urease negative and has rod-coccus shape. Its cell walls contained meso-diaminopimelic acid. Phylogenetic analysis based on comparative analysis of 16S rRNA gene sequences revealed that strain A-3 is closely related to Rhodococcus fascians with which it shares 100% sequence similarity. This is the first report on rhamnose-containing biosurfactant production by Rhodococcus fascians isolated from Antarctic soil.</t>
  </si>
  <si>
    <t>[Gesheva, Victoria; Vasileva-Tonkova, Evgenia] Bulgarian Acad Sci, Stephan Angeloff Inst Microbiol, BU-1113 Sofia, Bulgaria; [Stackebrandt, Erko] Deutsch Sammlung Mikroorganismen &amp; Zellkulturen, D-38124 Braunschweig, Germany</t>
  </si>
  <si>
    <t>Bulgarian Academy of Sciences; Stephan Angeloff Institute of Microbiology, Bulgarian Academy of Sciences; Leibniz Institut fur Deutsche Sammlung von Mikroorganismen und Zellkulturen (DSMZ)</t>
  </si>
  <si>
    <t>Gesheva, V (corresponding author), Bulgarian Acad Sci, Stephan Angeloff Inst Microbiol, Acad G Bonchev Str,Block 26, BU-1113 Sofia, Bulgaria.</t>
  </si>
  <si>
    <t>teteven@excite.com</t>
  </si>
  <si>
    <t>Stackebrandt, Erko/0000-0002-6130-760X</t>
  </si>
  <si>
    <t>0343-8651</t>
  </si>
  <si>
    <t>1432-0991</t>
  </si>
  <si>
    <t>CURR MICROBIOL</t>
  </si>
  <si>
    <t>Curr. Microbiol.</t>
  </si>
  <si>
    <t>10.1007/s00284-010-9584-7</t>
  </si>
  <si>
    <t>629UG</t>
  </si>
  <si>
    <t>WOS:000280224600006</t>
  </si>
  <si>
    <t>Masolov, VN; Popov, SV; Lukin, VV; Popkov, AM</t>
  </si>
  <si>
    <t>Masolov, V. N.; Popov, S. V.; Lukin, V. V.; Popkov, A. M.</t>
  </si>
  <si>
    <t>The bottom topography and subglacial Lake Vostok water body, East Antarctica</t>
  </si>
  <si>
    <t>[Masolov, V. N.; Popov, S. V.; Popkov, A. M.] Polar Marine Geosurvey Expedit, St Petersburg 198412, Russia; [Lukin, V. V.] Arctic &amp; Antarctic Res Inst, St Petersburg 199397, Russia; [Lukin, V. V.] Russian Antarctic Expedit, St Petersburg, Russia</t>
  </si>
  <si>
    <t>Arctic &amp; Antarctic Research Institute; Arctic &amp; Antarctic Research Institute</t>
  </si>
  <si>
    <t>Masolov, VN (corresponding author), Polar Marine Geosurvey Expedit, Ul Pobedy 24, St Petersburg 198412, Russia.</t>
  </si>
  <si>
    <t>Popov, Sergey/IYJ-2371-2023; Popov, Sergey V./I-2319-2013; Lukin, Valeriy/N-1147-2015</t>
  </si>
  <si>
    <t>Popov, Sergey/0000-0002-1830-8658; Popov, Sergey V./0000-0002-1830-8658; Lukin, Valeriy/0000-0003-1726-7361</t>
  </si>
  <si>
    <t>1531-8354</t>
  </si>
  <si>
    <t>10.1134/S1028334X10080222</t>
  </si>
  <si>
    <t>640XC</t>
  </si>
  <si>
    <t>WOS:000281086400022</t>
  </si>
  <si>
    <t>Smith, JA; Hillenbrand, CD; Pudsey, CJ; Allen, CS; Graham, AGC</t>
  </si>
  <si>
    <t>Smith, James A.; Hillenbrand, Claus-Dieter; Pudsey, Carol J.; Allen, Claire S.; Graham, Alastair G. C.</t>
  </si>
  <si>
    <t>The presence of polynyas in the Weddell Sea during the Last Glacial Period with implications for the reconstruction of sea-ice limits and ice sheet history</t>
  </si>
  <si>
    <t>polynyas; sea-ice; Last Glacial Maximum (LGM); Antarctic Bottom Water (AABW); Heinrich event; ice core</t>
  </si>
  <si>
    <t>ANTARCTIC PENINSULA REGION; SOUTHERN-OCEAN SEDIMENTS; STABLE-ISOTOPE; NEOGLOBOQUADRINA-PACHYDERMA; METHANESULFONIC-ACID; BOTTOM WATER; THERMOHALINE CIRCULATION; CONTINENTAL-MARGIN; CLIMATE-CHANGE; LEVEL CHANGES</t>
  </si>
  <si>
    <t>Cores from a contourite drift on the continental slope in the NW Weddell Sea, Antarctica, contain up to four sandy foraminifer-rich layers (WA1-4), with dispersed ice-rafted debris (IRD), interbedded with silty-clayey sands and sandy muds. Accelerator Mass Spectrometry (AMS) C-14 dating on Neogloboquadrina pachyderma from the foraminifer-rich layers WA2 and WA3 yielded ages spanning the Last Glacial Maximum (LGM) and Marine Isotope Stage (MIS) 2 (20,319-28,543 cal yr BP) and the middle part of MIS 3 (41,349-43,242 cal yr BP), respectively. We attribute the high abundances of planktonic and benthic foraminifera to deposition in a seasonally open-marine environment. Given that the NW Weddell Sea shelf was covered by grounded ice at the LGM (and probably during MIS 2 and MIS 3) and that diatom-based reconstructions place the northern limit of winter and summer sea-ice coverage to the north of the core sites during the last Glacial Period, our results document the presence of a seasonal or perennial polynya in the NW Weddell Sea. The polynya may have been formed by katabatic winds blowing off the Antarctic Peninsula Ice Sheet (APIS) when it was grounded at the continental shelf break, although polynya formation through upwelling of deep water cannot be ruled out. In addition we argue that previously published data from the southern, southeastern and southwestern Weddell Sea as well as the Ross Sea may indicate the widespread occurrence of polynyas along the Antarctic continental margin during the Last Glacial Period. The widespread occurrence of polynyas could help explain how (i) AABW formation (through brine rejection) continued throughout the LGM, and (ii) Antarctic shelf benthos survived glacial periods. The presence of polynyas through glacial periods also has implications for sea-ice reconstructions from ice core records, possibly biasing the signal towards a reduced sea-ice cover. Finally we propose that the fringes of the APIS, which probably influence the presence or absence of polynyas in the NW Weddell Sea, are sensitive to changes in Antarctic temperature that may be related to a reduction in oceanic heat transport from the North Atlantic. (C) 2010 Elsevier B.V. All rights reserved.</t>
  </si>
  <si>
    <t>[Smith, James A.; Hillenbrand, Claus-Dieter; Allen, Claire S.; Graham, Alastair G. C.] British Antarctic Survey, Cambridge CB3 0ET, England; [Pudsey, Carol J.] Univ Dundee, Dept Geog, Dundee DD1 4HN, Scotland</t>
  </si>
  <si>
    <t>UK Research &amp; Innovation (UKRI); Natural Environment Research Council (NERC); NERC British Antarctic Survey; University of Dundee</t>
  </si>
  <si>
    <t>Smith, JA (corresponding author), British Antarctic Survey, Madingley Rd, Cambridge CB3 0ET, England.</t>
  </si>
  <si>
    <t>jaas@bas.ac.uk</t>
  </si>
  <si>
    <t>Smith, James A/N-1836-2013</t>
  </si>
  <si>
    <t>Graham, Alastair/0000-0002-2880-2908</t>
  </si>
  <si>
    <t>UK Natural Environment Research Council [SAGES-500K]; NERC [bas0100027] Funding Source: UKRI; Natural Environment Research Council [bas0100027]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</si>
  <si>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</si>
  <si>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UK Natural Environment Research Council SAGES-500K and forms part of the BAS Palaeo-Ice Sheets project. Beta Analytic are thanked for supplying the radiocarbon dates so promptly. We thank Robert D. Larter for providing useful comments on an earlier draft of this paper and Peter Fretwell (MAGIC-BAS) for help in drafting Fig. 1B. Finally, we thank the editorial comments of Peggy Delaney, together with the reviews of Simon H.H. Nielsen and one anonymous reviewer, which improved the clarity of our paper.</t>
  </si>
  <si>
    <t>10.1016/j.epsl.2010.05.008</t>
  </si>
  <si>
    <t>638ZJ</t>
  </si>
  <si>
    <t>WOS:000280940300012</t>
  </si>
  <si>
    <t>Nevoux, M; Forcada, J; Barbraud, C; Croxall, J; Weimerskirch, H</t>
  </si>
  <si>
    <t>Nevoux, Marie; Forcada, Jaume; Barbraud, Christophe; Croxall, John; Weimerskirch, Henri</t>
  </si>
  <si>
    <t>Bet-hedging response to environmental variability, an intraspecific comparison</t>
  </si>
  <si>
    <t>ECOLOGY</t>
  </si>
  <si>
    <t>bet-hedging strategy; Black-browed Albatross; environmental variability; evolutionary strategy; life history traits</t>
  </si>
  <si>
    <t>ALBATROSSES DIOMEDEA-MELANOPHRIS; BLACK-BROWED ALBATROSSES; LIFE-HISTORY; VARIABLE ENVIRONMENTS; ECOLOGICAL RESPONSES; POPULATION-DYNAMICS; FEEDING ECOLOGY; CLIMATE-CHANGE; SOUTH GEORGIA; D-CHRYSOSTOMA</t>
  </si>
  <si>
    <t>A major challenge in ecology is to understand the impact of increased environmental variability on populations and ecosystems. To maximize their fitness in a variable environment, life history theory states that individuals should favor a bet-hedging strategy, involving a reduction of annual breeding performance and an increase in adult survival so that reproduction can be attempted over more years. As a result, evolution toward longer life span is expected to reduce the deleterious effects of extra variability on population growth, and consequently on the trait contributing the most to it (e. g., adult survival in long-lived species). To investigate this, we compared the life histories of two Black-browed Albatross (Thalassarche melanophrys) populations breeding at South Georgia (Atlantic Ocean) and Kerguelen (Indian Ocean), the former in an environment nearly three times more variable climatically (e. g., in sea surface temperature) than the latter. As predicted, individuals from South Georgia (in the more variable environment) showed significantly higher annual adult survival (0.959, SE = 0.003) but lower annual reproductive success (0.285 chick per pair, SE = 0.039) than birds from Kerguelen (survival = 0.925, SE = 0.004; breeding success = 0.694, SE = 0.027). In both populations, climatic conditions affected the breeding success and the survival of inexperienced breeders, whereas the survival of experienced breeders was unaffected. The strength of the climatic impact on survival of inexperienced breeders was very similar between the two populations, but the effect on breeding success was positively related to environmental variability. These results provide rare and compelling evidence to support bet-hedging underlying changes in life history traits as an adaptive response to environmental variability.</t>
  </si>
  <si>
    <t>[Nevoux, Marie; Barbraud, Christophe; Weimerskirch, Henri] CNRS, Ctr Etud Biol Chize, UPR 1934, F-79360 Villiers En Bois, France; [Forcada, Jaume; Croxall, John] British Antarctic Survey, Nat Environm Res Council, Cambridge CB3 0ET, England</t>
  </si>
  <si>
    <t>Centre National de la Recherche Scientifique (CNRS); UK Research &amp; Innovation (UKRI); Natural Environment Research Council (NERC); NERC British Antarctic Survey</t>
  </si>
  <si>
    <t>Nevoux, M (corresponding author), Univ Reading, Sch Agr, Ctr Agri Environm Res, POB 237, Reading RG6 6AR, Berks, England.</t>
  </si>
  <si>
    <t>m.nevoux@reading.ac.uk</t>
  </si>
  <si>
    <t>Weimerskirch, Henri/F-5562-2013; Barbraud, Christophe/A-5870-2012; Forcada, Jaume/GYU-0677-2022; Weimerskirch, Henri/K-7306-2019</t>
  </si>
  <si>
    <t>Barbraud, Christophe/0000-0003-0146-212X; Weimerskirch, Henri/0000-0002-0457-586X</t>
  </si>
  <si>
    <t>British Antarctic Survey; Institut Polaire Francais IPEV [109]; Terres Australes et Antarctiques Francaises; ANR REMIGE; NERC [bas0100025] Funding Source: UKRI; Natural Environment Research Council [bas0100025] Funding Source: researchfish</t>
  </si>
  <si>
    <t>British Antarctic Survey; Institut Polaire Francais IPEV; Terres Australes et Antarctiques Francaises; ANR REMIGE(Agence Nationale de la Recherche (ANR)); NERC(UK Research &amp; Innovation (UKRI)Natural Environment Research Council (NERC)); Natural Environment Research Council(UK Research &amp; Innovation (UKRI)Natural Environment Research Council (NERC))</t>
  </si>
  <si>
    <t>We are grateful to all the field workers involved in the longterm monitoring studies at South Georgia and Kerguelen. We thank D. Besson for data management, and H. Sandvik and an anonymous reviewer for helpful comments on the manuscript. At South Georgia the study was supported by the British Antarctic Survey contributing to the PSPE program. At Kerguelen the study was supported by Institut Polaire Francais IPEV (Programme 109 to H. Weimerskirch) and by Terres Australes et Antarctiques Francaises, and was part of the programme ANR REMIGE (ANR 2005 Biodiversite-11). We are also grateful to the Region Poitou-Charentes (grant M. Nevoux).</t>
  </si>
  <si>
    <t>0012-9658</t>
  </si>
  <si>
    <t>1939-9170</t>
  </si>
  <si>
    <t>10.1890/09-0143.1</t>
  </si>
  <si>
    <t>628WA</t>
  </si>
  <si>
    <t>WOS:000280153500025</t>
  </si>
  <si>
    <t>[Anonymous]</t>
  </si>
  <si>
    <t>ADI'S Devices Go Into Antarctic 'Ice' Telescope to Find Neutrinos</t>
  </si>
  <si>
    <t>ELECTRONICS WORLD</t>
  </si>
  <si>
    <t>NEXUS MEDIA COMMUNICATIONS LTD</t>
  </si>
  <si>
    <t>SWANLEY</t>
  </si>
  <si>
    <t>MEDIA HOUSE , AZALEA DR,, SWANLEY BR8 8HU, KENT, ENGLAND</t>
  </si>
  <si>
    <t>1365-4675</t>
  </si>
  <si>
    <t>ELECTRON WORLD</t>
  </si>
  <si>
    <t>Electron. World</t>
  </si>
  <si>
    <t>Engineering, Electrical &amp; Electronic; Telecommunications</t>
  </si>
  <si>
    <t>Engineering; Telecommunications</t>
  </si>
  <si>
    <t>638IA</t>
  </si>
  <si>
    <t>WOS:000280885800002</t>
  </si>
  <si>
    <t>Zucchi, S; Corsi, I; Luckenbach, T; Bard, SM; Regoli, F; Focardi, S</t>
  </si>
  <si>
    <t>Zucchi, Sara; Corsi, Ilaria; Luckenbach, Till; Bard, Shannon Mala; Regoli, Francesco; Focardi, Silvano</t>
  </si>
  <si>
    <t>Identification of five partial ABC genes in the liver of the Antarctic fish Trematomus bernacchii and sensitivity of ABCB1 and ABCC2 to Cd exposure</t>
  </si>
  <si>
    <t>ABC transporters; Liver; Cadmium; Trematomus bernacchii; Antarctica</t>
  </si>
  <si>
    <t>ARYL-HYDROCARBON RECEPTOR; P-GLYCOPROTEIN; MULTIXENOBIOTIC RESISTANCE; EFFLUX TRANSPORTERS; MULTIDRUG TRANSPORTER; THERMAL ADAPTATION; CADMIUM RESISTANCE; DEFENSE-MECHANISM; OXOLINIC ACID; UP-REGULATION</t>
  </si>
  <si>
    <t>Several ABC transporters have been characterized from many aquatic organisms, but no information is yet available for Antarctic fish. The aim of this work was to identify the expression of genes for ABC proteins in Trematomus bernacchii, a bioindicator species of the Southern Ocean. Partial cDNA sequences of ABCB1, ABCC1, ABCC2, ABCC4 and ABCC9 were cloned from liver. Using RACE technology, 3.5 and 2.2 kb contigs were obtained for ABCB1 and ABCC2. Considering the elevated natural bioavailability of cadmium at Terra Nova Bay, responsiveness of ABCB1 and ABCC2 to this element was investigated under laboratory conditions. ABCB1 and ABCC2 mRNA levels were approximately four-fold higher in Cd-exposed fish compared to the controls. Induction of ABCB1 protein was also found by western blot. This study provides the first identification of five ABC genes in the liver of an Antarctic key species, some of which may be involved in cellular detoxification. (C) 2010 Elsevier Ltd. All rights reserved.</t>
  </si>
  <si>
    <t>[Zucchi, Sara; Corsi, Ilaria; Focardi, Silvano] Univ Siena, Dept Environm Sci G Sarfatti, I-53100 Siena, Italy; [Luckenbach, Till] UFZ Helmholtz Ctr Environm Res, D-04318 Leipzig, Germany; [Bard, Shannon Mala] Dalhousie Univ, Life Sci Ctr, Environm Programmes, Halifax, NS B3H 4J1, Canada; [Regoli, Francesco] Polytech Univ Marches, Dept Biochem Biol &amp; Genet, Ancona, Italy</t>
  </si>
  <si>
    <t>University of Siena; Helmholtz Association; Helmholtz Center for Environmental Research (UFZ); Dalhousie University</t>
  </si>
  <si>
    <t>Zucchi, S (corresponding author), Univ Siena, Dept Environm Sci G Sarfatti, Via Mattioli 4, I-53100 Siena, Italy.</t>
  </si>
  <si>
    <t>zucchi2@unisi.it</t>
  </si>
  <si>
    <t>Luckenbach, Till/G-6482-2015; Corsi, Ilaria/D-3795-2012; Regoli, Francesco/K-2719-2018</t>
  </si>
  <si>
    <t>Luckenbach, Till/0000-0001-6204-1033; Corsi, Ilaria/0000-0002-1811-3041; Regoli, Francesco/0000-0001-6084-6188</t>
  </si>
  <si>
    <t>Italian National Program on Antarctic Research (PNRA); Helmholtz Centre for Environmental Research (UFZ); Natural Sciences and Engineering Research Council of Canada (S.M. Bard)</t>
  </si>
  <si>
    <t>Italian National Program on Antarctic Research (PNRA)(Ministry of Education, Universities and Research (MIUR)); Helmholtz Centre for Environmental Research (UFZ)(Helmholtz Association); Natural Sciences and Engineering Research Council of Canada (S.M. Bard)(Natural Sciences and Engineering Research Council of Canada (NSERC))</t>
  </si>
  <si>
    <t>Sampling procedures were financially supported by the Italian National Program on Antarctic Research (PNRA). The sequence identification work was partially funded by the Helmholtz Centre for Environmental Research (UFZ). Financial support was provided by the Natural Sciences and Engineering Research Council of Canada (S.M. Bard).</t>
  </si>
  <si>
    <t>10.1016/j.envpol.2010.04.012</t>
  </si>
  <si>
    <t>634HM</t>
  </si>
  <si>
    <t>WOS:000280571500032</t>
  </si>
  <si>
    <t>Allué, C; Arranz, JA; Bava, JO; Beneitez, JM; Collado, L; García-López, JM</t>
  </si>
  <si>
    <t>Allue, C.; Arranz, J. A.; Bava, J. O.; Beneitez, J. M.; Collado, L.; Garcia-Lopez, J. M.</t>
  </si>
  <si>
    <t>Phytoclimatic characterization and cartography of subantarctic native forests in Isla Grande de Tierra del Fuego (Patagonia, Argentina)</t>
  </si>
  <si>
    <t>FOREST SYSTEMS</t>
  </si>
  <si>
    <t>phytoclimatology; convex hull; modelling; Nothofagus; beech; steppe</t>
  </si>
  <si>
    <t>MIRB BLUME FORESTS; NOTHOFAGUS-BETULOIDES; SPECIES DISTRIBUTION; DISTRIBUTION MODELS; VEGETATION; ELEVATION; PHYLOGEOGRAPHY; PREDICTION; NORTHERN; ECOTONE</t>
  </si>
  <si>
    <t>Isla Grande de Tierra del Fuego is especially peculiar in phytoclimatic terms, situated as it is at an extreme southerly latitude, surrounded by large water masses and close to the great mass of Antarctic ice. Its main peculiarities in this sense are the coolness of its summers and a very narrow temperature range As a result, the woodland landscapes in the parts with forest cover are dominated by microphyllous broadleaf physiognomies, both evergreen and deciduous, of the Nothofagus genus. This paper reports a more in-depth investigation of the hitherto little-known phytoclimatic conditions in that territory which included calibration and validation of a model of phytoclimatic suitability that addresses the principal plant physiognomic units and phytoclimatic mapping It discusses the causes behind the presence of broadleaf formations in thermal conditions which in the northern hemisphere would allow only coniferous formations or no tree formations at all, and also the edaphic peculiarities that may explain the presence of a evergreen species like Nothofagus betuloides in subantarctic mixed forests.</t>
  </si>
  <si>
    <t>[Allue, C.; Garcia-Lopez, J. M.] Consejeria Medio Ambiente Junta Castilla &amp; Leon, Burgos 09006, Spain; [Arranz, J. A.] Consejeria Medio Ambiente Junta Castilla &amp; Leon, Valladolid 47014, Spain; [Bava, J. O.] Ctr Invest &amp; Extens Forestal Andino Patagon, RA-9200 Esquel, Patagonia, Argentina; [Beneitez, J. M.] Soc Publ Medio Ambiente Castilla &amp; Leon, Valladolid 47008, Spain; [Collado, L.] Secretaria Desarrollo Sustentable &amp; Ambiente, Direcc Gen Bosques, RA-9410 Ushuaia, Patagonia, Argentina</t>
  </si>
  <si>
    <t>García-López, JM (corresponding author), Consejeria Medio Ambiente Junta Castilla &amp; Leon, C Juan de Padilla S-N, Burgos 09006, Spain.</t>
  </si>
  <si>
    <t>INST NACIONAL INVESTIGACION TECHNOLOGIA AGRARIA ALIMENTARIA</t>
  </si>
  <si>
    <t>MADRID</t>
  </si>
  <si>
    <t>CTRA CORUNA KM 7 5, MADRID, 28040, SPAIN</t>
  </si>
  <si>
    <t>2171-5068</t>
  </si>
  <si>
    <t>2171-9845</t>
  </si>
  <si>
    <t>FOREST SYST</t>
  </si>
  <si>
    <t>For. Syst.</t>
  </si>
  <si>
    <t>10.5424/fs/2010192-01314</t>
  </si>
  <si>
    <t>Forestry</t>
  </si>
  <si>
    <t>641HY</t>
  </si>
  <si>
    <t>WOS:000281116700007</t>
  </si>
  <si>
    <t>Sorensen, JG; Heckmann, LH; Holmstrup, M</t>
  </si>
  <si>
    <t>Sorensen, Jesper G.; Heckmann, Lars-Henrik; Holmstrup, Martin</t>
  </si>
  <si>
    <t>Temporal gene expression profiles in a palaearctic springtail as induced by desiccation, cold exposure and during recovery</t>
  </si>
  <si>
    <t>cryoprotective dehydration; heat shock protein; Megaphorura arctica; rehydration; rewarming; supercooling</t>
  </si>
  <si>
    <t>HEAT-SHOCK; DROUGHT ACCLIMATION; OXIDATIVE STRESS; FREEZE TOLERANCE; ANTARCTIC MIDGE; DEHYDRATION; COLLEMBOLA; RESPONSES; WATER; ONYCHIURIDAE</t>
  </si>
  <si>
    <t>P&gt;1. Cryoprotective dehydration is a cold tolerance strategy used by small permeable invertebrates overwintering in frozen habitats. Even though an increasing number of species using this strategy have been described, little is known of the functional genomics of cryoprotective dehydration. 2. Megaphorura arctica is a northern palaearctic springtail (Collembola) which survives extreme low temperatures by cryoprotective dehydration. The massive loss of body water associated with this strategy requires a fine tuned physiological adaptation to both desiccation and cold exposure. 3. We investigated the temporal gene expression profile of six candidate genes, and compared gene expression responses to desiccation and cold separately, as well as both factors combined. 4. The major responses were found in Heat shock protein 70 (HSP70) and Trehalose-6-Phosphate-Synthase (TPS). TPS expression followed water loss closely, while HSP70 was induced after considerable water loss. HSP70 transcript response in M. arctica was induced by desiccation and rehydration, but not by exposure to cold. 5. The data suggest that cold and water loss induce partly different responses and that temporal sampling is important for uncovering the dynamics of gene responses to cryoprotective dehydration.</t>
  </si>
  <si>
    <t>[Sorensen, Jesper G.; Heckmann, Lars-Henrik; Holmstrup, Martin] Aarhus Univ, Dept Terr Ecol, Natl Environm Res Inst, DK-8600 Silkeborg, Denmark</t>
  </si>
  <si>
    <t>Aarhus University</t>
  </si>
  <si>
    <t>Sorensen, JG (corresponding author), Aarhus Univ, Dept Terr Ecol, Natl Environm Res Inst, Vejlsovej 25,POB 314, DK-8600 Silkeborg, Denmark.</t>
  </si>
  <si>
    <t>jgs@dmu.dk</t>
  </si>
  <si>
    <t>Heckmann, Lars-Henrik/A-7065-2008; Sørensen, Jesper Givskov/J-3190-2013; Holmstrup, Martin/I-7463-2013; Holmstrup, Martin/E-8731-2017</t>
  </si>
  <si>
    <t>Sørensen, Jesper Givskov/0000-0002-9149-3626; Holmstrup, Martin/0000-0001-8395-6582; Heckmann, Lars-Henrik Lau/0000-0002-8587-2646</t>
  </si>
  <si>
    <t>Carlsberg Foundation [2008-01-0451]; Danish Research Council</t>
  </si>
  <si>
    <t>Carlsberg Foundation(Carlsberg Foundation); Danish Research Council(Det Frie Forskningsrad (DFF))</t>
  </si>
  <si>
    <t>We are grateful to Steve Coulson for providing the springtails and two anonymous reviwers for comments on the ms. The project was supported by a post-doctoral fellowship (J.G.S.) from the Carlsberg Foundation (grant no. 2008-01-0451) and by the Danish Research Council (M.H. and L.H.H.). The experiments conform to the current legal requirements of Denmark.</t>
  </si>
  <si>
    <t>10.1111/j.1365-2435.2010.01687.x</t>
  </si>
  <si>
    <t>624RL</t>
  </si>
  <si>
    <t>WOS:000279837700017</t>
  </si>
  <si>
    <t>Bridge, PD; Prior, C</t>
  </si>
  <si>
    <t>Bridge, P. D.; Prior, C.</t>
  </si>
  <si>
    <t>Growth and spread of the woodchip associated fungus Leratiomyces ceres in undisturbed garden soils</t>
  </si>
  <si>
    <t>FUNGAL ECOLOGY</t>
  </si>
  <si>
    <t>Biodiversity survey; Distribution; Polymerase chain reaction (PCR); Species specific primers</t>
  </si>
  <si>
    <t>STROPHARIA-AURANTIACA</t>
  </si>
  <si>
    <t>A survey was undertaken to determine the extent of Leratiomyces ceres (syn. Stropharia aurantiaca sensu auct.) in soil surrounding apparently isolated occurrences of fungal fruit bodies on woodchip mulch. A molecular detection system with specific primers identified the fungus in the soil below woodchip in which fruit bodies had been noted in the previous year, and also in adjacent soil beyond the mulched area where fruiting had not been observed. The results indicate that L. ceres is widespread in the soil in the survey area, and possible reasons for this finding, and their implication for distribution studies are discussed. (C) 2009 Elsevier Ltd and The British Mycological Society. All rights reserved.</t>
  </si>
  <si>
    <t>[Bridge, P. D.] British Antarctic Survey, NERC, Cambridge CB3 0ET, England; [Prior, C.] Royal Hort Soc, Dept Hort Sci, Woking GU23 6QB, Surrey, England</t>
  </si>
  <si>
    <t>Bridge, PD (corresponding author), British Antarctic Survey, NERC, High Cross,Madingley Rd, Cambridge CB3 0ET, England.</t>
  </si>
  <si>
    <t>pdbr@bas.ac.uk</t>
  </si>
  <si>
    <t>Royal Horticultural Society; NERC [bas0100025] Funding Source: UKRI; Natural Environment Research Council [bas0100025] Funding Source: researchfish</t>
  </si>
  <si>
    <t>Royal Horticultural Society; NERC(UK Research &amp; Innovation (UKRI)Natural Environment Research Council (NERC)); Natural Environment Research Council(UK Research &amp; Innovation (UKRI)Natural Environment Research Council (NERC))</t>
  </si>
  <si>
    <t>This work was supported by the Royal Horticultural Society. Beatrice Henricot provided laboratory facilities, and Geoff and Jenny Denton provided significant technical and logistic support.</t>
  </si>
  <si>
    <t>1754-5048</t>
  </si>
  <si>
    <t>1878-0083</t>
  </si>
  <si>
    <t>FUNGAL ECOL</t>
  </si>
  <si>
    <t>Fungal Ecol.</t>
  </si>
  <si>
    <t>10.1016/j.funeco.2009.10.007</t>
  </si>
  <si>
    <t>Ecology; Mycology</t>
  </si>
  <si>
    <t>Environmental Sciences &amp; Ecology; Mycology</t>
  </si>
  <si>
    <t>619FN</t>
  </si>
  <si>
    <t>WOS:000279414700013</t>
  </si>
  <si>
    <t>Alexander, CMO; Newsome, SD; Fogel, ML; Nittler, LR; Busemann, H; Cody, GD</t>
  </si>
  <si>
    <t>Alexander, C. M. O'D.; Newsome, S. D.; Fogel, M. L.; Nittler, L. R.; Busemann, H.; Cody, G. D.</t>
  </si>
  <si>
    <t>Deuterium enrichments in chondritic macromolecular material-Implications for the origin and evolution of organics, water and asteroids</t>
  </si>
  <si>
    <t>OXYGEN-ISOTOPE COMPOSITIONS; MOLECULAR-CLOUD MATERIAL; AQUEOUS ALTERATION; TAGISH LAKE; SOLAR-SYSTEM; NITROGEN ISOTOPE; CM CHONDRITES; CARBONACEOUS CHONDRITES; PRIMITIVE METEORITES; ORGUEIL METEORITE</t>
  </si>
  <si>
    <t>Here we report the elemental and isotopic compositions of the insoluble organic material (TOM) isolated from several previously unanalyzed meteorites, as well as the reanalyses of H isotopic compositions of some previously measured samples (Alexander et al., 2007). The IOM in ordinary chondrites (OCs) has very large D enrichments that increase with increasing metamorphism and decreasing H/C, the most extreme delta D value measured being almost 12,000 parts per thousand. We propose that such large isotopic fractionations could be produced in the OC parent bodies through the loss of isotopically very light 112 generated when Fe was oxidized by water at low temperatures (&lt;200 degrees C). We suggest that similar isotopic fractionations were not generated in the IOM of CV and CO chondrites with similar metamorphic grades and IOM H/C ratios because proportionately less water was consumed during metamorphism, and the remaining water buffered the H isotopic composition of the TOM even a H was being lost from it. Hydrogen would also have been generated during the alteration of Cl, CM and CR carbonaceous chondrites. The TOM in these meteorites exhibit a considerable range in isotopic compositions, but all are enriched in D, as well as N-15, relative to terrestrial values. We explore whether these enrichments could also have been produced by the loss of H-2, but conclude that the most isotopically anomalous IOM compositions in meteorites from these groups are probably closest to their primordial values. The less isotopically anomalous IOM has probably been modified by parent body processes. The response of IOM to these processes was complex and varied, presumably reflecting differences in conditions within and between parent bodies. The D enrichments associated with H-2 generation, along with exchange between D-rich IOM and water in the parent bodies, means that it is unlikely that any chondrites retain the primordial H isotopic composition of the water ice that they accreted. The H isotopic compositions of the most water-rich chondrites, the CMs and CIs, are probably the least modified and their compositions (delta D &lt;= -25 parts per thousand) suggest that their water did not form at large radial distances from the Sun where ice is predicted to be very D-rich. Yet models to explain the O isotopic composition of inner Solar System bodies require that large amounts of ice were transported from the outer to the inner Solar System. (C) 2010 Elsevier Ltd. All rights reserved.</t>
  </si>
  <si>
    <t>[Alexander, C. M. O'D.; Nittler, L. R.; Busemann, H.] Carnegie Inst Sci, Dept Terr Magnetism, Washington, DC 20015 USA; [Newsome, S. D.; Fogel, M. L.; Cody, G. D.] Carnegie Inst Sci, Geophys Lab, Washington, DC 20015 USA</t>
  </si>
  <si>
    <t>Carnegie Institution for Science; Carnegie Institution for Science</t>
  </si>
  <si>
    <t>Alexander, CMO (corresponding author), Carnegie Inst Sci, Dept Terr Magnetism, 5241 Broad Branch Rd, Washington, DC 20015 USA.</t>
  </si>
  <si>
    <t>alexande@dtm.ciw.edu</t>
  </si>
  <si>
    <t>Fogel, Marilyn L/M-2395-2015; Alexander, Conel M. O'D./N-7533-2013</t>
  </si>
  <si>
    <t>Alexander, Conel M. O'D./0000-0002-8558-1427; Busemann, Henner/0000-0002-0867-6908</t>
  </si>
  <si>
    <t>NASA [NNX07A171G, NNG04GF61G]; Astrobiology Institute; STFC [PP/E000894/1, ST/G003068/1] Funding Source: UKRI; Science and Technology Facilities Council [ST/G003068/1, ST/F012179/1, PP/E000894/1] Funding Source: researchfish</t>
  </si>
  <si>
    <t>NASA(National Aeronautics &amp; Space Administration (NASA)); Astrobiology Institute; STFC(UK Research &amp; Innovation (UKRI)Science &amp; Technology Facilities Council (STFC)); Science and Technology Facilities Council(UK Research &amp; Innovation (UKRI)Science &amp; Technology Facilities Council (STFC))</t>
  </si>
  <si>
    <t>We would like to thank the members of the meteorite working group (MWG) and Cecilia Satterwhite for supplying the Antarctic meteorites studied, Glenn MacPherson, Tim McCoy and Linda Welzenbach of the Smithsonian Museum for Natural History for the sample of Murchison, Caroline Smith of the Natural History Museum for the sample of Ornans, and Roxane Bowden for help in analyzing some of the samples. The comments of three anonymous reviewers helped significantly improve this paper. This work was partially supported by grants from NASA's Origins of Solar Systems Program (NNX07A171G), Cosmochemistry Program (NNG04GF61G) and Astrobiology Institute.</t>
  </si>
  <si>
    <t>10.1016/j.gca.2010.05.005</t>
  </si>
  <si>
    <t>619FF</t>
  </si>
  <si>
    <t>WOS:000279413900017</t>
  </si>
  <si>
    <t>Collis, C</t>
  </si>
  <si>
    <t>Collis, Christy</t>
  </si>
  <si>
    <t>Critical legal geographies of possession: Antarctica and the International Geophysical Year 1957-1958</t>
  </si>
  <si>
    <t>GEOJOURNAL</t>
  </si>
  <si>
    <t>Antarctica; International Geophysical Year; Legal geography; Terra nullius; Terra communis</t>
  </si>
  <si>
    <t>This is an article about the politics of territory in Antarctica. It revolves around what at first seems like a very simple geopolitical question: who owns Antarctica? As this article demonstrates, this seemingly simple question is far from easy to answer: it cannot be answered with a straightforward list of states, nor by conventional geopolitical understandings of territorial possession (Agnew and Corbridge, Mastering space: Hegemony, territory, and international political economy, 1995). Struggles between states for territorial possession has characterised much recent geopolitical history; struggles for Antarctica do not entirely follow this pattern, and revolve instead on the nature and the concept of territorial possession itself. The article focuses in particular on the debates about, and changes to, Antarctic legal and geopolitical territories triggered by the 1957-1958 International Geophysical Year: before the IGY Antarctica was an unstable composite of state claims, unclaimed terra nullius, and terra communis or land unavailable to state claim. By the 1959 Antarctic Treaty, this unstable composite legal and geopolitical geography emerged as a new form of territory, one in which the conventional global mode of territory-state possession-was no longer dominant. Understanding Antarctic legal geographies adds depth to critical geopolitical studies which focus on the ways in which space is actively constructed by specific discourses, understandings, and groups.</t>
  </si>
  <si>
    <t>[Collis, Christy] Queensland Univ Technol, Creat Ind Fac, Musk Ave, Kelvin Grove, Qld 4059, Australia</t>
  </si>
  <si>
    <t>Queensland University of Technology (QUT)</t>
  </si>
  <si>
    <t>Collis, C (corresponding author), Queensland Univ Technol, Creat Ind Fac, Musk Ave, Kelvin Grove, Qld 4059, Australia.</t>
  </si>
  <si>
    <t>c.collis@qut.edu.au</t>
  </si>
  <si>
    <t>Collis, Christy/0000-0003-2951-8412</t>
  </si>
  <si>
    <t>Creative Industries Faculty, Queensland University of Technology</t>
  </si>
  <si>
    <t>This research was supported by the Creative Industries Faculty, Queensland University of Technology. The author wishes to thank Fraser McDonald and Klaus Dodds for their support and inspiration, Tanya Notley for attention to detail, and the anonymous referees for their vigorous and meticulous feedback.</t>
  </si>
  <si>
    <t>0343-2521</t>
  </si>
  <si>
    <t>1572-9893</t>
  </si>
  <si>
    <t>GeoJournal</t>
  </si>
  <si>
    <t>10.1007/s10708-009-9260-2</t>
  </si>
  <si>
    <t>Geography</t>
  </si>
  <si>
    <t>V55SM</t>
  </si>
  <si>
    <t>WOS:000210512300007</t>
  </si>
  <si>
    <t>Lilly, K; Fink, D; Fabel, D; Lambeck, K</t>
  </si>
  <si>
    <t>Lilly, Kat; Fink, David; Fabel, Derek; Lambeck, Kurt</t>
  </si>
  <si>
    <t>Pleistocene dynamics of the interior East Antarctic ice sheet</t>
  </si>
  <si>
    <t>SURFACE EXPOSURE AGES; LAST GLACIAL MAXIMUM; VICTORIA LAND; HISTORY; EARTH</t>
  </si>
  <si>
    <t>Current models describing past configurations of the East Antarctic ice sheet are poorly constrained by observations. Exposure dating of bedrock surfaces using in situ-produced cosmogenic nuclides provides an ideal tool for directly constraining former changes in ice sheet elevation. We present cosmogenic radionuclide Be-10 and Al-26 measurements in bedrock surfaces and glacially transported cobbles in the Grove Mountains, a group of nunataks within the slow-flowing interior ice sheet dome, hundreds of kilometers from the coastal ice margin and from ice streams. Samples were collected in vertical transects over 500 m of relief. Minimum bedrock and erratic exposure ages show a trend of increasing age with height above the ice sheet, spanning a period from 0.3 to 4.0 Ma and 50-900 ka, respectively. No evidence was found for thicker ice at the Last Glacial Maximum compared to modern ice thickness. The older bedrock exposure ages of 2.5-4.0 Ma require steady-state erosion rates of &lt;0.1 mm k.y.(-1). The measured two-isotope bedrock exposure ages are successfully modeled when changes in surface elevation of the ice sheet are described by a combination of linear long-term ice surface lowering and shorter term high-frequency glacial-interglacial oscillations. The best-fit model requires a long-term thinning rate of 50 m m.y.(-1) and an elevation change of 100 m over a 100 k.y. glacial cycle.</t>
  </si>
  <si>
    <t>[Lilly, Kat] Univ Otago, Dept Geol, Dunedin, New Zealand; [Fink, David] Australian Nucl Sci &amp; Technol Org, Inst Environm Res, Menai, NSW 2234, Australia; [Fabel, Derek] Univ Glasgow, Dept Geog &amp; Earth Sci, Glasgow, Lanark, Scotland; [Lambeck, Kurt] Australian Natl Univ, Res Sch Earth Sci, Canberra, ACT 0200, Australia</t>
  </si>
  <si>
    <t>University of Otago; Australian Nuclear Science &amp; Technology Organisation; University of Glasgow; Australian National University</t>
  </si>
  <si>
    <t>Lilly, K (corresponding author), Univ Otago, Dept Geol, POB 56, Dunedin, New Zealand.</t>
  </si>
  <si>
    <t>kat.lilly@otago.ac.nz</t>
  </si>
  <si>
    <t>fink, David/A-9518-2012; Fabel, Derek/O-9933-2019</t>
  </si>
  <si>
    <t>fink, David/0000-0001-7156-4602; Fabel, Derek/0000-0003-2859-3293</t>
  </si>
  <si>
    <t>Australian Research Council [DP 0342704]; Cosmogenic Climate Archives of the Southern Hemisphere Project [0203v-CcASH]; Australian Nuclear Science and Technology Organisation; Australian Institute of Nuclear Science and Engineering [AINSTU1204]; Research School of Earth Sciences at the Australian National University; Australian Government Antarctic Division</t>
  </si>
  <si>
    <t>Australian Research Council(Australian Research Council); Cosmogenic Climate Archives of the Southern Hemisphere Project; Australian Nuclear Science and Technology Organisation; Australian Institute of Nuclear Science and Engineering; Research School of Earth Sciences at the Australian National University(Australian National University); Australian Government Antarctic Division(Australian Government)</t>
  </si>
  <si>
    <t>This research was funded by an Australian Research Council Discovery Grant (DP 0342704) and the Cosmogenic Climate Archives of the Southern Hemisphere Project (0203v-CcASH) at the Australian Nuclear Science and Technology Organisation. Lilly was supported by an Australian Institute of Nuclear Science and Engineering Postgraduate Research Award (AINSTU1204) and a Ph.D. Scholarship funded by the Research School of Earth Sciences at the Australian National University. Field support was provided by the Australian Government Antarctic Division. Mick Stapleton provided cheerful and competent assistance during a month of field work. We thank Andrew Mackintosh and three anonymous reviewers for helpful comments on the manuscript.</t>
  </si>
  <si>
    <t>10.1130/G31172x.1</t>
  </si>
  <si>
    <t>624UT</t>
  </si>
  <si>
    <t>WOS:000279847900008</t>
  </si>
  <si>
    <t>Russo, RM; Gallego, A; Comte, D; Mocanu, VI; Murdie, RE; VanDecar, JC</t>
  </si>
  <si>
    <t>Russo, R. M.; Gallego, A.; Comte, D.; Mocanu, V. I.; Murdie, R. E.; VanDecar, J. C.</t>
  </si>
  <si>
    <t>Source-side shear wave splitting and upper mantle flow in the Chile Ridge subduction region</t>
  </si>
  <si>
    <t>LATTICE-PREFERRED ORIENTATION; PLATE-DRIVING FORCES; SEISMIC ANISOTROPY; SOUTHERN CHILE; TRENCH COLLISION; TRIPLE JUNCTION; SLAB WINDOWS; PATAGONIA; BASALTS; PACIFIC</t>
  </si>
  <si>
    <t>The actively spreading Chile Ridge has been subducting beneath Patagonian Chile since the Middle Miocene. After subduction, continued separation of the faster Nazca plate from the slow Antarctic plate has opened up a gap-a slab window-between the subducted oceanic lithospheres beneath South America. We examined the form of the asthenospheric mantle flow in the vicinity of this slab window using S waves from six isolated, unusual 2007 earthquakes that occurred in the generally low-seismicity region just north of the ridge subduction region. The S waves from these earthquakes were recorded at distant seismic stations, but were split into fast and slow orthogonally polarized waves at upper mantle depths during their passage through the slab window and environs. We isolated the directions of fast split shear waves near the slab window by correcting for upper mantle seismic anisotropy at the distant stations. The results show that the generally trench-parallel upper mantle flow beneath the Nazca plate rotates to an ENE trend in the neighborhood of the slab gap, consistent with upper mantle flow from west to east through the slab window.</t>
  </si>
  <si>
    <t>[Russo, R. M.; Gallego, A.] Univ Florida, Dept Geol Sci, Gainesville, FL 32611 USA; [Comte, D.] Univ Chile, Dept Geofis, Santiago, Chile; [Mocanu, V. I.] Univ Bucharest, Dept Geophys, RO-7013 Bucharest, Romania; [Murdie, R. E.] St Ives Gold Min Co, Kambalda, WA, Australia; [VanDecar, J. C.] Carnegie Inst Washington, DTM, Washington, DC 20015 USA</t>
  </si>
  <si>
    <t>State University System of Florida; University of Florida; Universidad de Chile; University of Bucharest; Carnegie Institution for Science</t>
  </si>
  <si>
    <t>Russo, RM (corresponding author), Univ Florida, Dept Geol Sci, POB 112120,241 Williamson Hall, Gainesville, FL 32611 USA.</t>
  </si>
  <si>
    <t>rrusso@ufl.edu</t>
  </si>
  <si>
    <t>COMTE, DIANA/H-2593-2013; Russo, Raymond/JDD-8127-2023</t>
  </si>
  <si>
    <t>Russo, Raymond/0000-0001-5737-2049; VanDecar, John/0000-0003-3671-4294</t>
  </si>
  <si>
    <t>U.S. National Science Foundation [EAR-0126244]; CONICYT-CHILE [1050367]</t>
  </si>
  <si>
    <t>U.S. National Science Foundation(National Science Foundation (NSF)); CONICYT-CHILE(Comision Nacional de Investigacion Cientifica y Tecnologica (CONICYT))</t>
  </si>
  <si>
    <t>We are grateful to Adam Goss for his help in understanding the geochemical arguments outlined in the paper. Thorough, constructive comments by three anonymous reviewers and Sandra Wyld helped us improve the work significantly. This work was supported by U.S. National Science Foundation grant EAR-0126244 and CONICYT-CHILE grant 1050367.</t>
  </si>
  <si>
    <t>10.1130/G30920.1</t>
  </si>
  <si>
    <t>WOS:000279847900009</t>
  </si>
  <si>
    <t>Peters, SE; Carlson, AE; Kelly, DC; Gingerich, PD</t>
  </si>
  <si>
    <t>Peters, Shanan E.; Carlson, Anders E.; Kelly, Daniel C.; Gingerich, Philip D.</t>
  </si>
  <si>
    <t>Large-scale glaciation and deglaciation of Antarctica during the Late Eocene</t>
  </si>
  <si>
    <t>CENOZOIC GLACIATION; GLOBAL CLIMATE; OLIGOCENE; SR-87/SR-86; GREENHOUSE; TRANSITION; EVOLUTION; SEAWATER; MARGIN; ONSET</t>
  </si>
  <si>
    <t>Approximately 34 m.y. ago, Earth's climate transitioned from a relatively warm, ice-free world to one characterized by cooler climates and a large, permanent Antarctic Ice Sheet. Understanding this major climate transition is important, but determining its causes has been complicated by uncertainties in the basic patterns of global temperature and ice volume change. Here we use an unusually well exposed coastal incised river-valley complex in the Western Desert of Egypt to show that eustatic sea level fell and then rose by similar to 40 m 2 m.y. prior to establishment of a permanent Antarctic Ice Sheet. This fall in sea level is associated with a positive oxygen isotope excursion that has been interpreted to reflect global cooling, but instead records buildup of an Antarctic Ice Sheet with a volume similar to 70% of the present-day East Antarctic Ice Sheet. Both the sea-level fall and subsequent rise were coincident with a transient oscillation in atmospheric CO2 concentration down to similar to 750 ppm, which climate models indicate may be a threshold for Southern Hemisphere glaciation. Because many of the carbon emission scenarios for the coming century predict that atmospheric CO2 will rise above this same 750 ppm threshold, our results suggest that global climate could transition to a state like the Late Eocene, when a large permanent Antarctic Ice Sheet was not sustainable.</t>
  </si>
  <si>
    <t>[Peters, Shanan E.; Carlson, Anders E.; Kelly, Daniel C.] Univ Wisconsin, Dept Geosci, Madison, WI 53706 USA; [Gingerich, Philip D.] Univ Michigan, Dept Geol Sci, Ann Arbor, MI 48109 USA; [Gingerich, Philip D.] Univ Michigan, Museum Paleontol, Ann Arbor, MI 48109 USA</t>
  </si>
  <si>
    <t>University of Wisconsin System; University of Wisconsin Madison; University of Michigan System; University of Michigan; University of Michigan System; University of Michigan</t>
  </si>
  <si>
    <t>Peters, SE (corresponding author), Univ Wisconsin, Dept Geosci, Madison, WI 53706 USA.</t>
  </si>
  <si>
    <t>Peters, Shanan E/A-5620-2013; Gingerich, Philip/A-6903-2008</t>
  </si>
  <si>
    <t>Peters, Shanan E/0000-0002-3346-4317; Gingerich, Philip/0000-0002-1550-2674; Kelly, Clay/0000-0002-3241-1635</t>
  </si>
  <si>
    <t>Egyptian Mineral Resources Authority; Cairo Geological Museum; Egyptian Environmental Affairs Agency; U.S. National Science Foundation [0517773, 0920972]; Directorate For Geosciences [0920972, 0517773] Funding Source: National Science Foundation; Division Of Earth Sciences [0920972, 0517773] Funding Source: National Science Foundation</t>
  </si>
  <si>
    <t>Egyptian Mineral Resources Authority; Cairo Geological Museum; Egyptian Environmental Affairs Agency; U.S. National Science Foundation(National Science Foundation (NSF)); Directorate For Geosciences(National Science Foundation (NSF)NSF - Directorate for Geosciences (GEO)); Division Of Earth Sciences(National Science Foundation (NSF)NSF - Directorate for Geosciences (GEO))</t>
  </si>
  <si>
    <t>We thank A. Carroll, P. Cohen, B. Wilkinson, and P. I. McLaughlin for discussion and M. S. Antar, E. Williams, and I. Zalmout for help in the field. M. M. Fouda, Director of the Nature Conservation Sector of the Egyptian Environmental Affairs Agency, encouraged work at Wadi Al-Hitan. We also thank B. Wade and two anonymous reviewers for helpful comments. Research supported by the Egyptian Mineral Resources Authority, Cairo Geological Museum, Egyptian Environmental Affairs Agency, and U.S. National Science Foundation (grants 0517773 and 0920972).</t>
  </si>
  <si>
    <t>10.1130/G31068.1</t>
  </si>
  <si>
    <t>WOS:000279847900013</t>
  </si>
  <si>
    <t>Vovk, VY; Egorova, LV</t>
  </si>
  <si>
    <t>Vovk, V. Ya; Egorova, L. V.</t>
  </si>
  <si>
    <t>Effects of solar and geomagnetic activity in long-term variations in the ionospheric parameters of the auroral zone in 1963-1986</t>
  </si>
  <si>
    <t>A stable linear relation between foF2 and W with a correlation coefficient of 0.68-0.96 has been revealed as a result of a joint analysis of the foF2 critical frequencies and the virtual minimal heights (h'F) obtained from the data of vertical sounding (VS) of the ionosphere at Dixon Island auroral station, Wolf numbers (W), and PC geomagnetic index from 1963 to 1986. A significant linear relation exists between foF2 and the PC index with a correlation coefficient of r = 0.18-0.67. The correlation between the PC index and W is low in winter and autumn and is r = 0.50 and 0.74 at a significance level of ss = 0.96-0.99 in spring and summer. When the correlation between PC and foF2 is analyzed, it is necessary to consider the effect of solar activity (SA) on both parameters. The multiple correlation coefficients between these parameters have been calculated with regard to the effect of W. They were R = 0.75-0.98; however, the standardized regression coefficients beta (W) and beta (PC) indicated that W and PC considerably and insignificantly affect multiple correlation with foF2, respectively, and this effect depends on the season and time of day. It has been detected that the cyclic variations in foF2 and h'F are asymmetric. The amplitudes of these parameters in cycle 20 are smaller than in cycle 21.</t>
  </si>
  <si>
    <t>[Vovk, V. Ya; Egorova, L. V.] Russian Acad Sci, GU Arctic &amp; Antarctic Res Inst, St Petersburg 199397, Russia</t>
  </si>
  <si>
    <t>Vovk, VY (corresponding author), Russian Acad Sci, GU Arctic &amp; Antarctic Res Inst, Ul Beringa 38, St Petersburg 199397, Russia.</t>
  </si>
  <si>
    <t>10.1134/S0016793210040055</t>
  </si>
  <si>
    <t>636AQ</t>
  </si>
  <si>
    <t>WOS:000280700400005</t>
  </si>
  <si>
    <t>Watson, C; Burgette, R; Tregoning, P; White, N; Hunter, J; Coleman, R; Handsworth, R; Brolsma, H</t>
  </si>
  <si>
    <t>Watson, Christopher; Burgette, Reed; Tregoning, Paul; White, Neil; Hunter, John; Coleman, Richard; Handsworth, Roger; Brolsma, Henk</t>
  </si>
  <si>
    <t>Twentieth century constraints on sea level change and earthquake deformation at Macquarie Island</t>
  </si>
  <si>
    <t>Sea level change; Space geodetic surveys; Seismic cycle; Transient deformation; Oceanic transform and fracture zone processes; Rheology: mantle</t>
  </si>
  <si>
    <t>GLACIAL ISOSTATIC-ADJUSTMENT; SUMATRA-ANDAMAN EARTHQUAKE; LARGE SHALLOW EARTHQUAKES; RIDGE EARTHQUAKE; POSTSEISMIC RELAXATION; RUPTURE PROCESS; PLATE BOUNDARY; GEODETIC CONSTRAINTS; UPPER-MANTLE; SOUTH</t>
  </si>
  <si>
    <t>Through the combination of rare historical sea level observations collected during Sir Douglas Mawson's 1911-1914 Australasian Antarctic Expedition (AAE), together with modern sea level data, space geodetic estimates of crustal displacement and modelling of coseismic and post-seismic earthquake deformation, we present a contemporary analysis to constrain sea level and land level change over the twentieth century at Macquarie Island (54 degrees 30'S, 158 degrees 57'E). We combine 9 months of 1912-1913 sea level data with intermediate observations in 1969-1971, 1982 and 1998-2007 to estimate sea level rise relative to the land at +4.8 +/- 0.6 mm yr(-1). Combined with estimates of global mean sea level rise, this value supports the geologically surprising notion of land subsidence, conflicting with longer term geological evidence that suggests uplift at similar to 0.8 mm yr(-1) over the last 400-300 Kyr. We investigate the current tectonic evolution of the Island through analysis of Global Positioning System (GPS) solutions that utilize data over the period 2000-2009. Importantly, this provides an opportunity to refine the source parameters of the M-w similar to 8.0 great earthquake of 2004 December 23 using estimates of coseismic displacements at regional GPS sites. We use the estimated earthquake source and GPS observations of four years of post-seismic deformation at Macquarie Island to infer the rheology of the oceanic upper mantle. We find that an asthenosphere bounded by stronger material above and below is required to produce the observed post-seismic deformation, particularly in the vertical component. Assuming a Maxwell rheology, the best fit is given by an asthenospheric viscosity of 3 x 10(19) Pa s. The inferred rheology determined from the 2004 earthquake is used to model long period post-seismic deformation from M-w similar to 8.0 earthquakes of 1989 and 1924. The 1924 earthquake is the closest of the three great earthquakes to Macquarie Island, and our modelling suggests that the majority of the vertical deformation at the tide gauge over the subsequent 80 years is related to ongoing viscoelastic relaxation from this thrust earthquake that ruptured south from an epicentre south of Macquarie Island. Assimilated time-series of land level change from the earthquake modelling (suggesting ongoing subsidence) constrained by the GPS estimate of vertical velocity of -2.46 +/- 0.64 mm yr(-1) combine with the relative sea level time-series to yield an estimate of absolute sea level change of +2.0 +/- 0.8 mm yr(-1) over the twentieth century. We conclude this is consistent with the upper bound of the global average rate of absolute sea level rise over the same period. This represents one of few estimates of observed sea level change in the Southern Ocean, re-emphasizing the importance of historical data and continued geodetic and oceanographic observation in remote areas.</t>
  </si>
  <si>
    <t>[Watson, Christopher; Burgette, Reed] Univ Tasmania, Sch Geog Environm Studies, Surveying &amp; Spatial Sci Grp, Hobart, Tas 7001, Australia; [Tregoning, Paul] Australian Natl Univ, Res Sch Earth Sci, Canberra, ACT, Australia; [White, Neil] Ctr Australian Weather &amp; Climate Res, CSIRO &amp; Australian Bur Meteorol, CSIRO Marine &amp; Atmospher Res, Hobart, Tas 7001, Australia; [Watson, Christopher; Hunter, John; Coleman, Richard] Univ Tasmania, Antarctic Climate &amp; Ecosyst Cooperat Res Ctr, Hobart, Tas 7001, Australia; [Coleman, Richard] Univ Tasmania, Inst Marine &amp; Antarctic Studies, Hobart, Tas 7001, Australia; [Handsworth, Roger; Brolsma, Henk] Australian Antarctic Div, Kingston, Tas 7050, Australia</t>
  </si>
  <si>
    <t>University of Tasmania; Australian National University; Commonwealth Scientific &amp; Industrial Research Organisation (CSIRO); Antarctic Climate &amp; Ecosystems Cooperative Research Centre (ACE CRC); University of Tasmania; University of Tasmania; Australian Antarctic Division</t>
  </si>
  <si>
    <t>Watson, C (corresponding author), Univ Tasmania, Sch Geog Environm Studies, Surveying &amp; Spatial Sci Grp, Private Bag 76, Hobart, Tas 7001, Australia.</t>
  </si>
  <si>
    <t>cwatson@utas.edu.au</t>
  </si>
  <si>
    <t>Watson, Christopher S/D-4707-2013; Tregoning, Paul/D-9283-2013; Tregoning, Paul/N-4842-2018; Coleman, Richard/H-4425-2012</t>
  </si>
  <si>
    <t>Tregoning, Paul/0000-0001-7192-5391; Tregoning, Paul/0000-0001-7192-5391; Watson, Christopher/0000-0002-7464-4592; Coleman, Richard/0000-0002-9731-7498</t>
  </si>
  <si>
    <t>Australian Research Council [DP0877381]; Australian Research Council [DP0877381] Funding Source: Australian Research Council</t>
  </si>
  <si>
    <t>Australian Research Council(Australian Research Council); Australian Research Council(Australian Research Council)</t>
  </si>
  <si>
    <t>The authors thank L. Wallace and P. Woodworth for their constructive reviews of this manuscript. This project was supported under the Australian Research Council's Discovery Projects funding scheme (DP0877381). The Australian Antarctic Division and expeditioners at the Macquarie Island station are thanked for their ongoing assistance with the operation and maintenance of the tide gauge. The authors thank the Mitchell library for assistance with AAE data and the National Tidal Centre for the provision of their digitised AAE tidal record. The authors thank Fred Pollitz for making his program VISCO I D freely available. Geoscience Australia and the International GNSS Service (IGS) are thanked for making the raw GPS data (including MAC I) used in this study publically available. The authors acknowledge the New Zealand GeoNet project and its sponsors EQC, GNS Science and LINZ, for providing the New Zealand raw GPS data that was processed as part of this study. Some of the figures were made with the Generic Mapping Tools software (Wessel &amp; Smith, 1991).</t>
  </si>
  <si>
    <t>10.1111/j.1365-246X.2010.04640.x</t>
  </si>
  <si>
    <t>636JZ</t>
  </si>
  <si>
    <t>Bronze, Green Accepted, Green Submitted</t>
  </si>
  <si>
    <t>WOS:000280730900019</t>
  </si>
  <si>
    <t>Morin, RH; Williams, T; Henrys, SA; Magens, D; Niessen, F; Hansaraj, D</t>
  </si>
  <si>
    <t>Morin, Roger H.; Williams, Trevor; Henrys, Stuart A.; Magens, Diana; Niessen, Frank; Hansaraj, Dhiresh</t>
  </si>
  <si>
    <t>Heat Flow and Hydrologic Characteristics at the AND-1B borehole, ANDRILL McMurdo Ice Shelf Project, Antarctica</t>
  </si>
  <si>
    <t>THERMAL-CONDUCTIVITY; SUBMARINE HYDROGEOLOGY; ROSS-ISLAND; TEMPERATURE; PERMEABILITY; PRESSURE; REGIME; WATER; WELL</t>
  </si>
  <si>
    <t>The Antarctic Drilling Program (ANDRILL) successfully drilled and cored a borehole, AND-1B, beneath the McMurdo Ice Shelf and into a flexural moat basin that surrounds Ross Island. Total drilling depth reached 1285 m below seafloor (mbsf) with 98 percent core recovery for the detailed study of glacier dynamics. With the goal of obtaining complementary information regarding heat flow and permeability, which is vital to understanding the nature of marine hydrogeologic systems, a succession of three temperature logs was recorded over a five-day span to monitor the gradual thermal recovery toward equilibrium conditions. These data were extrapolated to true, undisturbed temperatures, and they define a linear geothermal gradient of 76.7 K/km from the seafloor to 647 mbsf. Bulk thermal conductivities of the sedimentary rocks were derived from empirical mixing models and density measurements performed on core, and an average value of 1.5 W/mK +/- 10 percent was determined. The corresponding estimate of heat flow at this site is 115 mW/m(2). This value is relatively high but is consistent with other elevated heat-flow data associated with the Erebus Volcanic Province. Information regarding the origin and frequency of pathways for subsurface fluid flow is gleaned from drillers' records, complementary geophysical logs, and core descriptions. Only two prominent permeable zones are identified and these correspond to two markedly different features within the rift basin; one is a distinct lithostratigraphic subunit consisting of a thin lava flow and the other is a heavily fractured interval within a single thick subunit.</t>
  </si>
  <si>
    <t>[Morin, Roger H.] US Geol Survey, Denver Fed Ctr, Denver, CO 80225 USA; [Williams, Trevor] Columbia Univ, Lamont Doherty Earth Observ, Palisades, NY 10964 USA; [Magens, Diana; Niessen, Frank] Alfred Wegener Inst Polar &amp; Marine Res, Dept Marine Geophys, D-27515 Bremerhaven, Germany; [Hansaraj, Dhiresh] Victoria Univ Wellington, Sch Earth Sci, Wellington, New Zealand</t>
  </si>
  <si>
    <t>United States Department of the Interior; United States Geological Survey; Columbia University; Helmholtz Association; Alfred Wegener Institute, Helmholtz Centre for Polar &amp; Marine Research; Victoria University Wellington</t>
  </si>
  <si>
    <t>Morin, RH (corresponding author), US Geol Survey, Denver Fed Ctr, Mail Stop 403, Denver, CO 80225 USA.</t>
  </si>
  <si>
    <t>rhmorin@usgs.gov; trevor@ldeo.columbia.edu; s.henrys@gns.cri.nz; diana.magens@awi.de; frank.niessen@awi.de; dhireshh@gmail.com</t>
  </si>
  <si>
    <t>Henrys, Stuart/ABD-7378-2020; Williams, Trevor/L-7670-2014</t>
  </si>
  <si>
    <t>Henrys, Stuart/0000-0002-7164-5274; Niessen, Frank/0000-0001-6453-0594</t>
  </si>
  <si>
    <t>National Science Foundation [0342484]; New Zealand Foundation for Research Science and Technology; Royal Society of New Zealand Marsden</t>
  </si>
  <si>
    <t>National Science Foundation(National Science Foundation (NSF)); New Zealand Foundation for Research Science and Technology(New Zealand Foundation for Research, Science and Technology); Royal Society of New Zealand Marsden(Royal Society of New ZealandMarsden Fund (NZ))</t>
  </si>
  <si>
    <t>The authors are grateful to C. Bucker, R. Saltus, Guest Associate Editor T. Paulsen, and an anonymous reviewer for their thorough and thoughtful reviews that improved this manuscript considerably. ANDRILL is a multinational collaboration among the Antarctic programs of Germany, Italy, New Zealand, and the United States. The authors would also like to thank the project operator, Antarctica New Zealand, and Alex Pyne at Victoria University of Wellington, along with the drilling crew of Webster Drilling and Enterprises Ltd. for their tireless and conscientious support at the drillsite that enabled geophysical logs to be collected. This material is based upon work supported by the National Science Foundation under Cooperative Agreement No. 0342484 through sub-awards administered by the ANDRILL Science Management Office at the University of Nebraska-Lincoln, and issued through Northern Illinois University, as part of the ANDRILL U. S. Science Support Program. Any opinions, findings, and conclusions or recommendations expressed in this material are those of the authors and do not necessarily reflect the views of the National Science Foundation. Support for SAH and DH was provided by New Zealand Foundation for Research Science and Technology and the Royal Society of New Zealand Marsden.</t>
  </si>
  <si>
    <t>10.1130/GES00512.1</t>
  </si>
  <si>
    <t>642GW</t>
  </si>
  <si>
    <t>WOS:000281195200004</t>
  </si>
  <si>
    <t>Morgan, GA; Head, JW; Forget, F; Madeleine, JB; Spiga, A</t>
  </si>
  <si>
    <t>Morgan, Gareth A.; Head, James W.; Forget, Francois; Madeleine, Jean-Baptiste; Spiga, Aymeric</t>
  </si>
  <si>
    <t>Gully formation on Mars: Two recent phases of formation suggested by links between morphology, slope orientation and insolation history</t>
  </si>
  <si>
    <t>ICARUS</t>
  </si>
  <si>
    <t>Mars; Climate; Planetary dynamics; Geological processes</t>
  </si>
  <si>
    <t>MARTIAN GULLIES; SURFACE; WATER; ICE; EVOLUTION; FEATURES</t>
  </si>
  <si>
    <t>The unusual 80 km diameter Noachian-aged Asimov crater in Noachis Terra (46 degrees S, 5 degrees E) is characterized by extensive Noachian-Hesperian crater fill and a younger superposed annulus of valleys encircling the margins of the crater floor. These valleys provide an opportunity to study the relationships of gully geomorphology as a function of changing slope orientation relative to solar insolation. We found that the level of development of gullies was highly correlated with slope orientation and solar insolation. The largest and most complex gully systems, with the most well-developed fluvial landforms, are restricted to pole-facing slopes. In contrast, gullies on equator-facing slopes are smaller, more poorly developed and integrated, more highly degraded, and contain more impact craters. We used a 1D version of the Laboratoire de Meteorologie Dynamique GCM, and slope geometries (orientation and angle), driven by predicted spin-axis/orbital parameter history, to assess the distribution and history of surface temperatures in these valleys during recent geological history. Surface temperatures on pole-facing slopes preferential for water ice accumulation and subsequent melting are predicted to occur as recently as 0.5-2.1 Ma, which is consistent with age estimates of gully activity elsewhere on Mars. In contrast, the 1D model predicts that water ice cannot accumulate on equator-facing slopes until obliquities exceed 45 degrees, suggesting they are unlikely to have been active over the last 5 Ma. The correlation of the temperature predictions and the geological evidence for age differences suggests that there were two phases of gully formation in the last few million years: an older phase in which top-down melting occurred on equator-facing slopes and a younger more robust phase on pole-facing slopes. The similarities of small-scale fluvial erosion features seen in the gullies on Mars and those observed in gullies cut by seasonal and perennial snowmelt in the Antarctic Dry Valleys supports a top-down melting origin for these gullies on Mars. (C) 2010 Elsevier Inc. All rights reserved.</t>
  </si>
  <si>
    <t>[Morgan, Gareth A.; Head, James W.] Brown Univ, Dept Geol Sci, Providence, RI 02912 USA; [Forget, Francois; Madeleine, Jean-Baptiste; Spiga, Aymeric] Univ Jussieu Paris VI, Meteorol Dynam Lab, F-75252 Paris 05, France</t>
  </si>
  <si>
    <t>Brown University; Sorbonne Universite</t>
  </si>
  <si>
    <t>Morgan, GA (corresponding author), Brown Univ, Dept Geol Sci, Providence, RI 02912 USA.</t>
  </si>
  <si>
    <t>gareth_morgan@brown.edu</t>
  </si>
  <si>
    <t>Spiga, Aymeric/O-4858-2014</t>
  </si>
  <si>
    <t>Morgan, Gareth/0000-0002-9513-8736</t>
  </si>
  <si>
    <t>NASA [GC196412NGA]; Mars Data Analysis Program [NNX07AN95G]; NSF [GC18585ONGA)]</t>
  </si>
  <si>
    <t>NASA(National Aeronautics &amp; Space Administration (NASA)); Mars Data Analysis Program; NSF(National Science Foundation (NSF))</t>
  </si>
  <si>
    <t>We gratefully acknowledge financial support from the NASA Mars Fundamental Research Program (GC196412NGA) to James Head, the Mars Data Analysis Program (NNX07AN95G), and the NSF Office of Polar Programs (GC18585ONGA) to James Head and David Marchant. Support and assistance during our field research in Antarctica was provided by David Marchant, James Dickson and Joseph Levy. Thanks are also extended to Celeb Fassett, Laura Kerber and James Dickson for their contribution to scientific discussions during preparation of the manuscript.</t>
  </si>
  <si>
    <t>0019-1035</t>
  </si>
  <si>
    <t>Icarus</t>
  </si>
  <si>
    <t>10.1016/j.icarus.2010.02.019</t>
  </si>
  <si>
    <t>629GJ</t>
  </si>
  <si>
    <t>WOS:000280183000013</t>
  </si>
  <si>
    <t>Kirchgässner, A</t>
  </si>
  <si>
    <t>Kirchgaessner, Amelie</t>
  </si>
  <si>
    <t>An analysis of cloud observations from Vernadsky, Antarctica</t>
  </si>
  <si>
    <t>INTERNATIONAL JOURNAL OF CLIMATOLOGY</t>
  </si>
  <si>
    <t>Clouds; Antarctic Peninsula; Synoptic Observations; Climate Change</t>
  </si>
  <si>
    <t>CLIMATE-CHANGE; COVER; VARIABILITY; RETRIEVALS; SURFACE; TRENDS; LAYER</t>
  </si>
  <si>
    <t>This paper presents results of a combined analysis of cloud observations made at the Antarctic base Faraday/Vernadsky between 1960 and 2005 and sea ice concentration from the HadISST1 data set. The annual total cloud cover has increased significantly during this period with the strongest and most significant positive trend found in winter, and positive tendencies observable in all seasons. This trend is associated with a decrease in sea ice concentration in the area of the Western Antarctic Peninsula. Though the observed sea ice reduction is actually larger and more significant in summer and autumn, there is actually a significant relation between total cloud cover and sea ice concentration only in winter. The increase in the total cloud cover is neither reflected in the low cloud amount nor in the number of records for low, medium or high level clouds. It is therefore thought that the increase in the total cloud cover is caused by an increase in the amount of medium and/or high level clouds. Instead, records for the low cloud amount show a redistribution from cases of extreme cloud cover (0, 1, 7 and 8 okta), which account for up to 90% of annual records, to cases of moderate cloud cover. In accordance with the decrease in sea ice, this may indicate a shift from low-level stratiform towards convective clouds. Copyright (C) 2009 Royal Meteorological Society</t>
  </si>
  <si>
    <t>British Antarctic Survey, NERC, Cambridge CB3 0ET, England</t>
  </si>
  <si>
    <t>Kirchgässner, A (corresponding author), British Antarctic Survey, NERC, High Cross,Madingley Rd, Cambridge CB3 0ET, England.</t>
  </si>
  <si>
    <t>ACRKI@bas.ac.uk</t>
  </si>
  <si>
    <t>Kirchgaessner, Amelie/JGL-9010-2023</t>
  </si>
  <si>
    <t>Kirchgaessner, Amelie/0000-0001-7483-3652</t>
  </si>
  <si>
    <t>NERC [bas0100023, bas010014] Funding Source: UKRI; Natural Environment Research Council [bas0100023, bas010014] Funding Source: researchfish</t>
  </si>
  <si>
    <t>0899-8418</t>
  </si>
  <si>
    <t>1097-0088</t>
  </si>
  <si>
    <t>INT J CLIMATOL</t>
  </si>
  <si>
    <t>Int. J. Climatol.</t>
  </si>
  <si>
    <t>10.1002/joc.1998</t>
  </si>
  <si>
    <t>637ZC</t>
  </si>
  <si>
    <t>WOS:000280856900001</t>
  </si>
  <si>
    <t>Teixeira, LCRS; Peixoto, RS; Cury, JC; Sul, WJ; Pellizari, VH; Tiedje, J; Rosado, AS</t>
  </si>
  <si>
    <t>Teixeira, Lia C. R. S.; Peixoto, Raquel S.; Cury, Juliano C.; Sul, Woo Jun; Pellizari, Vivian H.; Tiedje, James; Rosado, Alexandre S.</t>
  </si>
  <si>
    <t>Bacterial diversity in rhizosphere soil from Antarctic vascular plants of Admiralty Bay, maritime Antarctica</t>
  </si>
  <si>
    <t>ISME JOURNAL</t>
  </si>
  <si>
    <t>Antarctica soil; rhizosphere; Colobanthus quitensis; Deschampsia antarctica; microbial diversity; pyrosequencing</t>
  </si>
  <si>
    <t>MICROBIAL COMMUNITY STRUCTURE; 16S RIBOSOMAL-RNA; AMPLIFICATION; ECOSYSTEMS; ABUNDANCE; RESPONSES; CRYOSOLS; BIOMASS; REGION; CARBON</t>
  </si>
  <si>
    <t>The Antarctic is a pristine environment that contributes to the maintenance of the global climate equilibrium. The harsh conditions of this habitat are fundamental to selecting those organisms able to survive in such an extreme habitat and able to support the relatively simple ecosystems. The DNA of the microbial community associated with the rhizospheres of Deschampsia antarctica Desv (Poaceae) and Colobanthus quitensis (Kunth) BartI (Caryophyllaceae), the only two native vascular plants that are found in Antarctic ecosystems, was evaluated using a 16S rRNA multiplex 454 pyrosequencing approach. This analysis revealed similar patterns of bacterial diversity between the two plant species from different locations, arguing against the hypothesis that there would be differences between the rhizosphere communities of different plants. Furthermore, the phylum distribution presented a peculiar pattern, with a bacterial community structure different from those reported of many other soils. Firmicutes was the most abundant phylum in almost all the analyzed samples, and there were high levels of anaerobic representatives. Also, some phyla that are dominant in most temperate and tropical soils, such as Acidobacteria, were rarely found in the analyzed samples. Analyzing all the sample libraries together, the predominant genera found were Bifidobacterium (phylum Actinobacteria), Arcobacter (phylum Proteobacteria) and Faecalibacterium (phylum Firmicutes). To the best of our knowledge, this is the first major bacterial sequencing effort of this kind of soil, and it revealed more than expected diversity within these rhizospheres of both maritime Antarctica vascular plants in Admiralty Bay, King George Island, which is part of the South Shetlands archipelago. The ISME Journal (2010) 4, 989-1001; doi:10.1038/ismej.2010.35; published online 1 April 2010</t>
  </si>
  <si>
    <t>[Teixeira, Lia C. R. S.; Peixoto, Raquel S.; Cury, Juliano C.; Rosado, Alexandre S.] Univ Fed Rio de Janeiro, Inst Microbiol Prof Paulo de Goes, Lab Ecol Microbiana Mol, Dept Microbiol Geral, BR-21941902 Rio De Janeiro, Brazil; [Sul, Woo Jun; Tiedje, James] Michigan State Univ, Ctr Microbial Ecol, E Lansing, MI 48824 USA; [Pellizari, Vivian H.] Univ Sao Paulo, Inst Oceanog, Sao Paulo, Brazil</t>
  </si>
  <si>
    <t>Universidade Federal do Rio de Janeiro; Michigan State University; Universidade de Sao Paulo</t>
  </si>
  <si>
    <t>Rosado, AS (corresponding author), Univ Fed Rio de Janeiro, Inst Microbiol Prof Paulo de Goes, Lab Ecol Microbiana Mol, Dept Microbiol Geral, Av Carlos Chagas Filho 373, BR-21941902 Rio De Janeiro, Brazil.</t>
  </si>
  <si>
    <t>asrosado@micro.ufrj.br</t>
  </si>
  <si>
    <t>Teixeira, Lia/AFV-0851-2022; Rosado, Alexandre Soares/G-1955-2012; Cury, J C/F-8034-2014; Peixoto, Raquel/V-2554-2019; Sul, Woo Jun/A-9291-2012; Pellizari, Vivian/J-9153-2012</t>
  </si>
  <si>
    <t>Teixeira, Lia/0000-0002-2874-1973; Rosado, Alexandre Soares/0000-0001-5135-1394; Sul, Woo Jun/0000-0002-7016-1454; Pellizari, Vivian/0000-0003-2757-6352; Cury, Juliano/0000-0002-1450-5726; Peixoto, Raquel/0000-0002-9536-3132</t>
  </si>
  <si>
    <t>Brazilian Antarctic Program, PROANTAR [403]</t>
  </si>
  <si>
    <t>This study received financial and logistic support from the Brazilian Antarctic Program, PROANTAR, as part of the IPY Activity no. 403 'MIDIAPI Microbial Diversity of Terrestrial and Maritime ecosystems in Antarctic Peninsula' (520194/2006-3) and FAPERJ. We thank Prof Andrew Macrae (IMPPG/UFRJ) for critical review of this paper.</t>
  </si>
  <si>
    <t>1751-7362</t>
  </si>
  <si>
    <t>1751-7370</t>
  </si>
  <si>
    <t>ISME J</t>
  </si>
  <si>
    <t>ISME J.</t>
  </si>
  <si>
    <t>10.1038/ismej.2010.35</t>
  </si>
  <si>
    <t>Ecology; Microbiology</t>
  </si>
  <si>
    <t>Environmental Sciences &amp; Ecology; Microbiology</t>
  </si>
  <si>
    <t>634OM</t>
  </si>
  <si>
    <t>WOS:000280592600004</t>
  </si>
  <si>
    <t>Ng, C; DeMaere, MZ; Williams, TJ; Lauro, FM; Raftery, M; Gibson, JAE; Andrews-Pfannkoch, C; Lewis, M; Hoffman, JM; Thomas, T; Cavicchioli, R</t>
  </si>
  <si>
    <t>Ng, Charmaine; DeMaere, Matthew Z.; Williams, Timothy J.; Lauro, Federico M.; Raftery, Mark; Gibson, John A. E.; Andrews-Pfannkoch, Cynthia; Lewis, Matt; Hoffman, Jeffrey M.; Thomas, Torsten; Cavicchioli, Ricardo</t>
  </si>
  <si>
    <t>Metaproteogenomic analysis of a dominant green sulfur bacterium from Ace Lake, Antarctica</t>
  </si>
  <si>
    <t>green sulfur bacterium; metagenomics; metaproteomics; cold adaptation; Antarctic meromictic lake; ecological dominance</t>
  </si>
  <si>
    <t>VESTFOLD HILLS; PHOTOSYNTHETIC BACTERIA; ESCHERICHIA-COLI; MEROMICTIC LAKES; GENOME SEQUENCE; LIGHT; GENE; BIOSYNTHESIS; MECHANISM; ARCHAEON</t>
  </si>
  <si>
    <t>Green sulfur bacteria (GSB) (Chlorobiaceae) are primary producers that are important in global carbon and sulfur cycling in natural environments. An almost complete genome sequence for a single, dominant GSB species ('C-Ace') was assembled from shotgun sequence data of an environmental sample taken from the O-2-H2S interface of the water column of Ace Lake, Antarctica. Approximately 34 Mb of DNA sequence data were assembled into nine scaffolds totaling 1.79 Mb, representing approximately 19-fold coverage for the C-Ace composite genome. A high level (similar to 31%) of metaproteomic coverage was achieved using matched biomass. The metaproteogenomic approach provided unique insight into the protein complement required for dominating the microbial community under cold, nutrient-limited, oxygen-limited and extremely varied annual light conditions. C-Ace shows physiological traits that promote its ability to compete very effectively with other GSB and gain dominance (for example, specific bacteriochlorophylls, mechanisms of cold adaptation) as well as a syntrophic relationship with sulfate-reducing bacteria that provides a mechanism for the exchange of sulfur compounds. As a result we are able to propose an explanation of the active biological processes promoted by cold-adapted GSB and the adaptive strategies they use to thrive under the severe physiochemical conditions prevailing in polar environments. The ISME Journal (2010) 4, 1002-1019; doi:10.1038/ismej.2010.28; published online 18 March 2010</t>
  </si>
  <si>
    <t>[Cavicchioli, Ricardo] Univ New S Wales, BABS, Sch Biotechnol &amp; Biomol Sci, Sydney, NSW 2052, Australia; [Raftery, Mark] Univ New S Wales, Bioanalyt Mass Spectrometry Facil, Sydney, NSW 2052, Australia; [Gibson, John A. E.] Univ Tasmania, Marine Res Labs, Tasmanian Aquaculture &amp; Fisheries Inst, Hobart, Tas, Australia; [Andrews-Pfannkoch, Cynthia; Lewis, Matt; Hoffman, Jeffrey M.] J Craig Venter Inst, Rockville, MD USA; [Thomas, Torsten] Univ New S Wales, Ctr Marine Bioinnovat, Sydney, NSW 2052, Australia</t>
  </si>
  <si>
    <t>University of New South Wales Sydney; University of New South Wales Sydney; University of Tasmania; J. Craig Venter Institute; University of New South Wales Sydney</t>
  </si>
  <si>
    <t>Cavicchioli, R (corresponding author), Univ New S Wales, BABS, Sch Biotechnol &amp; Biomol Sci, Sydney, NSW 2052, Australia.</t>
  </si>
  <si>
    <t>DeMaere, Matthew Zachariah/D-9002-2012; Lauro, Federico/X-2420-2019; Cavicchioli, Ricardo/D-4341-2013</t>
  </si>
  <si>
    <t>DeMaere, Matthew Zachariah/0000-0002-7601-5108; Lauro, Federico/0000-0002-8373-1014; Williams, Timothy/0000-0002-2738-3019; Cavicchioli, Ricardo/0000-0001-8989-6402; Ng, Charmaine/0000-0003-3026-0009; Thomas, Torsten/0000-0001-9557-3001</t>
  </si>
  <si>
    <t>Australian Research Council; Australian Antarctic Division; Gordon and Betty Moore Foundation</t>
  </si>
  <si>
    <t>Australian Research Council(Australian Research Council); Australian Antarctic Division; Gordon and Betty Moore Foundation(Gordon and Betty Moore Foundation)</t>
  </si>
  <si>
    <t>We thank John Bowman, Louise (Cromer) Newman, Anthony Hull, John Rich and Martin Riddle in providing helpful discussion and logistical support associated with the Antarctic expedition. Special thanks to Karla Heidelberg for genuine assistance in initiating genome sequencing and for assistance with sampling design, and Ken Nealson for critically reviewing the paper. We also thank the reviewers for very insightful comments. The work of the Australian contingent was supported by the Australian Research Council and the Australian Antarctic Division.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 The work of JCVI members was supported by funding provided from the Gordon and Betty Moore Foundation.</t>
  </si>
  <si>
    <t>SPRINGERNATURE</t>
  </si>
  <si>
    <t>CAMPUS, 4 CRINAN ST, LONDON, N1 9XW, ENGLAND</t>
  </si>
  <si>
    <t>10.1038/ismej.2010.28</t>
  </si>
  <si>
    <t>WOS:000280592600005</t>
  </si>
  <si>
    <t>Troshichev, O</t>
  </si>
  <si>
    <t>Troshichev, O.</t>
  </si>
  <si>
    <t>Relationship between magnetic activity in the polar cap and atmospheric processes in the winter Antarctica</t>
  </si>
  <si>
    <t>PC index of magnetic activity; Cloudiness; Sudden warmings; Katabatic winds; Circumpolar vortex; Anomalous wind regime</t>
  </si>
  <si>
    <t>GALACTIC COSMIC-RAYS; SOLAR-WIND VARIATIONS; FORBUSH-DECREASES; POSSIBLE CONNECTIONS; KATABATIC WIND; CLOUD COVERAGE; EL-NINO; CLIMATE; REGIME; TEMPERATURE</t>
  </si>
  <si>
    <t>The paper demonstrates the close relationships between the polar cap magnetic activity, which is characterized by PC index (Troshichev et al., 1988, 2006) and some atmospheric phenomena typical of the winter Antarctica, such as enhancement of cloudiness, sudden warmings of the ground atmosphere in near-pole area, and formation of anomalous wind regimes above Antarctica. It was shown previously (Troshichev et al., 2004, 2008: Troshichev and Janzhura, 2004;) that these atmospheric phenomena are controlled by variations of the geoeffective interplanetary electric field impacting the Earth's magnetosphere. On the other hand, the polar cap magnetic activity is also determined by the interplanetary electric field influence through the field-aligned magnetospheric currents and electric field in the polar cap ionosphere. The results imply that the PC index, available online at http://www.aari.nw.ru from the near-pole station Vostok, can be used to monitor the anomalous atmospheric processes in winter Antarctica. (C) 2010 Elsevier Ltd. All rights reserved.</t>
  </si>
  <si>
    <t>Troshichev, O (corresponding author), Arctic &amp; Antarctic Res Inst, St Petersburg 199397, Russia.</t>
  </si>
  <si>
    <t>olegtro@aari.nw.ru</t>
  </si>
  <si>
    <t>10.1016/j.jastp.2010.05.002</t>
  </si>
  <si>
    <t>639KK</t>
  </si>
  <si>
    <t>WOS:000280973500004</t>
  </si>
  <si>
    <t>Perevalova, NP; Polyakova, AS; Zalizovski, AV</t>
  </si>
  <si>
    <t>Perevalova, N. P.; Polyakova, A. S.; Zalizovski, A. V.</t>
  </si>
  <si>
    <t>Diurnal variations of the total electron content under quiet helio-geomagnetic conditions</t>
  </si>
  <si>
    <t>Ionosphere; Total electron content; GPS; GIM</t>
  </si>
  <si>
    <t>SOLAR-ACTIVITY PERIOD</t>
  </si>
  <si>
    <t>The morphology of averaged diurnal variations of total electron content (TEC) under quiet helio-geomagnetic conditions for all latitudinal bands and various longitudes has been studied using Global Ionospheric Maps (GIMs) datasets. The diurnal TEC variation maximum is generally registered at 14-15 LT. The maximum is 38 +/- 5, 14 +/- 2, 10 +/- 2 TECU (TECU is generally accepted TEC unit) at the equatorial, middle and high latitudes. The nighttime TEC minimum is within 5-7 TECU regardless of a season, latitude and longitude. At the equatorial latitudes TEC exhibits the most significant daily/season variations and the asymmetry of its behavior in the hemispheres near the equinox. Abnormal diurnal TEC variations (evening maximum, near-noon minimum) are observed at middle and high latitudes in summer due to atmospheric wind effects. The comparison of the averaged diurnal TEC variations with the behavior of the ionospheric F2-layer critical frequency indicated that GIMs describe daily/annual TEC variations reasonably well. (C) 2010 Elsevier Ltd. All rights reserved.</t>
  </si>
  <si>
    <t>[Perevalova, N. P.; Polyakova, A. S.] RAS, Inst SolarTerr Phys SB, Irkutsk 664033 33, Russia; [Zalizovski, A. V.] Natl Acad Sci Ukraine 4, Inst Radio Astron, UA-61002 Kharkov, Ukraine</t>
  </si>
  <si>
    <t>Russian Academy of Sciences; National Academy of Sciences Ukraine; Institute of Radio Astronomy of the National Academy of Sciences of Ukraine</t>
  </si>
  <si>
    <t>Perevalova, NP (corresponding author), RAS, Inst SolarTerr Phys SB, POB 291, Irkutsk 664033 33, Russia.</t>
  </si>
  <si>
    <t>pereval@iszf.irk.ru</t>
  </si>
  <si>
    <t>Zalizovski, Andriy/HII-4602-2022; Zalizovski, Andriy/ABB-4475-2020; Yasyukevich, Anna/O-6296-2014; Perevalova, Natalia/I-5054-2018</t>
  </si>
  <si>
    <t>Zalizovski, Andriy/0000-0002-6271-0126; Zalizovski, Andriy/0000-0002-6271-0126; Yasyukevich, Anna/0000-0001-8456-1697;</t>
  </si>
  <si>
    <t>Russian Foundation for Basic Research [08-02-90437-Ukr]; Ukrainian National Academy of Science [0108U004878]</t>
  </si>
  <si>
    <t>Russian Foundation for Basic Research(Russian Foundation for Basic Research (RFBR)Spanish Government); Ukrainian National Academy of Science</t>
  </si>
  <si>
    <t>The research was supported by a joint Russian-Ukrainian project financed by the Russian Foundation for Basic Research (Grant 08-02-90437-Ukr) and by the Ukrainian National Academy of Science (Grant 0108U004878). The authors are grateful to the National Antarctic Scientific Center of Ukraine and University of Massachusetts, Lowell, Center for Atmospheric Research (USA) for the data on vertical sounding of the ionosphere, as well as to N.M. Polekh, O.M. Pirog, S.V. Voeikov and A.A. Sopin for their assistance in obtaining the data and helpful discussion.</t>
  </si>
  <si>
    <t>10.1016/j.jastp.2010.05.014</t>
  </si>
  <si>
    <t>WOS:000280973500010</t>
  </si>
  <si>
    <t>Lin, P; Fu, QA; Solomon, S; Wallace, JM</t>
  </si>
  <si>
    <t>Lin, Pu; Fu, Qiang; Solomon, Susan; Wallace, John M.</t>
  </si>
  <si>
    <t>Temperature Trend Patterns in Southern Hemisphere High Latitudes: Novel Indicators of Stratospheric Change (vol 22, pg 6325, 2009)</t>
  </si>
  <si>
    <t>ZONAL ASYMMETRY; POLAR VORTEX; TOTAL OZONE; CLIMATE; EVOLUTION; VARIABILITY; CIRCULATION; SIMULATION; ATMOSPHERE; DEPLETION</t>
  </si>
  <si>
    <t>Robust stratospheric temperature trend patterns are suggested in the winter and spring seasons in the Southern Hemisphere high latitudes from the satellite-borne Microwave Sounding Unit (MSU) measurement for 1979-2007. These patterns serve as indicators of key processes governing temperature and ozone changes in the Antarctic. The observed patterns are characterized by cooling and warming regions of comparable magnitudes, with the strongest local trends occurring in September and October. In September, ozone depletion induces radiative cooling, and strengthening of the Brewer-Dobson circulation (BDC) induces dynamical warming. Because the trends induced by these two processes are centered in different locations in September, they do not cancel each other, but rather produce a wavelike structure. In contrast, during October, the ozone-induced radiative cooling and the BDC-induced warming exhibit a more zonally symmetric structure than in September, and hence largely cancel each other. However, the October quasi-stationary planetary wavenumber 1 has shifted eastward from 1979 to 2007, producing a zonal wavenumber-1 trend structure, which dominates the observed temperature trend pattern. Simulated temperature changes for 1979-2007 from coupled atmosphere ocean general circulation model (AOGCM) experiments run for the Intergovernmental Panel on Climate Change Fourth Assessment Report (IPCC AR4) are compared with the observations. In general, the simulated temperature changes are dominated by zonally symmetric ozone-induced radiative cooling. The models fail to simulate the warming in the southern polar stratosphere, implying a lack of the BDC strengthening in these models. They also fail to simulate the quasi-stationary planetary wave changes observed in October and November.</t>
  </si>
  <si>
    <t>[Lin, Pu; Fu, Qiang; Wallace, John M.] Univ Washington, Dept Atmospher Sci, Seattle, WA 98195 USA; [Solomon, Susan] NOAA, Div Chem Sci, Earth Syst Res Lab, Boulder, CO USA</t>
  </si>
  <si>
    <t>University of Washington; University of Washington Seattle; National Oceanic Atmospheric Admin (NOAA) - USA</t>
  </si>
  <si>
    <t>Lin, P (corresponding author), Univ Washington, Dept Atmospher Sci, 408 ATG Bldg,Box 351640, Seattle, WA 98195 USA.</t>
  </si>
  <si>
    <t>plin@atmos.washington.edu</t>
  </si>
  <si>
    <t>Fu, Qi/HTT-2030-2023</t>
  </si>
  <si>
    <t>NASA [NNX08AG91G]; NOAA [NA08OAR4310725]; NSF [0318675]; Directorate For Geosciences; Div Atmospheric &amp; Geospace Sciences [0318675] Funding Source: National Science Foundation; NASA [99846, NNX08AG91G] Funding Source: Federal RePORTER</t>
  </si>
  <si>
    <t>NASA(National Aeronautics &amp; Space Administration (NASA)); NOAA(National Oceanic Atmospheric Admin (NOAA) - USA); NSF(National Science Foundation (NSF)); Directorate For Geosciences; Div Atmospheric &amp; Geospace Sciences(National Science Foundation (NSF)NSF - Directorate for Geosciences (GEO)); NASA(National Aeronautics &amp; Space Administration (NASA))</t>
  </si>
  <si>
    <t>We thank Drs. R. Ueyama, C. M. Johanson, and D. L. Hartmann for useful discussions. We acknowledge the modeling groups, the Program for Climate Model Diagnoisis and Intercomparison (PCMDI), and the WCRP's Working Group on Coupled Modeling (WGCM) for their roles in making available the WCRP CMIP3 multimodel dataset. Support of this dataset is provided by the Office of Science, U.S. Department of Energy. This work is supported by NASA Grant NNX08AG91G and NOAA Grant NA08OAR4310725. J. M. Wallace's participation in this work is funded by NSF Grant 0318675.</t>
  </si>
  <si>
    <t>10.1175/2010JCLI3777.1</t>
  </si>
  <si>
    <t>645WX</t>
  </si>
  <si>
    <t>WOS:000281498000017</t>
  </si>
  <si>
    <t>Kelley, JL; Aagaard, JE; MacCoss, MJ; Swanson, WJ</t>
  </si>
  <si>
    <t>Kelley, Joanna L.; Aagaard, Jan E.; MacCoss, Michael J.; Swanson, Willie J.</t>
  </si>
  <si>
    <t>Functional Diversification and Evolution of Antifreeze Proteins in the Antarctic Fish Lycodichthys dearborni</t>
  </si>
  <si>
    <t>JOURNAL OF MOLECULAR EVOLUTION</t>
  </si>
  <si>
    <t>Antifreeze proteins; Adaptive evolution; Paralogs; Isoforms; Mass spectrometry; Positive selection; Type III AFPs</t>
  </si>
  <si>
    <t>EELPOUT ZOARCES-VIVIPARUS; AMINO-ACID SITES; III ANTIFREEZE; EEL POUT; MACROZOARCES-AMERICANUS; THERMAL HYSTERESIS; ICE-BINDING; OCEAN POUT; PEPTIDE HETEROGENEITY; POSITIVE SELECTION</t>
  </si>
  <si>
    <t>Antifreeze proteins (AFPs) have independently evolved in many organisms. AFPs act by binding to ice crystals, effectively lowering the freezing point. AFPs are often at high copy number in a genome and diversity exists between copies. Type III antifreeze proteins are found in Arctic and Antarctic eel pouts, and have previously been shown to evolve under positive selection. Here we combine molecular and proteomic techniques to understand the molecular evolution and diversity of Type III antifreeze proteins in a single individual Antarctic fish Lycodichthys dearborni. Our expressed sequence tag (EST) screen reveals that at least seven different AFP variants are transcribed, which are ultimately translated into five different protein isoforms. The isoforms have identical 66 base pair signal sequences and different numbers of subsequent ice-binding domains followed by a stop codon. Isoforms with one ice-binding unit (monomer), two units (dimer), and multiple units (multimer) were present in the EST library. We identify a previously uncharacterized protein dimer, providing further evidence that there is diversity between Type III AFP isoforms, perhaps driven by positive selection for greater thermal hysteresis. Proteomic analysis confirms that several of these isoforms are translated and present in the liver. Our molecular evolution study shows that paralogs have diverged under positive selection. We hypothesize that antifreeze protein diversity is an important contributor to depressing the serum freezing point.</t>
  </si>
  <si>
    <t>[Kelley, Joanna L.; Aagaard, Jan E.; MacCoss, Michael J.; Swanson, Willie J.] Univ Washington, Dept Genome Sci, Seattle, WA 98195 USA</t>
  </si>
  <si>
    <t>Kelley, JL (corresponding author), Univ Chicago, Dept Human Genet, Chicago, IL 60637 USA.</t>
  </si>
  <si>
    <t>jlkelley@uchicago.edu</t>
  </si>
  <si>
    <t>Kelley, Joanna L/H-1693-2012</t>
  </si>
  <si>
    <t>Kelley, Joanna L/0000-0002-7731-605X; Swanson, Willie/0000-0002-6553-0921</t>
  </si>
  <si>
    <t>NSF [OPP05-04072, DEB-0716761]; Sigma Xi; NIH/NCRR [P41 RR011823]; NIH [HD042536]; [GM72861]</t>
  </si>
  <si>
    <t>NSF(National Science Foundation (NSF)); Sigma Xi; NIH/NCRR(United States Department of Health &amp; Human ServicesNational Institutes of Health (NIH) - USANIH National Center for Research Resources (NCRR)); NIH(United States Department of Health &amp; Human ServicesNational Institutes of Health (NIH) - USA);</t>
  </si>
  <si>
    <t>We acknowledge Jason Podrabsky and George Somero for providing fish (Samples were collected under Grant NSF OPP05-04072 to D. Manahan), Dawn Roje for dissection assistance, Genn Merrihew for mass spectrometry expertise, James Thompson for homology modeling input, Carole Kelley for comments on the manuscript, and Geoff Findlay and Steve Springer for input on the project. This research was supported by a Sigma Xi Grant-In-Aid of Research to JLK. This work was supported by NIH/NCRR grant number P41 RR011823 to MJM and NSF DEB-0716761 and NIH HD042536 to WJS; JLK was additionally supported by GM72861 to Molly Przeworski.</t>
  </si>
  <si>
    <t>0022-2844</t>
  </si>
  <si>
    <t>1432-1432</t>
  </si>
  <si>
    <t>J MOL EVOL</t>
  </si>
  <si>
    <t>J. Mol. Evol.</t>
  </si>
  <si>
    <t>10.1007/s00239-010-9367-6</t>
  </si>
  <si>
    <t>644RL</t>
  </si>
  <si>
    <t>WOS:000281397100003</t>
  </si>
  <si>
    <t>Matsumoto, GI; Tani, Y; Seto, K; Tazawa, T; Yamamuro, M; Watanabe, T; Nakamura, T; Takemura, T; Imura, S; Kanda, H</t>
  </si>
  <si>
    <t>Matsumoto, Genki I.; Tani, Yukinori; Seto, Koji; Tazawa, Tomoko; Yamamuro, Masumi; Watanabe, Takahiro; Nakamura, Toshio; Takemura, Tetsuo; Imura, Satoshi; Kanda, Hiroshi</t>
  </si>
  <si>
    <t>Holocene paleolimnological changes in Lake Skallen Oike in the Syowa Station area of Antarctica inferred from organic components in a sediment core (Sk4C-02)</t>
  </si>
  <si>
    <t>JOURNAL OF PALEOLIMNOLOGY</t>
  </si>
  <si>
    <t>Antarctic lake; Paleolimnological change; Sediment core; Organic components; AMS carbon-14 dating; Uplifting rate</t>
  </si>
  <si>
    <t>RADIOCARBON AGE CALIBRATION; PHOTOSYNTHETIC PIGMENTS; EAST ANTARCTICA; LARSEMANN HILLS; VESTFOLD HILLS; SOUTHERN BASIN; ICE SHELF; HISTORY; HOVSGOL; NITRATE</t>
  </si>
  <si>
    <t>Antarctic climate changes influence environmental changes at both regional and local scales. Here we report Holocene paleolimnological changes in lake sediment core Sk4C-02 (length 378.0 cm) from Lake Skallen Oike in the Soya Kaigan region of East Antarctica inferred from analyses of sedimentary facies, a range of organic components, isotope ratios of organic carbon and nitrogen, and carbon-14 dating by Tandetron accelerator mass spectrometry. The sediment core was composed of clayish mud (378.0-152.5 cm) overlain by organic sediments (152.5 cm-surface). The age of the surface and the core bottom were 150 (AD1950-1640) and ca. 7,030 +/- A 73 calibrated years before present (cal BP), respectively, and the mean sedimentation rate was estimated to be 0.55 mm/year. Multi-proxy analyses revealed that the principal environmental change in the core is a transition from marine to lacustrine environments which occurred at a depth of 152.5 cm (ca. 3,590 cal BP). This was caused by relative sea level change brought about by ongoing retreat of glaciers during the mid-Holocene warming of Antarctica, and ongoing isostatic uplift which outpaced changes in global (eustatic) sea level. The mean isostatic uplift rate was calculated to be 2.8 mm/year. The coastal marine period (378.0-152.5 cm, ca. 7,030-3,590 cal BP) was characterized by low biological production with the predominance of diatoms. During the transition period from marine to freshwater conditions (152.5-approximately 135 cm, ca. 3,590-3,290 cal BP) the lake was stratified with marine water overlain by freshwater, with a chemocline and an anoxic (sulfidic) layer in the bottom of the photic zone. Green sulfur bacteria and Cryptophyta were the major photosynthetic organisms. The Cryptophyta appeared to be tolerant of the moderate salinity and stratified water conditions. The lacustrine period (approximately 135 cm-surface, ca. 3,290 cal BP-present) was characterized by high biological production by green algae (e.g. Comarium clepsydra and Oedegonium spp.) with some contributions from cyanobacteria and diatoms. Biological production during this period was 8.7 times higher than during the coastal marine period.</t>
  </si>
  <si>
    <t>[Matsumoto, Genki I.] Otsuma Womens Univ, Sch Social Informat Studies, Dept Environm Studies, Tama, Tokyo 2068540, Japan; [Tani, Yukinori] Univ Shizuoka, Inst Environm Sci, Suruga Ku, Shizuoka 4228526, Japan; [Seto, Koji] Shimane Univ, Res Ctr Coastal Lagoon Environm, Matsue, Shimane 6908504, Japan; [Tazawa, Tomoko; Takemura, Tetsuo] Tokyo Univ Sci, Dept Chem, Fac Sci, Shinjuku Ku, Tokyo 1628601, Japan; [Yamamuro, Masumi] Geol Survey Japan, Tsukuba, Ibaraki 3058567, Japan; [Yamamuro, Masumi] Univ Tokyo, Grad Sch Frontier Sci, Kashiwa, Chiba 2778563, Japan; [Watanabe, Takahiro] Tohoku Univ, Grad Sch Sci, Aoba Ku, Sendai, Miyagi 9808578, Japan; [Nakamura, Toshio] Nagoya Univ, Ctr Chronol Res, Chikusa Ku, Nagoya, Aichi 4648601, Japan; [Imura, Satoshi; Kanda, Hiroshi] Natl Inst Polar Res, Tachikawa, Tokyo 1908518, Japan</t>
  </si>
  <si>
    <t>University of Shizuoka; Shimane University; Tokyo University of Science; University of Tokyo; Tohoku University; Nagoya University; Research Organization of Information &amp; Systems (ROIS); National Institute of Polar Research (NIPR) - Japan</t>
  </si>
  <si>
    <t>Matsumoto, GI (corresponding author), Otsuma Womens Univ, Sch Social Informat Studies, Dept Environm Studies, 2-7-1 Karakida, Tama, Tokyo 2068540, Japan.</t>
  </si>
  <si>
    <t>genki@otsuma.ac.jp</t>
  </si>
  <si>
    <t>YAMAMURO, Masumi/O-8027-2015</t>
  </si>
  <si>
    <t>YAMAMURO, Masumi/0000-0002-3985-4762</t>
  </si>
  <si>
    <t>0921-2728</t>
  </si>
  <si>
    <t>1573-0417</t>
  </si>
  <si>
    <t>J PALEOLIMNOL</t>
  </si>
  <si>
    <t>J. Paleolimn.</t>
  </si>
  <si>
    <t>10.1007/s10933-010-9448-y</t>
  </si>
  <si>
    <t>Environmental Sciences; Geosciences, Multidisciplinary; Limnology</t>
  </si>
  <si>
    <t>Environmental Sciences &amp; Ecology; Geology; Marine &amp; Freshwater Biology</t>
  </si>
  <si>
    <t>627VB</t>
  </si>
  <si>
    <t>WOS:000280070500024</t>
  </si>
  <si>
    <t>Klocker, A; McDougall, TJ</t>
  </si>
  <si>
    <t>Klocker, Andreas; McDougall, Trevor J.</t>
  </si>
  <si>
    <t>Influence of the Nonlinear Equation of State on Global Estimates of Dianeutral Advection and Diffusion</t>
  </si>
  <si>
    <t>OVERTURNING CIRCULATION; ABYSSAL CIRCULATION; ROUGH TOPOGRAPHY; WORLD OCEAN; ENERGETICS; TRACER; MODEL; DISSIPATION</t>
  </si>
  <si>
    <t>Recent work on the global overturning circulation and its energetics assumes that processes caused by nonlinearities of the equation of state of seawater are negligible. Nonlinear processes such as cabbeling and thermobaricity cause diapycnal motion as a consequence of isopycnal mixing. The nonlinear equation of state also causes the helical nature of neutral trajectories; as a consequence of this helical nature, it is not possible to define a continuous density surface that aligns with neutral tangent planes. The result is an additional diapycnal advection, which needs to be accounted for in water-mass analysis. In this paper, the authors take advantage of new techniques in constructing very accurate continuous density surfaces to more precisely estimate isopycnal and diapycnal processes caused by the nonlinear equation of state. They then quantify the diapycnal advection due to each of these nonlinear processes and show that they lead in total to a significant downward diapycnal advection, particularly in the Southern Ocean. The nonlinear processes are therefore another source of dense water formation in addition to high-latitude convection. To maintain the abyssal stratification in the global ocean, these dense water masses have to be brought back toward surface layers, and this can occur by either diabatic or adiabatic processes. Including these nonlinear processes into the advection-diffusion balance, the authors show that observed diapycnal diffusivities are unlikely to be able to support the amount of dense water produced in the global ocean, thus placing more importance on the adiabatic way of bringing the deep waters back to the surface.</t>
  </si>
  <si>
    <t>[Klocker, Andreas] Univ Tasmania, CSIRO Marine &amp; Atmospher Res, Hobart, Tas, Australia; [Klocker, Andreas] Univ Tasmania, Antarctic Climate &amp; Ecosyst Cooperat Res Ctr, Hobart, Tas, Australia; [Klocker, Andreas] Univ Tasmania, Inst Antarctic &amp; So Ocean Studies, Hobart, Tas 7001, Australia; [McDougall, Trevor J.] Ctr Australian Climate &amp; Weather Res, Hobart, Tas, Australia</t>
  </si>
  <si>
    <t>University of Tasmania; Commonwealth Scientific &amp; Industrial Research Organisation (CSIRO); University of Tasmania; Antarctic Climate &amp; Ecosystems Cooperative Research Centre (ACE CRC); University of Tasmania</t>
  </si>
  <si>
    <t>Klocker, A (corresponding author), MIT, 77 Massachusetts Ave, Cambridge, MA 02139 USA.</t>
  </si>
  <si>
    <t>aklocker@mit.edu</t>
  </si>
  <si>
    <t>McDougall, Trevor J/A-6770-2013; Klocker, Andreas/E-4632-2011</t>
  </si>
  <si>
    <t>Klocker, Andreas/0000-0002-2038-7922</t>
  </si>
  <si>
    <t>CSIRO-UTAS; Wealth from Oceans National Research Flagship; Antarctic Climate and Ecosystems Cooperative Research Centre (ACE CRC); CSIRO Wealth from Oceans National Research Flagship</t>
  </si>
  <si>
    <t>CSIRO-UTAS(Commonwealth Scientific &amp; Industrial Research Organisation (CSIRO)); Wealth from Oceans National Research Flagship; Antarctic Climate and Ecosystems Cooperative Research Centre (ACE CRC)(Australian GovernmentDepartment of Industry, Innovation and ScienceCooperative Research Centres (CRC) Programme); CSIRO Wealth from Oceans National Research Flagship</t>
  </si>
  <si>
    <t>We thank Louise Bell and Lea Crosswell for help with the figures in this paper and Russ Fiedler for his help with the model runs. We also thank Bernadette Sloyan and Jean-Baptiste Sallee for valuable comments on the manuscript. The first author was supported by a joint CSIRO-UTAS Ph.D. scholarship in quantitative marine science (QMS) and a top-up CSIRO Ph.D. stipend (funded from Wealth from Oceans National Research Flagship). This research was supported by the Antarctic Climate and Ecosystems Cooperative Research Centre (ACE CRC). This work contributes to the CSIRO Climate Change Research Program and has been partially supported by the CSIRO Wealth from Oceans National Research Flagship.</t>
  </si>
  <si>
    <t>10.1175/2010JPO4303.1</t>
  </si>
  <si>
    <t>646ET</t>
  </si>
  <si>
    <t>Green Submitted, Green Accepted, Bronze, Green Published</t>
  </si>
  <si>
    <t>WOS:000281520800002</t>
  </si>
  <si>
    <t>Quantifying the Consequences of the Ill-Defined Nature of Neutral Surfaces</t>
  </si>
  <si>
    <t>THERMOBARICITY; DENSITY; OCEAN</t>
  </si>
  <si>
    <t>In the absence of diapycnal mixing processes, fluid parcels move in directions along which they do not encounter buoyant forces. These directions define the local neutral tangent plane. Because of the nonlinear nature of the equation of state of seawater, these neutral tangent planes cannot be connected globally to form a well-defined surface in three-dimensional space; that is, continuous neutral surfaces do not exist. This inability to form well-defined neutral surfaces implies that neutral trajectories are helical. Consequently, even in the absence of diapycnal mixing processes, fluid trajectories penetrate through any density surface. This process amounts to an extra mechanism that achieves mean vertical advection through any continuous surface such as surfaces of constant potential density or neutral density. That is, the helical nature of neutral trajectories causes this additional diasurface velocity. A water-mass analysis performed with respect to continuous density surfaces will have part of its diapycnal advection due to this diasurface advection process. Hence, this additional diasurface advection should be accounted for when attributing observed water-mass changes to mixing processes. Here, the authors quantify this component of the total diasurface velocity and show that locally it can be the same order of magnitude as diasurface velocities produced by other mixing processes, particularly in the Southern Ocean. The magnitude of this diasurface advection is proportional to the ocean's neutral helicity, which is observed to be quite small in today's ocean. The authors also use a perturbation experiment to show that the ocean rapidly readjusts to its present state of small neutral helicity, even if perturbed significantly. Additionally, the authors show how seasonal (rather than spatial) changes in the ocean's hydrography can generate a similar vertical advection process. This process is described here for the first time; although the vertical advection due to this process is small, it helps to understand water-mass transformation on density surfaces.</t>
  </si>
  <si>
    <t>[Klocker, Andreas] Univ Tasmania, CSIRO Marine &amp; Atmospher Res, Hobart, Tas, Australia; [Klocker, Andreas] Univ Tasmania, Antarctic Climate &amp; Ecosyst Cooperat Res Ctr, Hobart, Tas, Australia; [Klocker, Andreas] Univ Tasmania, Inst Antarctic &amp; So Ocean Studies, Hobart, Tas 7001, Australia; [McDougall, Trevor J.] Ctr Australian Climate &amp; Weather Res, CSIRO, Hobart, Tas, Australia; [McDougall, Trevor J.] Bur Meteorol, Hobart, Tas, Australia</t>
  </si>
  <si>
    <t>Commonwealth Scientific &amp; Industrial Research Organisation (CSIRO); University of Tasmania; University of Tasmania; Antarctic Climate &amp; Ecosystems Cooperative Research Centre (ACE CRC); University of Tasmania; Commonwealth Scientific &amp; Industrial Research Organisation (CSIRO); Bureau of Meteorology - Australia</t>
  </si>
  <si>
    <t>CSIRO-UTAS; Wealth from Oceans National Research Flagship; Antarctic Climate and Ecosystems Cooperative Research Centre (ACE CRC); CSIRO</t>
  </si>
  <si>
    <t>CSIRO-UTAS(Commonwealth Scientific &amp; Industrial Research Organisation (CSIRO)); Wealth from Oceans National Research Flagship; Antarctic Climate and Ecosystems Cooperative Research Centre (ACE CRC)(Australian GovernmentDepartment of Industry, Innovation and ScienceCooperative Research Centres (CRC) Programme); CSIRO(Commonwealth Scientific &amp; Industrial Research Organisation (CSIRO))</t>
  </si>
  <si>
    <t>We thank Jaci Brown for helping to improve the readability of this manuscript. We also thank two anonymous reviewers for valuable comments on the manuscript. The first author is supported by a joint CSIRO-UTAS Ph.D. scholarship in Quantitative Marine Science (QMS) and a top-up CSIRO Ph.D. stipend (funded from Wealth from Oceans National Research Flagship). This research was supported by the Antarctic Climate and Ecosystems Cooperative Research Centre (ACE CRC) and also contributes to the CSIRO Climate Change Research Program.</t>
  </si>
  <si>
    <t>10.1175/2009JPO4212.1</t>
  </si>
  <si>
    <t>Bronze, Green Published, Green Submitted, Green Accepted</t>
  </si>
  <si>
    <t>WOS:000281520800012</t>
  </si>
  <si>
    <t>Machín, F; Pelegrí, JL; Fraile-Nuez, E; Vélez-Belchí, P; López-Laatzen, F; Hernández-Guerra, A</t>
  </si>
  <si>
    <t>Machin, Francisco; Pelegri, Josep L.; Fraile-Nuez, E.; Velez-Belchi, P.; Lopez-Laatzen, F.; Hernandez-Guerra, A.</t>
  </si>
  <si>
    <t>Seasonal Flow Reversals of Intermediate Waters in the Canary Current System East of the Canary Islands</t>
  </si>
  <si>
    <t>NORTH-ATLANTIC; BOUNDARY CURRENT; CIRCULATION; OCEAN; MASSES; VARIABILITY; BASIN</t>
  </si>
  <si>
    <t>Two 9-yr current-meter and salinity records, together with climatological data, reveal marked seasonal variability of the intermediate flow at a key location in the Canary Basin. The region is characterized by a summer (July-September) and early fall (October) northward progression of Antarctic Intermediate Water followed by a fall (November-December) intense flow reversal of Mediterranean Water. A Sverdrup-type model confirms that these movements are associated with stretching or shrinking of the intermediate water strata.</t>
  </si>
  <si>
    <t>[Machin, Francisco] Univ Las Palmas Gran Canaria, Fac Ciencias Mar, Las Palmas Gran Canaria, Spain; [Pelegri, Josep L.] CSIC, Inst Ciencies Mar, Barcelona, Spain; [Fraile-Nuez, E.; Velez-Belchi, P.; Lopez-Laatzen, F.] Inst Espanol Oceanog, Ctr Oceanog Canarias, Santa Cruz de Tenerife, Spain; [Hernandez-Guerra, A.] Univ Las Palmas Gran Canaria, Fac Ciencias Mar, Las Palmas Gran Canaria, Spain</t>
  </si>
  <si>
    <t>Universidad de Las Palmas de Gran Canaria; Consejo Superior de Investigaciones Cientificas (CSIC); CSIC - Centro Mediterraneo de Investigaciones Marinas y Ambientales (CMIMA); CSIC - Instituto de Ciencias del Mar (ICM); Spanish Institute of Oceanography; Universidad de Las Palmas de Gran Canaria</t>
  </si>
  <si>
    <t>Machín, F (corresponding author), Univ Las Palmas Gran Canaria, Fac Ciencias Mar, Campus Univ Tafira, Las Palmas Gran Canaria 35017, Spain.</t>
  </si>
  <si>
    <t>fmachin@becarios.ulpgc.es</t>
  </si>
  <si>
    <t>Pelegrí, Josep L/L-5815-2014; Machin, Francisco/A-9287-2009; Hernandez-Guerra, Alonso/A-4747-2008; Nuez, Eugenio Fraile/R-2258-2019; Velez-Belchi, Pedro/I-9150-2017</t>
  </si>
  <si>
    <t>Pelegrí, Josep L/0000-0003-0661-2190; Machin, Francisco/0000-0002-4281-6804; Hernandez-Guerra, Alonso/0000-0002-4883-8123; Nuez, Eugenio Fraile/0000-0003-4250-4445; Velez-Belchi, Pedro/0000-0003-2404-5679</t>
  </si>
  <si>
    <t>Spanish Ministry of Science [CTM2005-00444/MAR, CTM2005-04701-C02-01]; Instituto Espanol de Oceanografia; Juan de la Cierva Programme; Universidad de Las Palmas de Gran Canaria</t>
  </si>
  <si>
    <t>Spanish Ministry of Science(Spanish Government); Instituto Espanol de Oceanografia; Juan de la Cierva Programme; Universidad de Las Palmas de Gran Canaria</t>
  </si>
  <si>
    <t>We thank two anonymous reviewers for helpful comments and editor Lynne Talley for her generous and valuable suggestions to improve the manuscript. This study has been performed as part of projects CANOA (CTM2005-00444/MAR) and ORCA (CTM2005-04701-C02-01), funded by Spanish Ministry of Science, and by project RAPROCAN, funded by Instituto Espanol de Oceanografia. FM was supported by the Juan de la Cierva Programme and by the Postdoctoral Programme of the Universidad de Las Palmas de Gran Canaria.</t>
  </si>
  <si>
    <t>10.1175/2010JPO4320.1</t>
  </si>
  <si>
    <t>WOS:000281520800015</t>
  </si>
  <si>
    <t>Jordan, L; Mcminn, A; Thompson, P</t>
  </si>
  <si>
    <t>Jordan, Leonie; Mcminn, Andrew; Thompson, Peter</t>
  </si>
  <si>
    <t>Diurnal changes of photoadaptive pigments in microphytobenthos</t>
  </si>
  <si>
    <t>xanthophyll; microphytobenthos; non-photochemical quenching of energy (NPQ); diatom; Australia; diadinoxanthin; diatoxanthin</t>
  </si>
  <si>
    <t>PHOTOSYNTHETIC ELECTRON-TRANSPORT; RAPID LIGHT CURVES; CHLOROPHYLL FLUORESCENCE; XANTHOPHYLL-CYCLE; BENTHIC MICROALGAE; PHOTOSYSTEM-II; PHYTOPLANKTON; DIATOMS; PHOTOPROTECTION; ENERGY</t>
  </si>
  <si>
    <t>Microphytobenthos need photoadaptive strategies to survive the highly dynamic light environment in which they reside. Xanthophyll pigments can provide photoprotection by cycling electrons between epoxide and de-epoxide forms, dissipating excess light energy as heat. This study examined the xanthophyll cycle in microphytobenthos on a tidally exposed substrate at Browns River, Tasmania. Fv/Fm decreased from 0.52 +/- 0.01 to 0.47 +/- 0.01 at noon in surface samples and a decrease in the diadinoxanthin:chlorophyll-a ratio from 0.022 +/- 0.003 to 0.015 +/- 0.005 also suggests that the microphytobenthos was under physiological stress at noon. The results indicate that the cells exposed to light at the surface migrated deeper into the sediments and replenished the epoxide form of their xanthophylls. The results suggest that micrphytobenthos utilizes both behavioural and physiological strategies to survive in the dynamic intertidal environment.</t>
  </si>
  <si>
    <t>[Jordan, Leonie; Mcminn, Andrew] Univ Tasmania, Inst Antarctic &amp; So Ocean Studies, Hobart, Tas 7001, Australia; [Thompson, Peter] CSIRO, Marine &amp; Atmospher Res, Hobart, Tas 7001, Australia</t>
  </si>
  <si>
    <t>University of Tasmania; Commonwealth Scientific &amp; Industrial Research Organisation (CSIRO)</t>
  </si>
  <si>
    <t>Mcminn, A (corresponding author), Univ Tasmania, Inst Antarctic &amp; So Ocean Studies, Box 252-77, Hobart, Tas 7001, Australia.</t>
  </si>
  <si>
    <t>Andrew.McMinn@utas.edu.au</t>
  </si>
  <si>
    <t>McMinn, Andrew/A-9910-2008; Thompson, Peter/A-2361-2012</t>
  </si>
  <si>
    <t>Thompson, Peter/0000-0002-9504-5433</t>
  </si>
  <si>
    <t>10.1017/S0025315409990816</t>
  </si>
  <si>
    <t>634GL</t>
  </si>
  <si>
    <t>WOS:000280568300020</t>
  </si>
  <si>
    <t>Worland, MR; Janion, C; Treasure, AM; Chown, SL</t>
  </si>
  <si>
    <t>Worland, M. Roger; Janion, Charlene; Treasure, Anne M.; Chown, Steven L.</t>
  </si>
  <si>
    <t>Pre-freeze mortality in three species of aphids from sub-Antarctic Marion Island</t>
  </si>
  <si>
    <t>JOURNAL OF THERMAL BIOLOGY</t>
  </si>
  <si>
    <t>Cold tolerance; Chill tolerance; Insect; Lethal temperature; LT50; Marion Island</t>
  </si>
  <si>
    <t>PEACH-POTATO APHID; INSECT COLD-HARDINESS; MYZUS-PERSICAE; LOW-TEMPERATURES; ADULTS</t>
  </si>
  <si>
    <t>Understanding the the mechanisms by which aphids survive low temperature is fundamental in forecasting the risk of pest outbreaks. Aphids are chill susceptible and die at a temperature close to that at which a small exothermal event is produced. This event, which can be identified using differential scanning calorimetry (DSC), normally occurs at a higher temperature than the supercooling point (SCP) and has been termed a pre-freeze event (PFE). However, it is not known what causes the PFE or whether it signifies the death of the aphid. These questions are addressed here by using a sensitive DSC to quantify the PFE and SCP and to relate these thermal events to the lower lethal temperature (LT50) of sub-Antarctic aphids acclimated to low temperatures. PFEs were observed in each of the 3 species of aphids examined. They occurred over a narrower temperature range and at a higher temperature range than the SCP (-8.2 to -13.8 and -5.6 to -29.8 degrees C, respectively). Increased acclimation temperature resulted in increased SCPs in Myzus ascalonicus but not in Rhopalosiphum padi. The LT50 reduced by approximately 1 degrees C from -9.3 to -10.5 degrees C with reduced acclimation temperature (10-0 degrees C). The LT50 was close to the temperature at which the PFE occurred but statistically significantly higher than either the PFE or the SCP. In the majority of cases the PFE exotherm occurred well before the main exotherm produced by the bulk of the insect's body water freezing (SCP). However, in a few cases it occurred at the same temperature or before the super-cooling point making the term, pre-freeze event (PFE), rather misleading. The possible origins of the PFE are discussed. (C) 2010 Elsevier Ltd. All rights reserved.</t>
  </si>
  <si>
    <t>[Worland, M. Roger] British Antarctic Survey, Nat Environm Res Council, Cambridge CB3 0ET, England; [Janion, Charlene; Treasure, Anne M.; Chown, Steven L.] Univ Stellenbosch, Ctr Invas Biol, Dept Bot &amp; Zool, ZA-7602 Matieland, South Africa</t>
  </si>
  <si>
    <t>UK Research &amp; Innovation (UKRI); Natural Environment Research Council (NERC); NERC British Antarctic Survey; Stellenbosch University</t>
  </si>
  <si>
    <t>Worland, MR (corresponding author), British Antarctic Survey, Nat Environm Res Council, Madingley Rd, Cambridge CB3 0ET, England.</t>
  </si>
  <si>
    <t>Roger.Worland@bas.ac.uk</t>
  </si>
  <si>
    <t>Chown, Steven/ABD-7646-2021; Chown, Steven/H-3347-2011</t>
  </si>
  <si>
    <t>Chown, Steven/0000-0001-6069-5105; Treasure, Anne/0000-0002-8345-4811; Janion-Scheepers, Charlene/0000-0001-5942-7912</t>
  </si>
  <si>
    <t>NRF [2007042400003]; NERC [bas0100025] Funding Source: UKRI; Natural Environment Research Council [bas0100025] Funding Source: researchfish</t>
  </si>
  <si>
    <t>NRF; NERC(UK Research &amp; Innovation (UKRI)Natural Environment Research Council (NERC)); Natural Environment Research Council(UK Research &amp; Innovation (UKRI)Natural Environment Research Council (NERC))</t>
  </si>
  <si>
    <t>This paper contributes to the British Antarctic Survey's Polar Science for Planet Earth core programme Ecosystems and was also supported partially by the South African National Antarctic Programme via NRF Grant 2007042400003.</t>
  </si>
  <si>
    <t>0306-4565</t>
  </si>
  <si>
    <t>J THERM BIOL</t>
  </si>
  <si>
    <t>J. Therm. Biol.</t>
  </si>
  <si>
    <t>10.1016/j.jtherbio.2010.05.008</t>
  </si>
  <si>
    <t>Biology; Zoology</t>
  </si>
  <si>
    <t>Life Sciences &amp; Biomedicine - Other Topics; Zoology</t>
  </si>
  <si>
    <t>651LK</t>
  </si>
  <si>
    <t>WOS:000281929000001</t>
  </si>
  <si>
    <t>Rooney, TO; Sinha, AK; Deering, C; Briggs, C</t>
  </si>
  <si>
    <t>Rooney, Tyrone O.; Sinha, A. Krishna; Deering, Chad; Briggs, Christian</t>
  </si>
  <si>
    <t>A model for the origin of rhyolites from South Mountain, Pennsylvania: Implications for rhyolites associated with large igneous provinces</t>
  </si>
  <si>
    <t>LITHOSPHERE</t>
  </si>
  <si>
    <t>CATOCTIN VOLCANIC PROVINCE; PERALKALINE SILICIC MAGMAS; RARE-EARTH-ELEMENT; FLOOD BASALTS; LITHOSPHERIC MANTLE; ANTARCTIC PENINSULA; NORTH-AMERICA; CRUSTAL; PETROGENESIS; EVOLUTION</t>
  </si>
  <si>
    <t>High-silica rhyolites, ubiquitous features of continental volcanism, continue to evoke controversy as to their petrogenesis and evolution. We utilized the geochemical characteristics of late Vendian high-silica rhyolites erupted in the Catoctin Volcanic Province at South Mountain in Pennsylvania to probe the origin of the parental magmas and assess heterogeneities in the subsequent fractionation paths. We identified high-and low-Ti signatures within the South Mountain rhyolites, a common feature in many large igneous provinces, and these signatures are suggestive of a genetic link between basalts and rhyolites erupted in the Catoctin Volcanic Province. Two evolutionary trends are superimposed on the Ti-based subdivisions that reflect variable control of plagioclase and amphibole in the fractionating assemblage of the South Mountain rhyolites. Such distinctive evolutionary trends are evident in rhyolites from other tectonic settings (e. g., arcs), where they have been interpreted in terms of cold-wet and hot-dry conditions within the differentiating magmas. We interpret the amphibole-dominated fractionation path of the South Mountain rhyolites as following a cold-wet fractionation path compared to the hot-dry plagioclase-dominated trends. This study, which examines the geochemical implications of cryptic amphibole fractionation, has implications for assessing the role of amphibole and volatile content in the development of rhyolites in other large igneous provinces.</t>
  </si>
  <si>
    <t>[Rooney, Tyrone O.; Briggs, Christian] Michigan State Univ, Dept Geol Sci, E Lansing, MI 48824 USA; [Sinha, A. Krishna] Virginia Tech, Dept Geol Sci, Blacksburg, VA 24061 USA; [Deering, Chad] Univ Washington, Dept Earth &amp; Space Sci, Seattle, WA 98195 USA</t>
  </si>
  <si>
    <t>Michigan State University; Virginia Polytechnic Institute &amp; State University; University of Washington; University of Washington Seattle</t>
  </si>
  <si>
    <t>Rooney, TO (corresponding author), Michigan State Univ, Dept Geol Sci, E Lansing, MI 48824 USA.</t>
  </si>
  <si>
    <t>rooneyt@msu.edu</t>
  </si>
  <si>
    <t>Rooney, Tyrone O/B-4594-2010</t>
  </si>
  <si>
    <t>Rooney, Tyrone/0000-0002-8755-7914</t>
  </si>
  <si>
    <t>Michigan State University Center for Undergraduate Research in Earth System Science (CURESS)</t>
  </si>
  <si>
    <t>We thank Tom Vogel for reading and commenting on an earlier version of this manuscript, Sheldon Turner for his help with drafting Figure 1, and Robert Smith for discussions about the Catoctin in Pennsylvania. The manuscript benefited from the comments of an anonymous reviewer and the editorial handling of R. Russo. This project was in part funded by a grant to Briggs by the Michigan State University Center for Undergraduate Research in Earth System Science (CURESS).</t>
  </si>
  <si>
    <t>1941-8264</t>
  </si>
  <si>
    <t>1947-4253</t>
  </si>
  <si>
    <t>LITHOSPHERE-US</t>
  </si>
  <si>
    <t>Lithosphere</t>
  </si>
  <si>
    <t>10.1130/L89.1</t>
  </si>
  <si>
    <t>Geochemistry &amp; Geophysics; Geology</t>
  </si>
  <si>
    <t>631QP</t>
  </si>
  <si>
    <t>WOS:000280363000001</t>
  </si>
  <si>
    <t>Hernández-Molina, FJ; Paterlini, M; Somoza, L; Violante, R; Arecco, MA; de Isasi, M; Rebesco, M; Uenzelmann-Neben, G; Neben, S; Marshall, P</t>
  </si>
  <si>
    <t>Hernandez-Molina, F. J.; Paterlini, M.; Somoza, L.; Violante, R.; Arecco, M. A.; de Isasi, M.; Rebesco, M.; Uenzelmann-Neben, G.; Neben, S.; Marshall, P.</t>
  </si>
  <si>
    <t>Giant mounded drifts in the Argentine Continental Margin: Origins, and global implications for the history of thermohaline circulation</t>
  </si>
  <si>
    <t>MARINE AND PETROLEUM GEOLOGY</t>
  </si>
  <si>
    <t>Contourite drift; Slope; Seamounts; Palaeoceanography; Seismic stratigraphy; Hydrocarbon potential; Argentine Margin</t>
  </si>
  <si>
    <t>BOTTOM CURRENT ACTIVITY; SOUTHERN BRAZIL BASIN; SCOTIA SEA; SEISMIC STRATIGRAPHY; WATER CIRCULATION; TRANSKEI BASIN; ATLANTIC OCEAN; DRAKE PASSAGE; GAS HYDRATE; DEEP-WATER</t>
  </si>
  <si>
    <t>Partially buried giant drifts are located in the southern-most sector of the Argentine continental margin, generating a bathymetric jump at the base of the slope. They are characterised as giant, asymmetrical elongated, mounded contourite drifts, and are described in detail here for the first time. This description is mainly based on the bathymetric and multichannel seismic reflection profiles data. Their origin and evolution in the Argentine Basin are decoded and their implications in an area crucial for geologic and palaeoceanographic reconstruction between the Atlantic and Antarctica are discussed. The buried giant drifts are divided into two zones by a large seamount. The major giant-drift (50 km wide, 300 km long, and having a sedimentary thickness of nearly 1 km) is located to the south of this seamount and oriented to the north, where its summit outcrops at present seafloor. Here, its asymmetric external shape is characterised by a steep, western side and a gently dipping, smooth eastern side, with internal reflections prograding eastward. Based on its position, morphology and internal characteristics, it has been deduced that this giant-drift was generated in the Argentine Basin by the southward branch of a confined large loop of the Antarctic Bottom Deep Water, from the Eocene-Oligocene boundary (coevally with the Drake Passage opening) until the middle Miocene. However, after a major palaeoceanographic change in the mid-to-late Miocene a new oceanographic scenario was established that fossilised these giant drifts. These changes produced a new depositional style in the margin, resulting in initiation of the present contourite depositional system and morphologic features over the slope. Extension of North Atlantic Deep Water circulation into the Southern Hemisphere and deepening of Antarctic Bottom Water circulation in the Argentine Basin are herein postulated as the factors that controlled said changes. These giant drifts show strong seismic evidence of hydrates and free gas that are ripe for energy resources exploration, thus demonstrating the economic potential of contourite deposits in deep marine environments. (C) 2010 Elsevier Ltd. All rights reserved.</t>
  </si>
  <si>
    <t>[Hernandez-Molina, F. J.] Univ Vigo, Fac Ciencias Mar, Vigo 36200, Spain; [Paterlini, M.; Violante, R.] SHN, RA-2124 Buenos Aires, DF, Argentina; [Somoza, L.] IGME, Madrid 28003, Spain; [Arecco, M. A.; de Isasi, M.; Marshall, P.] Argentine Natl Commiss Outer Limit Continental Sh, RA-2124 Buenos Aires, DF, Argentina; [Rebesco, M.] Ist Nazl Oceanog &amp; Geofis Sperimentale OGS, I-34010 Sgonico, Italy; [Uenzelmann-Neben, G.] Alfred Wegener Inst Polar &amp; Marine Res, D-27568 Bremerhaven, Germany; [Neben, S.] BGR, D-30665 Hannover, Germany</t>
  </si>
  <si>
    <t>Universidade de Vigo; Istituto Nazionale di Oceanografia e di Geofisica Sperimentale; Helmholtz Association; Alfred Wegener Institute, Helmholtz Centre for Polar &amp; Marine Research</t>
  </si>
  <si>
    <t>Hernández-Molina, FJ (corresponding author), Univ Vigo, Fac Ciencias Mar, Vigo 36200, Spain.</t>
  </si>
  <si>
    <t>fjhernan@uvigo.es</t>
  </si>
  <si>
    <t>Uenzelmann-Neben, Gabriele/AAI-8618-2020; Rebesco, Michele/B-7462-2014; Somoza, Luis/C-1400-2010</t>
  </si>
  <si>
    <t>Uenzelmann-Neben, Gabriele/0000-0002-0115-5923; Rebesco, Michele/0000-0002-9492-4081; Somoza, Luis/0000-0001-5451-2288; Arecco, Maria Alejandra/0000-0003-1348-764X</t>
  </si>
  <si>
    <t>Spanish Ministry of Education and Science [PR2007-0138]; Spanish Comision Interministerial de Ciencia y Tecnologia (CYCIT) [CTM 2008-06399-004/MAR, CTM2008-06386-C02/ANT]; Argentine Project ANPCyT [PICT 2003, 07-14417]</t>
  </si>
  <si>
    <t>Spanish Ministry of Education and Science(Spanish Government); Spanish Comision Interministerial de Ciencia y Tecnologia (CYCIT)(Consejo Interinstitucional de Ciencia y Tecnologia (CICYT)); Argentine Project ANPCyT</t>
  </si>
  <si>
    <t>This work has been partially completed during a research stay by F.J. Hernandez-Molina at the Marine Geology and Geophysical Division of the Argentine Navy Hydrographic Service, funded by the Mobility Award of the Spanish Ministry of Education and Science (PR2007-0138). This work was also supported by the Spanish Comision Interministerial de Ciencia y Tecnologia (CYCIT) through projects CTM 2008-06399-004/MAR (CONTOURIBER Project) and CTM2008-06386-C02/ANT. This contribution is also related to the Argentine Project ANPCyT - PICT 2003 No 07-14417. The authors thank COPLA (Argentina) and the BGR (Germany) for allowing us to use their bathymetric and multichannel seismic (MCS) reflections profiles database. The authors would like to thank Dr. A. Piola (SHN, Argentina) for revision and comments on the oceanography setting, L. Maffia (COPLA, Argentina) for her help in drawing Fig. 3, and Daniel Alberto Abraham (Faculty of Engineering, University of Buenos Aires, Argentina) for calculating the oceanic crust age in the studied area. We thank to K. Hinz for our initial discussions about both the Frida-Drift and major geology characteristics of the Argentine margin. Finally, we also thank both Editors and two anonymous reviewers for their interest and suggestions, which have helped us to improve the final version of our manuscript.</t>
  </si>
  <si>
    <t>0264-8172</t>
  </si>
  <si>
    <t>1873-4073</t>
  </si>
  <si>
    <t>MAR PETROL GEOL</t>
  </si>
  <si>
    <t>Mar. Pet. Geol.</t>
  </si>
  <si>
    <t>10.1016/j.marpetgeo.2010.04.003</t>
  </si>
  <si>
    <t>638ZH</t>
  </si>
  <si>
    <t>WOS:000280940000014</t>
  </si>
  <si>
    <t>Hunter, RL; Halanych, KM</t>
  </si>
  <si>
    <t>Hunter, Rebecca L.; Halanych, Kenneth M.</t>
  </si>
  <si>
    <t>Phylogeography of the Antarctic planktotrophic brittle star Ophionotus victoriae reveals genetic structure inconsistent with early life history</t>
  </si>
  <si>
    <t>SOUTH-SHETLAND ISLANDS; BENTHIC MARINE-INVERTEBRATES; WEST-WIND-DRIFT; LARVAL DISPERSAL; SEA-URCHINS; POPULATION-STRUCTURE; CRYPTIC SPECIATION; MITOCHONDRIAL-DNA; OCEAN BARRIERS; PELAGIC LARVAE</t>
  </si>
  <si>
    <t>In the marine environment, connectivity is influenced by physical oceanography as well as life history and behavioral traits, which in combination with historical events such as geology, physical oceanography, and climate, determine population structure. The Antarctic brittle star Ophionotus victoriae develops via a feeding planktonic larval stage, and therefore has potential for long-distance dispersal throughout its Antarctic/subantarctic range. To evaluate this hypothesis, phylogeography of this ecologically dominant species was elucidated by sequence analysis of two mtDNA genes from individuals collected throughout the Antarctic Peninsula and from two subantarctic islands. Counter to expectations of genetic homogeneity, mtDNA data revealed substantial levels of genetic differentiation as well as diversity. Although there were some genetically homogeneous populations, such as those throughout Bransfield Strait, we found O. victoriae to have significant population structure throughout much of the Antarctic Peninsula, with evidence of potential cryptic speciation between the western and eastern Antarctic Peninsula. Furthermore, Antarctic Peninsula populations were genetically distinct from subantarctic island populations. The low levels of connectivity implied for O. victoriae contrast with those found for many other Antarctic benthic taxa, and suggest a complex interplay between oceanography, recent climate history, and larval ecology.</t>
  </si>
  <si>
    <t>[Hunter, Rebecca L.; Halanych, Kenneth M.] Auburn Univ, Dept Biol Sci, Auburn, AL 36849 USA; [Hunter, Rebecca L.] Abilene Christian Univ, Dept Biol, Abilene, TX 79699 USA</t>
  </si>
  <si>
    <t>Auburn University System; Auburn University; Abilene Christian University</t>
  </si>
  <si>
    <t>Hunter, RL (corresponding author), Auburn Univ, Dept Biol Sci, 101 Rouse Life Sci Bldg, Auburn, AL 36849 USA.</t>
  </si>
  <si>
    <t>Rebecca.Hunter@acu.edu; ken@auburn.edu</t>
  </si>
  <si>
    <t>National Science Foundation [OPP-9910164, OPP-0338087, OPP-0338218]</t>
  </si>
  <si>
    <t>Crew and participants in the 2004 and 2006 Antarctic cruises aboard the R/V Laurence M. Gould are gratefully acknowledged for their help and logistical support in collecting. Samples from the South Sandwich Islands and Bouvet Island were collected during a 2004 cruise aboard the R/V Nathanial B. Palmer (NSF OPP-0132032), and were generously provided by Susie Lockhart and William Deitrich (OPP-0132032). While we were unable to obtain DNA from Ross Sea samples of O. victoriae, we thank Michael League for graciously providing samples from Explorer's Cove, New Harbor. Chad Smith, a former undergraduate researcher in the Halanych Lab, helped with lab work during the early stages of this project. Helpful comments were provided by Scott Santos. This work was supported by National Science Foundation grants (OPP-9910164, OPP-0338087, and OPP-0338218) to Kenneth M. Halanych and Rudolph S. Scheltema. This is AU Marine Biology Program contribution #66.</t>
  </si>
  <si>
    <t>10.1007/s00227-010-1443-3</t>
  </si>
  <si>
    <t>624RF</t>
  </si>
  <si>
    <t>WOS:000279836900003</t>
  </si>
  <si>
    <t>Lurman, G; Blaser, T; Lamare, M; Tan, KS; Poertner, H; Peck, LS; Morley, SA</t>
  </si>
  <si>
    <t>Lurman, Glenn; Blaser, Till; Lamare, Miles; Tan, Koh-Siang; Poertner, Hans; Peck, Lloyd S.; Morley, Simon A.</t>
  </si>
  <si>
    <t>Ultrastructure of pedal muscle as a function of temperature in nacellid limpets</t>
  </si>
  <si>
    <t>FISH SKELETAL-MUSCLE; INTER-TIDAL LIMPET; THERMAL-ACCLIMATION; OXYGEN-CONSUMPTION; ADAPTIVE-CHANGES; HEART-RATE; PATELLA; MITOCHONDRIA; INVERTEBRATES; METABOLISM</t>
  </si>
  <si>
    <t>Temperature and mitochondrial plasticity are well studied in fishes, but little is known about this relationship in invertebrates. The effects of habitat temperature on mitochondrial ultrastructure were examined in three con-familial limpets from the Antarctic (Nacella concinna), New Zealand (Cellana ornata), and Singapore (Cellana radiata). The effects of seasonal changes in temperature were also examined in winter and summer C. ornata. Stereological methods showed that limpet pedal myocytes were 1-2 orders of magnitude smaller in diameter (a parts per thousand 3.5 mu m) than in vertebrates, and that the diameter did not vary as a function of temperature. Mitochondrial volume density (Vv((mt,f))) was approximately 2-4 times higher in N. concinna (0.024) than in the other species (0.01 and 0.006), which were not significantly different from each other. Mitochondrial cristae surface density (Sv((im,mt))) was significantly lower in summer C. ornata (24.1 +/- A 0.50 mu m(2) mu m(-3)) than both winter C. ornata (32.3 +/- A 0.95 mu m(2) mu m(-3)) and N. concinna (34.3 +/- A 4.43 mu m(2) mu m(-3)). The surface area of mitochondrial cristae per unit fibre volume was significantly higher in N. concinna, due largely to the greater mitochondrial volume density. These results and previous studies indicate that mitochondrial proliferation in the cold is a common, but not universal response by different species from different thermal habitats. Seasonal temperature decreases on the other hand, leading preferentially to an increase in cristae surface density. Stereological measures also showed that energetic reserves, i.e. lipid droplets and glycogen in the pedal muscle changed greatly with season and species. This was most likely related to gametogenesis and spawning.</t>
  </si>
  <si>
    <t>[Lurman, Glenn; Peck, Lloyd S.; Morley, Simon A.] British Antarctic Survey, Natl Environm Res Council, Cambridge CB3 0ET, England; [Lurman, Glenn; Blaser, Till] Univ Bern, Inst Anat, Bern, Switzerland; [Lurman, Glenn; Poertner, Hans] Alfred Wegener Inst Polar &amp; Marine Res, Bremerhaven, Germany; [Lamare, Miles] Univ Otago, Portobello Marine Lab, Dunedin, New Zealand; [Tan, Koh-Siang] Natl Univ Singapore, Trop Marine Sci Inst, Singapore 117548, Singapore</t>
  </si>
  <si>
    <t>UK Research &amp; Innovation (UKRI); Natural Environment Research Council (NERC); NERC British Antarctic Survey; University of Bern; Helmholtz Association; Alfred Wegener Institute, Helmholtz Centre for Polar &amp; Marine Research; University of Otago; National University of Singapore</t>
  </si>
  <si>
    <t>Lurman, G (corresponding author), British Antarctic Survey, Natl Environm Res Council, Cambridge CB3 0ET, England.</t>
  </si>
  <si>
    <t>glenn.lurman@ana.unibe.ch</t>
  </si>
  <si>
    <t>, Tan KS/HLW-4582-2023; Pörtner, Hans-O./K-9429-2016; Lamare, Miles M/A-7020-2010; Tan, Koh Siang/GOH-0321-2022; Pörtner, Hans-O./ISU-9397-2023</t>
  </si>
  <si>
    <t>Pörtner, Hans-O./0000-0001-6535-6575; Tan, Koh Siang/0000-0002-4599-9482; Lamare, Miles/0000-0001-8656-7240</t>
  </si>
  <si>
    <t>ESF [2148]; Society for Experimental Biology; TransAntarctic Association; University of Bern; Natural Environment Research Council; NERC [dml011000, bas0100025] Funding Source: UKRI; Natural Environment Research Council [bas0100025, dml011000] Funding Source: researchfish</t>
  </si>
  <si>
    <t>ESF; Society for Experimental Biology; TransAntarctic Association; University of Bern;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</si>
  <si>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Marianne Hofstetter and Kerstin Meyer are thanked for their assistance during histological preparation. Ruth Vock, Hans Hoppeler, Jean-Michel Weber and Daniela Lurman-Lange are thanked for insightful discussions. This project was financed in part by the ESF ThermAdapt short visit grant (2148) awarded to GL, a Society for Experimental Biology travel grant awarded to GL, a TransAntarctic Association grant awarded to SM, the University of Bern, and funding from the Natural Environment Research Council via the British Antarctic Survey BIOREACH project in the BIOFLAME programme.</t>
  </si>
  <si>
    <t>10.1007/s00227-010-1444-2</t>
  </si>
  <si>
    <t>WOS:000279836900004</t>
  </si>
  <si>
    <t>Richoux, NB; Jaquemet, S; Bonnevie, BT; Cherel, Y; McQuaid, CD</t>
  </si>
  <si>
    <t>Richoux, Nicole B.; Jaquemet, Sebastien; Bonnevie, Bo T.; Cherel, Yves; McQuaid, Christopher D.</t>
  </si>
  <si>
    <t>Trophic ecology of Grey-headed albatrosses from Marion Island, Southern Ocean: insights from stomach contents and diet tracers</t>
  </si>
  <si>
    <t>FATTY-ACID SIGNATURES; SQUID MOROTEUTHIS-INGENS; WHITE-CHINNED PETRELS; STABLE-ISOTOPES; SYMPATRIC ALBATROSSES; LIPID-COMPOSITION; FEEDING ECOLOGY; FOOD-CHAIN; EXPLOITATION; INDICATORS</t>
  </si>
  <si>
    <t>During chick-rearing, albatrosses can alternate between long foraging trips that provide the main source of food for the adults and short foraging trips that they use to feed their young. This flexibility in foraging behaviour can lead to differences in diet composition between adults and chicks and implies that they may be vulnerable in different ways to food shortages. The trophic ecology of the Grey-headed albatross Thalassarche chrysostoma was investigated at the sub-Antarctic Prince Edward Islands during the chick-rearing period in April 2006 using a combination of approaches. Diets of adults and chicks were assessed using stable isotope ratios and fatty acid (FA) profiles of blood and/or stomach oils, in addition to stomach contents analysis. Fish from the family Macrouridae and cephalopods (particularly the onychoteuthid Kondakovia longimana) were the primary prey, whereas crustaceans (krill Euphausia superba) represented a smaller proportion of the stomach contents. Stomach oil FA profiles contained more monounsaturated FA than the profiles of plasma, which were richer in saturated FA and arachidonic acid (20:4n-6). There was also a distinct separation of adults from chicks, with higher levels of monounsaturates in chick plasma, and higher saturated FA levels (particularly 16:0) in the adult plasma. Stable carbon isotope ratios of whole blood were similar in adults and chicks, whereas stable nitrogen isotope ratios showed significant enrichment by &gt; 1aEuro degrees in chicks. The combined FA, stable isotopes and stomach contents analyses suggest clear differences in diet quality between adults and chicks, with chicks feeding at a higher trophic position through feeding more on highly nutritious fish and adults keeping much of the less nutritious zooplankton for themselves.</t>
  </si>
  <si>
    <t>[Richoux, Nicole B.; McQuaid, Christopher D.] Rhodes Univ, Dept Zool &amp; Entomol, ZA-6140 Grahamstown, South Africa; [Jaquemet, Sebastien] Univ Reunion, Lab Ecol Marine, St Denis 97715, Reunion, France; [Bonnevie, Bo T.] Rhodes Univ, Div Informat Technol, ZA-6140 Grahamstown, South Africa; [Cherel, Yves] Ctr Etud Biol Chize, CNRS, UPR 1934, F-79360 Villiers En Bois, France</t>
  </si>
  <si>
    <t>Rhodes University; University of La Reunion; Rhodes University; Centre National de la Recherche Scientifique (CNRS)</t>
  </si>
  <si>
    <t>Richoux, NB (corresponding author), Rhodes Univ, Dept Zool &amp; Entomol, ZA-6140 Grahamstown, South Africa.</t>
  </si>
  <si>
    <t>n.richoux@ru.ac.za</t>
  </si>
  <si>
    <t>Bond, Alexander L/A-3786-2010; McQuaid, Christopher/AAT-3725-2020</t>
  </si>
  <si>
    <t>McQuaid, Christopher/0000-0002-3473-8308; Richoux, Nicole/0000-0002-9501-6368; Bonnevie, Bo/0000-0002-5906-9577</t>
  </si>
  <si>
    <t>Department of Environmental Affairs and Tourism; Rhodes University; South African Research Chairs Initiative of the Department of Science and Technology; National Research Foundation; Department of Environmental Affairs and Tourism; Rhodes University; South African Research Chairs Initiative of the Department of Science and Technology; National Research Foundation</t>
  </si>
  <si>
    <t>We thank the officers and crew of the S. A. Agulhas for transport to the field site, L. Joassard for processing the stable isotope samples, and M. Connan for comments on an early draft. Funding was provided by the Department of Environmental Affairs and Tourism through the South African National Antarctic Program and administered by the National Research Foundation. Additional funds and facilities from Rhodes University are appreciated. This work is based upon research supported by the South African Research Chairs Initiative of the Department of Science and Technology and National Research Foundation. This field study complied with the current laws of South Africa.</t>
  </si>
  <si>
    <t>10.1007/s00227-010-1448-y</t>
  </si>
  <si>
    <t>WOS:000279836900008</t>
  </si>
  <si>
    <t>Raupach, MJ; Thatje, S; Dambach, J; Rehm, P; Misof, B; Leese, F</t>
  </si>
  <si>
    <t>Raupach, Michael J.; Thatje, Sven; Dambach, Johannes; Rehm, Peter; Misof, Bernhard; Leese, Florian</t>
  </si>
  <si>
    <t>Genetic homogeneity and circum-Antarctic distribution of two benthic shrimp species of the Southern Ocean, Chorismus antarcticus and Nematocarcinus lanceopes</t>
  </si>
  <si>
    <t>SEROLID ISOPODS CRUSTACEA; MITOCHONDRIAL-DNA; POPULATION-GROWTH; PATAGONIAN TOOTHFISH; CHAMPSOCEPHALUS-GUNNARI; WEDDELL SEA; POLAR FRONT; DECAPODA; KRILL; DIVERGENCE</t>
  </si>
  <si>
    <t>During the last years, molecular studies revealed significant population differentiation and cryptic species within various benthic and pelagic marine Antarctic taxa. This is unexpected due to the lack of obvious barriers to gene flow and strong current systems. Using mitochondrial (COI, 16S rDNA) and nuclear (28S rDNA: D2) gene fragments, we tested whether two circum-Antarctic benthic shrimps with planktotrophic larvae, Chorismus antarcticus and Nematocarcinus lanceopes, show patterns of regional differentiation. For both species, the 16S and the 28S fragment were invariant. However, for COI we found 24 different haplotypes for Chorismus antarcticus and 54 for Nematocarcinus lanceopes. No significant differentiation was observed among populations or regions. Furthermore, we found signatures of a population expansion in the late Pleistocene hinting at an impact of large-scale glaciations in particular on the shallow-water shrimp Chorismus antarcticus, supporting a (re)colonization and demographic expansion of this shrimp species in response to climate oscillation.</t>
  </si>
  <si>
    <t>[Raupach, Michael J.; Dambach, Johannes; Misof, Bernhard] Zool Forsch Museum, D-53113 Bonn, Germany; [Raupach, Michael J.] Deutsch Zentrum Marine Biodiversitatsforsch, D-26382 Wilhelmshaven, Germany; [Thatje, Sven] Univ Southampton, Natl Oceanog Ctr, Sch Ocean &amp; Earth Sci, Southampton SO14 3ZH, Hants, England; [Rehm, Peter] Univ Hamburg, Biozentrum Grindel, D-20146 Hamburg, Germany; [Rehm, Peter] Univ Hamburg, Zool Museum, D-20146 Hamburg, Germany; [Leese, Florian] Ruhr Univ Bochum, Lehrstuhl Evolut Okol &amp; Biodiversitat Tiere, D-44801 Bochum, Germany</t>
  </si>
  <si>
    <t>Zoologisches Forschungsmuseum Alexander Koenig (ZFMK); NERC National Oceanography Centre; University of Southampton; University of Hamburg; University of Hamburg; Ruhr University Bochum</t>
  </si>
  <si>
    <t>Raupach, MJ (corresponding author), Zool Forsch Museum, Adenauerallee 160-162, D-53113 Bonn, Germany.</t>
  </si>
  <si>
    <t>mraupach@senckenberg.de; svth@noc.soton.ac.uk; j.dambach.zfmk@uni-bonn.de; peter.rehm@uni-hamburg.de; b.misof.zfmk@uni-bonn.de; florian.leese@rub.de</t>
  </si>
  <si>
    <t>Raupach, Michael J./AAF-7566-2020; Leese, Florian/D-4277-2012; Raupach, Michael/G-7072-2012</t>
  </si>
  <si>
    <t>Raupach, Michael J./0000-0001-8299-6697; Leese, Florian/0000-0002-5465-913X;</t>
  </si>
  <si>
    <t>Germany Science Foundation [WA 530/28-2, RA 1688/2-1]</t>
  </si>
  <si>
    <t>Germany Science Foundation</t>
  </si>
  <si>
    <t>We thank D. K. Futterer for managing the expeditions ANT-XIX/3-4 (ANDEEP I, II), W. E. Arntz for managing ANT XXI/2, E. Fahrbach for managing ANT-XXII/3 (ANDEEP III), and R. Cattaneo-Vietti for managing the 19th expedition of the P.N.R.A. All ANDEEP expeditions were organized by A. Brandt and B. Ebbe. Additional specimens were donated from A.-N. Lorz, C. Held and C. Schubart. We thank K. Linse for providing the map, C. Greve and N. Pernat for laboratory assistance, and two anonymous reviewers for helpful comments. This work is a contribution to MarBEF (GOCE-CT-2003-505446) and is ANDEEP publication # 94. Our study was supported by the Germany Science Foundation (WA 530/28-2 to M.J.R. and RA 1688/2-1 to J. D.).</t>
  </si>
  <si>
    <t>10.1007/s00227-010-1451-3</t>
  </si>
  <si>
    <t>WOS:000279836900010</t>
  </si>
  <si>
    <t>Gram, L; Melchiorsen, J; Bruhn, JB</t>
  </si>
  <si>
    <t>Gram, Lone; Melchiorsen, Jette; Bruhn, Jesper Bartholin</t>
  </si>
  <si>
    <t>Antibacterial Activity of Marine Culturable Bacteria Collected from a Global Sampling of Ocean Surface Waters and Surface Swabs of Marine Organisms</t>
  </si>
  <si>
    <t>Bacterial antagonism; Biotechnology; Pseudoalteromonas; Roseobacter clade; Vibrionaceae</t>
  </si>
  <si>
    <t>GERMAN WADDEN SEA; NATURAL-PRODUCTS; VIBRIO-ANGUILLARUM; ROSEOBACTER CLADE; ANTAGONISTIC INTERACTIONS; MICROBIAL ECOLOGY; SP NOV.; DIVERSITY; COMMUNITIES; DISCOVERY</t>
  </si>
  <si>
    <t>The purpose of the present study was to isolate marine culturable bacteria with antibacterial activity and hence a potential biotechnological use. Seawater samples (244) and 309 swab samples from biotic or abiotic surfaces were collected on a global Danish marine research expedition (Galathea 3). Total cell counts at the seawater surface were 5 x 10(5) to 10(6) cells/ml, of which 0.1-0.2% were culturable on dilute marine agar (20A degrees C). Three percent of the colonies cultured from seawater inhibited Vibrio anguillarum, whereas a significantly higher proportion (13%) of colonies from inert or biotic surfaces was inhibitory. It was not possible to relate a specific kind of eukaryotic surface or a specific geographic location to a general high occurrence of antagonistic bacteria. Five hundred and nineteen strains representing all samples and geographic locations were identified on the basis of partial 16S rRNA gene sequence homology and belonged to three major groups: Vibrionaceae (309 strains), Pseudoalteromonas spp. (128 strains), and the Roseobacter clade (29 strains). Of the latter, 25 strains were identified as Ruegeria mobilis or pelagia. When re-testing against V. anguillarum, only 409 (79%) retained some level of inhibitory activity. Many strains, especially Pseudoalteromonas spp. and Ruegeria spp., also inhibited Staphylococcus aureus. The most pronounced antibacterial strains were pigmented Pseudoalteromonas strains and Ruegeria spp. The inhibitory, pigmented Pseudoalteromonas were predominantly isolated in warmer waters from swabs of live or inert surfaces. Ruegeria strains were isolated from all ocean areas except for Arctic and Antarctic waters and inhibitory activity caused by production of tropodithietic acid.</t>
  </si>
  <si>
    <t>[Gram, Lone; Melchiorsen, Jette; Bruhn, Jesper Bartholin] Tech Univ Denmark, Natl Inst Aquat Resources, DK-2800 Lyngby, Denmark</t>
  </si>
  <si>
    <t>Technical University of Denmark</t>
  </si>
  <si>
    <t>Gram, L (corresponding author), Tech Univ Denmark, Natl Inst Aquat Resources, Soltofts Plads Bldg 221, DK-2800 Lyngby, Denmark.</t>
  </si>
  <si>
    <t>gram@aqua.dtu.dk</t>
  </si>
  <si>
    <t>Gram, Lone/0000-0002-1076-5723</t>
  </si>
  <si>
    <t>Carlsberg Foundation; Danish Center for Food Research (LMC); Danish Strategic Research Council</t>
  </si>
  <si>
    <t>Carlsberg Foundation(Carlsberg Foundation); Danish Center for Food Research (LMC); Danish Strategic Research Council(Danske Strategiske Forskningsrad (DSF))</t>
  </si>
  <si>
    <t>The Carlsberg Foundation and the Danish Center for Food Research (LMC) are thanked for donations covering international travel. Funding from the Programme Committee for Food, Health and Welfare under the Danish Strategic Research Council is acknowledged. We express our thankfulness to Drs. Jorn Smedsgaard and Kristian Fog Nielsen and technician Ellen Kirstine Lyhne for participation in and sampling done during the cruise. We thank Kerstin Geitner and Andreas Espersen for help with Fig. 1 and Matthias Wietz for help with Fig. 3. The present work was carried out as part of the Galathea 3 expedition under the auspices of the Danish Expedition Foundation. This is Galathea 3 contribution no. P50.</t>
  </si>
  <si>
    <t>10.1007/s10126-009-9233-y</t>
  </si>
  <si>
    <t>630JX</t>
  </si>
  <si>
    <t>WOS:000280270300008</t>
  </si>
  <si>
    <t>Barnes, DKA; Walters, A; Gonçalves, L</t>
  </si>
  <si>
    <t>Barnes, David K. A.; Walters, Adam; Goncalves, Leandra</t>
  </si>
  <si>
    <t>Macroplastics at sea around Antarctica</t>
  </si>
  <si>
    <t>Antarctica; Southern Ocean; Impacts; Packaging; Dispersal; Amundsen Sea</t>
  </si>
  <si>
    <t>ENVIRONMENT; LITTER; OCEAN</t>
  </si>
  <si>
    <t>More so than at any previous time, there is a heightened awareness of the amount of plastic in the environment, it's spread to even remote localities and the multiple influences of this on organisms. In the austral summer of 2007/08 Greenpeace and British Antarctic Survey ships (MV Esperanza and RRS James Clark Ross respectively) conducted the first co-ordinated joint marine debris survey of the planet's most remote seas around East and West Antarctica to reveal floating macroplastics. With observations also made from the ice patrol vessel HMS Endurance in the same season and seabed samples collected from the RRS James Clark Ross, this was the widest survey for plastics ever undertaken around Antarctica. Main features: The 2008 visit of RRS James Clark Ross to the Amundsen Sea breached two last frontiers; the last and most remote sea from which biological samples and plastic debris have been reported. A plastic cup and two fishing buoys were seen in the Durmont D'Urville and Davis seas while two pieces of plastic packaging and a fishing buoy were observed in the Amundsen Sea. Agassiz trawls revealed rich biodiversity on the Amundsen (and south Bellingshausen) seabed but no sunken plastic pieces. We found no microplastics in five epibenthic sledge samples (300 mu m mesh) from the Amundsen seabed. The seabeds immediately surrounding continental Antarctica are probably the last environments on the planet yet to be reached by plastics, but with pieces floating into the surface of the Amundsen Sea this seems likely to change soon. Our knowledge now touches every sea but so does our legacy of lost and discarded plastic. (C) 2010 Elsevier Ltd. All rights reserved.</t>
  </si>
  <si>
    <t>[Barnes, David K. A.] British Antarctic Survey, NERC, Cambridge CB3 0ET, England; [Walters, Adam; Goncalves, Leandra] Univ Exeter, Sch Biosci, Greenpeace Sci Unit, Exeter EX4 4PS, Devon, England</t>
  </si>
  <si>
    <t>UK Research &amp; Innovation (UKRI); Natural Environment Research Council (NERC); NERC British Antarctic Survey; University of Exeter</t>
  </si>
  <si>
    <t>Barnes, DKA (corresponding author), British Antarctic Survey, NERC, Madingley Rd, Cambridge CB3 0ET, England.</t>
  </si>
  <si>
    <t>Goncalves, Leandra Regina/H-7665-2012</t>
  </si>
  <si>
    <t>Natural Environment Research Council [bas0100025] Funding Source: researchfish; NERC [bas0100025] Funding Source: UKRI</t>
  </si>
  <si>
    <t>10.1016/j.marenvres.2010.05.006</t>
  </si>
  <si>
    <t>627NL</t>
  </si>
  <si>
    <t>WOS:000280046400014</t>
  </si>
  <si>
    <t>Osawa, T; Yamamoto, Y; Noguchi, T; Iose, A; Nagao, K</t>
  </si>
  <si>
    <t>Osawa, Takahito; Yamamoto, Yukio; Noguchi, Takaaki; Iose, Akari; Nagao, Keisuke</t>
  </si>
  <si>
    <t>Interior textures, chemical compositions, and noble gas signatures of Antarctic cosmic spherules: Possible sources of spherules with long exposure ages</t>
  </si>
  <si>
    <t>INTERPLANETARY DUST PARTICLES; KUIPER-BELT DUST; COSMOGENIC NUCLIDES; ACCRETION RATE; RAY PARTICLES; SOLAR-WIND; MICROMETEORITES; NEON; ICE; METEORITES</t>
  </si>
  <si>
    <t>The interior texture and chemical and noble gas composition of 99 cosmic spherules collected from the meteorite ice field around the Yamato Mountains in Antarctica were investigated. Their textures were used to classify the spherules into six different types reflecting the degree of heating: 13 were cryptocrystalline, 40 were barred olivine, 3 were porphyritic A, 24 were porphyritic B, 9 were porphyritic C, and 10 were partially melted spherules. While a correlation exists between the type of spherule and its noble gas content, there is no significant correlation between its chemical composition and noble gas content. Fifteen of the spherules still had detectable amounts of extraterrestrial He, and the majority of them had 3He/4He ratios that were close to that of solar wind (SW). The Ne isotopic composition of 28 of the spherules clustered between implantation-fractionated SW and air. Extraterrestrial Ar, confirmed to be present because it had a 40Ar/36Ar ratio lower than that of terrestrial atmosphere, was found in 35 of the spherules. An enigmatic spherule, labeled M240410, had an extremely high concentration of cosmogenic nuclides. Assuming 4 pi exposure to galactic and solar cosmic rays as a micrometeoroid and no exposure on the parent body, the cosmic-ray exposure (CRE) age of 393 Myr could be computed using cosmogenic 21Ne. Under these model assumptions, the inferred age suggests that the particle might have been an Edgeworth-Kuiper Belt object. Alternatively, if exposure near the surface of its parent body was dominant, the CRE age of 382 Myr can be estimated from the cosmogenic 38Ar using the production rate of the 2 pi exposure geometry, and implies that the particle may have originated in the mature regolith of an asteroid.</t>
  </si>
  <si>
    <t>[Osawa, Takahito] Japan Atom Energy Agcy, Quantum Beam Sci Directorate, Neutron Imaging &amp; Activat Anal Grp, Tokai, Ibaraki 3191195, Japan; [Yamamoto, Yukio] Univ Tokyo, Ctr Environm Sci, Bunkyo Ku, Tokyo 1130033, Japan; [Noguchi, Takaaki; Iose, Akari] Ibaraki Univ, Coll Sci, Mito, Ibaraki 3108512, Japan; [Nagao, Keisuke] Univ Tokyo, Geochem Res Ctr, Grad Sch Sci, Bunkyo Ku, Tokyo 1130033, Japan</t>
  </si>
  <si>
    <t>Japan Atomic Energy Agency; University of Tokyo; Ibaraki University; University of Tokyo</t>
  </si>
  <si>
    <t>Osawa, T (corresponding author), Japan Atom Energy Agcy, Quantum Beam Sci Directorate, Neutron Imaging &amp; Activat Anal Grp, Shirakata Shirane 2-4, Tokai, Ibaraki 3191195, Japan.</t>
  </si>
  <si>
    <t>osawa.takahito@jaea.go.jp</t>
  </si>
  <si>
    <t>Noguchi, Takaaki/IWV-1123-2023</t>
  </si>
  <si>
    <t>Noguchi, Takaaki/0000-0001-7211-2595</t>
  </si>
  <si>
    <t>10.1111/j.1945-5100.2010.01093.x</t>
  </si>
  <si>
    <t>682UB</t>
  </si>
  <si>
    <t>WOS:000284427400007</t>
  </si>
  <si>
    <t>Frias, A; Manresa, A; de Oliveira, E; López-Iglesias, C; Mercade, E</t>
  </si>
  <si>
    <t>Frias, Alina; Manresa, Angeles; de Oliveira, Eliandre; Lopez-Iglesias, Carmen; Mercade, Elena</t>
  </si>
  <si>
    <t>Membrane Vesicles: A Common Feature in the Extracellular Matter of Cold-Adapted Antarctic Bacteria (vol 59, pg 476, 2010)</t>
  </si>
  <si>
    <t>[Frias, Alina; Manresa, Angeles] Univ Barcelona, Fac Farm, Microbiol Lab, E-08028 Barcelona, Spain; [Lopez-Iglesias, Carmen] Univ Barcelona, Microscopia Elect Serv Cient Tecn, Barcelona, Spain; [Mercade, Elena] Univ Barcelona, Fac Farm, Dept Microbiol &amp; Parasitol Sanitarias, E-08028 Barcelona, Spain</t>
  </si>
  <si>
    <t>University of Barcelona; University of Barcelona; University of Barcelona</t>
  </si>
  <si>
    <t>Mercade, E (corresponding author), Univ Barcelona, Fac Farm, Dept Microbiol &amp; Parasitol Sanitarias, Av Juan XXIII S-N, E-08028 Barcelona, Spain.</t>
  </si>
  <si>
    <t>mmercade@ub.edu</t>
  </si>
  <si>
    <t>Mercade, Elena/L-5218-2014</t>
  </si>
  <si>
    <t>Mercade, Elena/0000-0001-7828-2210; Manresa, Angeles/0000-0003-2337-9060</t>
  </si>
  <si>
    <t>10.1007/s00248-010-9655-0</t>
  </si>
  <si>
    <t>652DK</t>
  </si>
  <si>
    <t>WOS:000281981300021</t>
  </si>
  <si>
    <t>Gordon, AL; Huber, B; McKee, D; Visbeck, M</t>
  </si>
  <si>
    <t>Gordon, Arnold L.; Huber, Bruce; McKee, Darren; Visbeck, Martin</t>
  </si>
  <si>
    <t>A seasonal cycle in the export of bottom water from the Weddell Sea</t>
  </si>
  <si>
    <t>ICE; VARIABILITY; POLYNYA; DEEP</t>
  </si>
  <si>
    <t>Dense water formed over the Antarctic continental shelf rapidly descends into the deep ocean where it spreads throughout the global ocean as Antarctic BottomWater(1,2). The coldest and most voluminous component of this water mass is Weddell Sea bottom water(1,3-7). Here we present observations over eight years of the temperature and salinity stratification in the lowermost ocean southeast of the South Orkney Islands, marking the export of Weddell Sea bottom water. We observe a pronounced seasonal cycle in bottom temperatures, with a cold pulse in May/June and a warm one in October/November, but the timing of these phases varies each year. We detect the coldest bottom water in 1999 and 2002, whereas there was no cold phase in 2000. On the basis of current velocities and water mass characteristics, we infer that the pulses originate from the southwestWeddell Sea. We propose that the seasonal fluctuations of Weddell Sea bottom-water properties are governed by the seasonal cycle of the winds over the western margin of the Weddell Sea. Interannual fluctuations are linked to the variability of the wind-driven Weddell Sea gyre and hence to large-scale climate phenomena such as the Southern Annular Mode and El Nino/Southern Oscillation.</t>
  </si>
  <si>
    <t>[Gordon, Arnold L.; Huber, Bruce; McKee, Darren] Columbia Univ, Lamont Doherty Earth Observ, Palisades, NY 10964 USA; [Visbeck, Martin] Leibniz Inst Meereswissensch IFM GEOMAR, D-24105 Kiel, Germany</t>
  </si>
  <si>
    <t>Columbia University; Helmholtz Association; GEOMAR Helmholtz Center for Ocean Research Kiel</t>
  </si>
  <si>
    <t>Gordon, AL (corresponding author), Columbia Univ, Lamont Doherty Earth Observ, 61 Route 9W, Palisades, NY 10964 USA.</t>
  </si>
  <si>
    <t>agordon@ldeo.columbia.edu</t>
  </si>
  <si>
    <t>Visbeck, Martin H/B-6541-2016; Visbeck, Martin/G-2461-2011; Gordon, Arnold L./H-1049-2011</t>
  </si>
  <si>
    <t>Visbeck, Martin H/0000-0002-0844-834X; Visbeck, Martin/0000-0002-0844-834X; Huber, Bruce/0000-0001-6413-1614; Gordon, Arnold L./0000-0001-6480-6095</t>
  </si>
  <si>
    <t>National Oceanic and Atmospheric Administration, U. S. Department of Commerce [NA08OAR4320754]</t>
  </si>
  <si>
    <t>National Oceanic and Atmospheric Administration, U. S. Department of Commerce(National Oceanic Atmospheric Admin (NOAA) - USA)</t>
  </si>
  <si>
    <t>This research was financially supported under the Cooperative Institute for Climate Applications Research award number NA08OAR4320754 from the National Oceanic and Atmospheric Administration, U. S. Department of Commerce. The statements, findings, conclusions and recommendations are those of the author(s) and do not necessarily reflect the views of the National Oceanic and Atmospheric Administration or the Department of Commerce. Lamont Doherty Contribution number 7369.</t>
  </si>
  <si>
    <t>10.1038/ngeo916</t>
  </si>
  <si>
    <t>645NK</t>
  </si>
  <si>
    <t>WOS:000281467500015</t>
  </si>
  <si>
    <t>Barker, S; Knorr, G; Vautravers, MJ; Diz, P; Skinner, LC</t>
  </si>
  <si>
    <t>Barker, Stephen; Knorr, Gregor; Vautravers, Maryline J.; Diz, Paula; Skinner, Luke C.</t>
  </si>
  <si>
    <t>Extreme deepening of the Atlantic overturning circulation during deglaciation</t>
  </si>
  <si>
    <t>SOUTHERN-OCEAN; NORTH-ATLANTIC; CLIMATE; RESUMPTION; MECHANISM; KYR</t>
  </si>
  <si>
    <t>Glacial terminations during the late Pleistocene epoch are associated with changes in insolation. They are also punctuated by millennial-scale climate shifts, characterized by a weakening and subsequent strengthening of the Atlantic meridional overturning circulation. This ubiquitous association suggests that these oscillations may be a necessary component of deglaciation. Model simulations have suggested that the period of weakened circulation during these terminal oscillations would be followed by an overshoot of the circulation on its resumption, but this phenomenon has not yet been observed. Here we use radiocarbon measurements of benthic foraminifera and carbonate preservation indices to reconstruct ventilation changes in the deep South Atlantic Ocean over the past 40,000 years. We find evidence for a particularly deep expansion of the Atlantic overturning cell directly following the weak mode associated with Heinrich Stadial 1. Our analysis of an ocean general circulation model simulation suggests that North Atlantic Deep Water export during the expansion was greater than that of interglacial conditions. We find a similar deep expansion duringDansgaard-Oeschger Interstadial Event 8, 38,000 years ago, which followed Heinrich Stadial 4. We conclude that the rise in atmospheric CO2 concentrations and resultant warming associated with an especially weak overturning circulation are sufficient to trigger a switch to a vigorous circulation, but a full transition to interglacial conditions requires additional forcing at an orbital scale.</t>
  </si>
  <si>
    <t>[Barker, Stephen; Knorr, Gregor; Diz, Paula] Cardiff Univ, Sch Earth &amp; Ocean Sci, Cardiff CF10 3YE, S Glam, Wales; [Knorr, Gregor] Alfred Wegener Inst, D-27570 Bremerhaven, Germany; [Vautravers, Maryline J.] British Antarctic Survey, Cambridge CB3 0ET, England; [Skinner, Luke C.] Univ Cambridge, Dept Earth Sci, Cambridge CB2 3EQ, England</t>
  </si>
  <si>
    <t>Cardiff University; Helmholtz Association; Alfred Wegener Institute, Helmholtz Centre for Polar &amp; Marine Research; UK Research &amp; Innovation (UKRI); Natural Environment Research Council (NERC); NERC British Antarctic Survey; University of Cambridge</t>
  </si>
  <si>
    <t>Barker, S (corresponding author), Cardiff Univ, Sch Earth &amp; Ocean Sci, Cardiff CF10 3YE, S Glam, Wales.</t>
  </si>
  <si>
    <t>barkers3@cf.ac.uk</t>
  </si>
  <si>
    <t>Stephen, Barker/C-2770-2009; Diz, Paula/N-3113-2015</t>
  </si>
  <si>
    <t>Knorr, Gregor/0000-0002-8317-5046; Diz, Paula/0000-0002-7136-0690; Barker, Stephen/0000-0001-7870-6431; Mleneck-Vautravers, Maryline/0000-0003-2534-219X</t>
  </si>
  <si>
    <t>National Science Foundation [OCE00-02380]; Office of Naval Research [N00014-02-1-0073]; National Science Foundation (US) [OCE-0435703]; Natural Environment Research Council (UK) [NE/F002734/1, NE/G004021/1]; NERC [NE/G004021/1, NE/F002734/1, bas0100026, NE/G006105/2] Funding Source: UKRI; Natural Environment Research Council [NE/G004021/1, NE/F002734/1, NE/G006105/2, bas0100026] Funding Source: researchfish</t>
  </si>
  <si>
    <t>National Science Foundation(National Science Foundation (NSF)); Office of Naval Research(Office of Naval Research); National Science Foundation (US)(National Science Foundation (NSF)); 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</si>
  <si>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We thank T. Van de Flierdt, D. Thornalley, P. Sexton and W. Broecker for useful discussions and H. Medley for help in the laboratory. Sample material used in this project was provided by the Lamont-Doherty Earth Observatory Deep-Sea Sample Repository. We thank R. Lotty and G. Lozefski for their help with sampling. Support for the collection and curating facilities of the core collection is provided by the National Science Foundation through Grant OCE00-02380 and the Office of Naval Research through Grant N00014-02-1-0073. The work was supported by a National Science Foundation (US) grant (OCE-0435703) and Natural Environment Research Council (UK) grants NE/F002734/1 and NE/G004021/1.</t>
  </si>
  <si>
    <t>10.1038/ngeo921</t>
  </si>
  <si>
    <t>WOS:000281467500018</t>
  </si>
  <si>
    <t>Wearing, A</t>
  </si>
  <si>
    <t>Wearing, Alexander</t>
  </si>
  <si>
    <t>Innocents in the Dry Valleys. An Account of the Victoria University of Wellington Antarctic Expedition 1958-1959</t>
  </si>
  <si>
    <t>NEW ZEALAND GEOGRAPHER</t>
  </si>
  <si>
    <t>0028-8144</t>
  </si>
  <si>
    <t>NEW ZEAL GEOGR</t>
  </si>
  <si>
    <t>N. Z. Geogr.</t>
  </si>
  <si>
    <t>10.1111/j.1745-7939.2010.01183_8.x</t>
  </si>
  <si>
    <t>628VR</t>
  </si>
  <si>
    <t>WOS:000280152100013</t>
  </si>
  <si>
    <t>Volkov, DL; Fu, LL; Lee, T</t>
  </si>
  <si>
    <t>Volkov, Denis L.; Fu, Lee-Lueng; Lee, Tong</t>
  </si>
  <si>
    <t>Mechanisms of the meridional heat transport in the Southern Ocean</t>
  </si>
  <si>
    <t>OCEAN DYNAMICS</t>
  </si>
  <si>
    <t>Southern Ocean; Meridional heat transport; Antarctic circumpolar current; Eddy-induced heat transport; Meridional overturning circulation; Horizontal gyre transport; Eddy-induced heat transport</t>
  </si>
  <si>
    <t>ANTARCTIC CIRCUMPOLAR CURRENT; FRESH-WATER TRANSPORTS; DEACON CELL; EDDY HEAT; CIRCULATION; VARIABILITY; MODEL; FLUX; DYNAMICS; VOLUME</t>
  </si>
  <si>
    <t>The Southern Ocean (SO) transports heat towards Antarctica and plays an important role in determining the heat budget of the Antarctic climate system. A global ocean data synthesis product at eddy-permitting resolution from the Estimating the Circulation and Climate of the Ocean, Phase II (ECCO2) project is used to estimate the meridional heat transport (MHT) in the SO and to analyze its mechanisms. Despite the intense eddy activity, we demonstrate that most of the poleward MHT in the SO is due to the time-mean fields of the meridional velocity, V, and potential temperature, theta. This is because the mean circulation in the SO is not strictly zonal. The Antarctic Circumpolar Current carries warm waters from the region south of the Agulhas Retroflection to the lower latitudes of the Drake Passage and the Malvinas Current carries cold waters northward along the Argentinian shelf. Correlations between the time-varying fields of V and theta (defined as transient processes) significantly contribute to the horizontal-gyre heat transport, but not the overturning heat transport. In the highly energetic regions of the Agulhas Retroflection and the Brazil-Malvinas Confluence the contribution of the horizontal transient processes to the total MHT exceeds the contribution of the mean horizontal flow. We show that the southward total MHT is mainly maintained by the meridional excursion of the mean geostrophic horizontal shear flow (i.e., deviation from the zonal average) associated with the Antarctic Circumpolar Current that balances the equatorward MHT due to the Ekman transport and provides a net poleward MHT in the SO. The Indian sector of the SO serves as the main pathway for the poleward MHT.</t>
  </si>
  <si>
    <t>[Volkov, Denis L.] Univ Calif Los Angeles, Joint Inst Reg Earth Syst Sci &amp; Engn, Los Angeles, CA 90095 USA; [Volkov, Denis L.; Fu, Lee-Lueng; Lee, Tong] CALTECH, Jet Prop Lab, Pasadena, CA 91125 USA</t>
  </si>
  <si>
    <t>University of California System; University of California Los Angeles; California Institute of Technology; National Aeronautics &amp; Space Administration (NASA); NASA Jet Propulsion Laboratory (JPL)</t>
  </si>
  <si>
    <t>Volkov, DL (corresponding author), Univ Calif Los Angeles, Joint Inst Reg Earth Syst Sci &amp; Engn, Los Angeles, CA 90095 USA.</t>
  </si>
  <si>
    <t>denis.volkov@jpl.nasa.gov</t>
  </si>
  <si>
    <t>Lee, Tong/AAZ-6447-2020; Volkov, Denis/A-6079-2011; Lee, Tony/JDM-3564-2023</t>
  </si>
  <si>
    <t>Lee, Tong/0000-0001-9817-2908; Volkov, Denis/0000-0002-9290-0502;</t>
  </si>
  <si>
    <t>National Aeronautics and Space Administration</t>
  </si>
  <si>
    <t>National Aeronautics and Space Administration(National Aeronautics &amp; Space Administration (NASA))</t>
  </si>
  <si>
    <t>This research was carried out at the Jet Propulsion Laboratory, California Institute of Technology, within the framework of the ECCO2 project, sponsored by the National Aeronautics and Space Administration. The efforts of all the members of the ECCO2 group, in particular, Dimitris Menemenlis and Hong Zhang, who have performed model simulations are greatly appreciated.</t>
  </si>
  <si>
    <t>1616-7341</t>
  </si>
  <si>
    <t>1616-7228</t>
  </si>
  <si>
    <t>OCEAN DYNAM</t>
  </si>
  <si>
    <t>Ocean Dyn.</t>
  </si>
  <si>
    <t>10.1007/s10236-010-0288-0</t>
  </si>
  <si>
    <t>636JM</t>
  </si>
  <si>
    <t>WOS:000280728400002</t>
  </si>
  <si>
    <t>Kulagin, DN</t>
  </si>
  <si>
    <t>Kulagin, D. N.</t>
  </si>
  <si>
    <t>Distribution of chaetognaths in the central part of the Drake Passage</t>
  </si>
  <si>
    <t>OCEANOLOGY</t>
  </si>
  <si>
    <t>ANTARCTIC SURFACE WATERS; EUKROHNIA-HAMATA; SOUTHERN-OCEAN; VERTICAL-DISTRIBUTION; POPULATION-STRUCTURE; PREDATION IMPACT; ATLANTIC SECTOR; GERLACHE STRAIT; SEA ANTARCTICA; AUSTRAL SUMMER</t>
  </si>
  <si>
    <t>The mesoscale distribution of two chaetognath species, Eukrohnia hamata and Sagitta gazellae, found in the Drake Passage in October and November of 2008 was studied using a stationary grid in the area of the Antarctic Polar Front. The distance between the stations was around ten miles. The most abundant chaetognath species was Eukrohnia hamata, which accounted for 86.7% of all the individuals collected. In the upper 200 m, the average abundance of chaetognaths decreased from 2.1 to 0.8 ind./m(3), and their average biomass decreased from 1.25 to 0.25 mg/m(3) over the transition through the front from the north to the south. The high heterogeneity of the spatial chaetognath distribution in the area was demonstrated: the abundance of the chaetognaths could increase or decrease over 20 miles by a factor of 45 (6.8 and 0.15 ind./m(3)). In addition, two peaks were revealed in the size structure of the E. hamata population, probably indicating two periods of reproduction in this species in the Drake Passage.</t>
  </si>
  <si>
    <t>PP Shirshov Oceanol Inst, Moscow, Russia</t>
  </si>
  <si>
    <t>Russian Academy of Sciences; Shirshov Institute of Oceanology</t>
  </si>
  <si>
    <t>Kulagin, DN (corresponding author), PP Shirshov Oceanol Inst, Moscow, Russia.</t>
  </si>
  <si>
    <t>dima_kul1985@mail.ru</t>
  </si>
  <si>
    <t>Kulagin, Dmirty/E-3137-2014</t>
  </si>
  <si>
    <t>Kulagin, Dmirty/0000-0002-5521-8598</t>
  </si>
  <si>
    <t>Presidium of the Russian Academy of Sciences; Meridian Program [1901-17-09]</t>
  </si>
  <si>
    <t>Presidium of the Russian Academy of Sciences(Russian Academy of Sciences); Meridian Program</t>
  </si>
  <si>
    <t>This study was supported by of the Presidium of the Russian Academy of Sciences (programs 15P and 17P) and by the Meridian Program (code no. 1901-17-09).</t>
  </si>
  <si>
    <t>0001-4370</t>
  </si>
  <si>
    <t>OCEANOLOGY+</t>
  </si>
  <si>
    <t>Oceanology</t>
  </si>
  <si>
    <t>10.1134/S0001437010040077</t>
  </si>
  <si>
    <t>646LW</t>
  </si>
  <si>
    <t>WOS:000281543100007</t>
  </si>
  <si>
    <t>Hernandez-Sanchez, MT; Venables, HJ; Mills, RA; Wolff, G; Fisher, EH; Holtvoeth, J; Leng, MJ; Pancost, RD</t>
  </si>
  <si>
    <t>Hernandez-Sanchez, Maria T.; Venables, Hugh J.; Mills, Rachel A.; Wolff, George; Fisher, Elizabeth H.; Holtvoeth, Jens; Leng, Melanie J.; Pancost, Richard D.</t>
  </si>
  <si>
    <t>Productivity variation around the Crozet Plateau: A naturally iron fertilised area of the Southern Ocean</t>
  </si>
  <si>
    <t>ORGANIC GEOCHEMISTRY</t>
  </si>
  <si>
    <t>CARBON-ISOTOPE FRACTIONATION; PARTICULATE ORGANIC-MATTER; EXPORT EXPERIMENT CROZEX; PHYTOPLANKTON BLOOM; MARINE-PHYTOPLANKTON; COMMUNITY STRUCTURE; GROWTH-RATE; CO2 CONCENTRATION; SURFACE-WATER; C-13 FRACTIONATION</t>
  </si>
  <si>
    <t>The Crozet Plateau is an area of interest as it is a region of the Southern Ocean where annual primary productivity is relatively high. We describe spatial and temporal variations in the biomarker distributions and carbon and nitrogen isotopic signatures of organic matter formed within surface waters around the plateau during an algal bloom. In the centre of the bloom, diatom-derived sterols dominate, whereas alkenones are relatively more abundant outside and at the edge of the bloom. Bulk organic delta C-13 and delta N-15 values are enriched inside the bloom area, ranging from -18.7 parts per thousand to -17.6 parts per thousand and +1.6 parts per thousand, to +3.7 parts per thousand, respectively, compared to -25.7 parts per thousand, to -20.9 parts per thousand and -2.0 parts per thousand to +1.3 parts per thousand, respectively, outside the bloom area. Variation in bulk delta N-15 values is attributed primarily to NH3 or dissolved organic N uptake, with only a minor contribution from Rayleigh fractionation of the NO3- pool. Compound specific delta C-13 values (cholest-5-en-3 beta-ol, cholesta-5,22-dien-3 beta-ol, 24-methylcholesta-5,22-dien-3 beta-ol, 24-methylcholesta-24(28)-dien-3 beta-ol and alkenones) are also enriched in the Fe fertilised region relative to other areas, presumably reflecting higher phytoplankton growth rate, consumption of dissolved inorganic carbon and perhaps more intense use of carbon concentrating mechanisms. The observations confirm previous interpretations that Fe fertilisation in the Crozet region has affected nutrient utilisation and the algal community structure; it also suggests that lipid biomarkers and their delta C-13 values record a specific bloom signature that may be recorded in underlying sediments. (C) 2010 Elsevier Ltd. All rights reserved.</t>
  </si>
  <si>
    <t>[Hernandez-Sanchez, Maria T.; Pancost, Richard D.] Univ Bristol, Sch Chem, Organ Geochem Unit, Bristol Biogeochem Res Ctr, Bristol BS8 1TS, Avon, England; [Venables, Hugh J.] British Antarctic Survey, Cambridge CB3 0ET, England; [Mills, Rachel A.] Natl Oceanog Ctr, Sch Ocean &amp; Earth Sci, Southampton S014 3ZH, Hants, England; [Leng, Melanie J.] Univ Liverpool, Dept Earth &amp; Ocean Sci, Liverpool L69 3GP, Merseyside, England; [Leng, Melanie J.] British Geol Survey, NERC, Isotope Geosci Lab, Nottingham NG12 5GG, England</t>
  </si>
  <si>
    <t>University of Bristol; UK Research &amp; Innovation (UKRI); Natural Environment Research Council (NERC); NERC British Antarctic Survey; NERC National Oceanography Centre; University of Liverpool; UK Research &amp; Innovation (UKRI); Natural Environment Research Council (NERC); NERC British Geological Survey</t>
  </si>
  <si>
    <t>Hernandez-Sanchez, MT (corresponding author), Univ Bristol, Sch Chem, Organ Geochem Unit, Bristol Biogeochem Res Ctr, Bristol BS8 1TS, Avon, England.</t>
  </si>
  <si>
    <t>maite.hernandezsanchez@bristol.ac.uk</t>
  </si>
  <si>
    <t>Fisher, Elizabeth/B-8802-2011; Mills, Rachel/A-1150-2011</t>
  </si>
  <si>
    <t>Fisher, Elizabeth/0000-0002-6124-3618; Holtvoeth, Jens/0000-0002-9259-4728; Leng, Melanie/0000-0003-1115-5166; Pancost, Richard/0000-0003-0298-4026; Mills, Rachel/0000-0002-9811-246X</t>
  </si>
  <si>
    <t>NERC [NER/A/S/2003/00576]; EU; NERC [nigl010001, bas0100028] Funding Source: UKRI; Natural Environment Research Council [nigl010001, NER/A/S/2003/00573, NER/A/S/2003/00576, bas0100028] Funding Source: researchfish</t>
  </si>
  <si>
    <t>NERC(UK Research &amp; Innovation (UKRI)Natural Environment Research Council (NERC)); EU(European Union (EU)); NERC(UK Research &amp; Innovation (UKRI)Natural Environment Research Council (NERC)); Natural Environment Research Council(UK Research &amp; Innovation (UKRI)Natural Environment Research Council (NERC))</t>
  </si>
  <si>
    <t>We thank Bull of the Organic Geochemistry Unit and the Bristol Node of the NERC Life Sciences Mass Spectrometry Facility for analytical support. Additionally, we thank NERC for funding isotope analysis and the help of C. Kendrick and T. Heaton at the NERC Isotope Geosciences Laboratory (NIGL). We also gratefully acknowledge the NERC funded CROZet natural Iron bloom Export Experiment (CROZEX) and Benthic Crozet Programme (NER/A/S/2003/00576), and especially F. Chaillan for the recovery of samples around the Crozet Plateau. We also thank the officers, crew and technical support on RRS Discovery Cruises D286 and D300, the EU for funding a PhD studentship (M.T.H.) via the BIOTRACS programme, and A. Benthien and an anonymous reviewer for constructive comments.</t>
  </si>
  <si>
    <t>0146-6380</t>
  </si>
  <si>
    <t>ORG GEOCHEM</t>
  </si>
  <si>
    <t>Org. Geochem.</t>
  </si>
  <si>
    <t>10.1016/j.orggeochem.2010.05.014</t>
  </si>
  <si>
    <t>634VT</t>
  </si>
  <si>
    <t>WOS:000280614600005</t>
  </si>
  <si>
    <t>Janecki, T; Kidawa, A; Potocka, M</t>
  </si>
  <si>
    <t>Janecki, Tomasz; Kidawa, Anna; Potocka, Marta</t>
  </si>
  <si>
    <t>The effects of temperature and salinity on vital biological functions of the Antarctic crustacean Serolis polita</t>
  </si>
  <si>
    <t>SOUTHERN-OCEAN; CLIMATE-CHANGE; SURVIVAL; ISLAND; SENSITIVITY; METABOLISM; PERACARIDA; PENINSULA; ZONATION; LIMPETS</t>
  </si>
  <si>
    <t>Effects of temperature rise (from 0 to +5A degrees C) and salinity decline (from 34 to 30 psu) on vital biological functions of the Antarctic isopod Serolis polita were studied in laboratory experiments. Behavioural reactions to food odour, as well as righting responses and reburying in the sediments, were measured. Both temperature increase and salinity decline impaired the ability of S. polita to perform these biological functions critical for their long-term survival, by lowering the number of isopods able to right and rebury in the sediment, increasing time-to-right, reducing locomotory activity and weakening isopod reaction to food odour. Significant interactive effects between temperature and salinity on time-to-right and time spent swimming were observed, with isopods being more vulnerable to lower salinities when exposed to higher temperatures. Some biological functions (righting, reburying) were more sensitive to temperature and salinity changes than others (swimming). In conclusion, our findings strongly suggest that Antarctic isopods are vulnerable to environmental changes, and their ability to cope with them is limited.</t>
  </si>
  <si>
    <t>[Janecki, Tomasz; Kidawa, Anna; Potocka, Marta] PAS, Dept Antarctic Biol, PL-02141 Warsaw, Poland</t>
  </si>
  <si>
    <t>Polish Academy of Sciences</t>
  </si>
  <si>
    <t>Janecki, T (corresponding author), PAS, Dept Antarctic Biol, Ustrzycka 10-12, PL-02141 Warsaw, Poland.</t>
  </si>
  <si>
    <t>toja@arctowski.pl</t>
  </si>
  <si>
    <t>Potocka, Marta/0000-0003-0505-6436</t>
  </si>
  <si>
    <t>Ministry of Scientific Research and Higher Education [IPY/268/2006]</t>
  </si>
  <si>
    <t>Ministry of Scientific Research and Higher Education</t>
  </si>
  <si>
    <t>Data presented in this paper were collected during the 32. Polish Antarctic Expedition at Arctowski Station (King George Island, South Shetlands, Antarctica). The work was financed by the Ministry of Scientific Research and Higher Education, Grant No. IPY/268/2006 (years 2007-2010). Particular thanks are addressed to two referees for their most helpful comments, which greatly improved the paper.</t>
  </si>
  <si>
    <t>10.1007/s00300-010-0779-y</t>
  </si>
  <si>
    <t>627WN</t>
  </si>
  <si>
    <t>WOS:000280074800001</t>
  </si>
  <si>
    <t>McIntyre, T; de Bruyn, PJN; Ansorge, IJ; Bester, MN; Bornemann, H; Plötz, J; Tosh, CA</t>
  </si>
  <si>
    <t>McIntyre, T.; de Bruyn, P. J. N.; Ansorge, I. J.; Bester, M. N.; Bornemann, H.; Ploetz, J.; Tosh, C. A.</t>
  </si>
  <si>
    <t>A lifetime at depth: vertical distribution of southern elephant seals in the water column</t>
  </si>
  <si>
    <t>Southern elephant seals; Satellite-relay data loggers; Mark-resighting; Habitat use; Dive behaviour</t>
  </si>
  <si>
    <t>KING-GEORGE ISLAND; MIROUNGA-LEONINA; DIVING BEHAVIOR; HYPOXIA TOLERANCE; KILLER WHALES; MARION ISLAND; ADULT MALE; FORAGING BEHAVIOR; BLOOD-OXYGEN; MAMMALS</t>
  </si>
  <si>
    <t>Although numerous studies have addressed the migration and dive behaviour of southern elephant seals (Mirounga leonina), questions remain about their habitat use in the marine environment. We report on the vertical use of the water column in the species and the potential lifetime implications for southern elephant seals from Marion Island. Long-term mark-resight data were used to complement vertical habitat use for 35 known individuals tagged with satellite-relay data loggers, resulting in cumulative depth use extrapolated for each individual over its estimated lifespan. Seals spent on average 77.59% of their lives diving at sea, 7.06% at the sea surface, and 15.35% hauled out on land. Some segregation was observed in maximum dive depths and depth use between male and female animals-males evidently being physiologically more capable of exploiting increased depths. Females and males spent 86.98 and 80.89% of their lives at sea, respectively. While at sea, all animals spent more time between 300 and 400 m depth, than any other depth category. Males and females spent comparable percentages of their lifetimes below 100 m depth (males: 65.54%; females: 68.92%), though males spent 8.98% of their lives at depths in excess of 700 m, compared to females' 1.84% at such depths. Adult males often performed benthic dives in excess of 2,000 m, including the deepest known recorded dive of any air-breathing vertebrate (&gt; 2,133 m). Our results provide a close approximation of vertical habitat use by southern elephant seals, extrapolated over their lifespans, and we discuss some physiological and developmental implications of their variable depth use.</t>
  </si>
  <si>
    <t>[McIntyre, T.; de Bruyn, P. J. N.; Bester, M. N.; Tosh, C. A.] Univ Pretoria, Dept Zool &amp; Entomol, Mammal Res Inst, ZA-0002 Pretoria, South Africa; [Ansorge, I. J.] Univ Cape Town, Marine Res Inst, Dept Oceanog, ZA-7701 Rondebosch, South Africa; [Bornemann, H.; Ploetz, J.] Alfred Wegener Inst Polar &amp; Marine Res, D-27515 Bremerhaven, Germany</t>
  </si>
  <si>
    <t>University of Pretoria; University of Cape Town; Helmholtz Association; Alfred Wegener Institute, Helmholtz Centre for Polar &amp; Marine Research</t>
  </si>
  <si>
    <t>McIntyre, T (corresponding author), Univ Pretoria, Dept Zool &amp; Entomol, Mammal Res Inst, ZA-0002 Pretoria, South Africa.</t>
  </si>
  <si>
    <t>tmcintyre@zoology.up.ac.za</t>
  </si>
  <si>
    <t>Tosh, Cheryl/D-5623-2016; ANSORGE, ISABELLE/AAY-7396-2020; de Bruyn, P. J. Nico/E-4176-2010; McIntyre, Trevor/E-6846-2010; Bester, Marthán N/E-5387-2010</t>
  </si>
  <si>
    <t>Tosh, Cheryl/0000-0003-0243-5422; de Bruyn, P. J. Nico/0000-0002-9114-9569; McIntyre, Trevor/0000-0001-8395-7550; Ansorge, Isabelle/0000-0001-7071-8147</t>
  </si>
  <si>
    <t>Alfred Wegener Institute for Polar and Marine Research (Germany); Department of Science and Technology; National Research Foundation (South Africa); South African National Antarctic Programme</t>
  </si>
  <si>
    <t>Alfred Wegener Institute for Polar and Marine Research (Germany); Department of Science and Technology(Department of Science &amp; Technology (India)); National Research Foundation (South Africa)(National Research Foundation - South Africa); South African National Antarctic Programme</t>
  </si>
  <si>
    <t>We thank Chris Oosthuizen, Mashudu Phalanndwa, Ryan Reisinger, Thomas Mufanadzo, Phathu Radzilani, Brent Stewart and Greg Hofmeyr for their important assistance in the field with deployments of satellite tags. We are also grateful to them and the remaining field assistants for their continued efforts with the mark-resighting of tagged seals. Martin Biuw provided valuable input on the handling and filtering of dive data from SRDLs and Rene Wolmarans assisted with dive analyses in the R environment. The Alfred Wegener Institute for Polar and Marine Research (Germany), the Department of Science and Technology and the National Research Foundation (South Africa) and South African National Antarctic Programme are acknowledged for financial and logistical support. Louise Chilvers, Alejandro Carlini and three anonymous reviewers provided valuable criticism on previous versions of this manuscript.</t>
  </si>
  <si>
    <t>10.1007/s00300-010-0782-3</t>
  </si>
  <si>
    <t>WOS:000280074800004</t>
  </si>
  <si>
    <t>Christiansen, JS; Karamushko, LI; Nahrgang, J</t>
  </si>
  <si>
    <t>Christiansen, Jorgen S.; Karamushko, Larisa I.; Nahrgang, Jasmine</t>
  </si>
  <si>
    <t>Sub-lethal levels of waterborne petroleum may depress routine metabolism in polar cod Boreogadus saida (Lepechin, 1774)</t>
  </si>
  <si>
    <t>Boreogadus saida; Petroleum; Respirometry; Routine metabolism</t>
  </si>
  <si>
    <t>HERRING CLUPEA-PALLASI; ARCTIC TELEOST FISH; CRUDE-OIL; OXYGEN-CONSUMPTION; SOLUBLE FRACTION; EXPOSURE; SEA; RESPONSES; PERFORMANCE; IMPACTS</t>
  </si>
  <si>
    <t>Petroleum-related activities in Arctic waters are rapidly increasing parallel to the ongoing thinning of the Arctic sea ice. As part of a series of studies on petroleum-induced stress in polar cod Boreogadus saida, we tested the effects of acute (similar to 60 min) and chronic (4 weeks) exposure to the water soluble fraction (WSF) of petroleum on whole body metabolism inferred from measurements of oxygen consumption rates. The exposure of polar cod to WSF leads to a statistically significant depression in routine metabolism in the order Control (0.260 mg O-2 g fish(-1) h(-1); N = 6) &gt; Chronic (0.191 mg O-2 g fish(-1) h(-1); N = 6) &gt; Acute (0.110 mg O-2 g fish(-1) h(-1); N = 2), decoupling of routine metabolism and body mass but possibly also to a partial metabolic compensation after 4 weeks of exposure. The results are reviewed in context with similar studies on Antarctic and non-polar fishes.</t>
  </si>
  <si>
    <t>[Christiansen, Jorgen S.; Nahrgang, Jasmine] Univ Tromso, Dept Arctic &amp; Marine Biol, N-9037 Tromso, Norway; [Karamushko, Larisa I.] Murmansk Marine Biol Inst, Murmansk 183010, Russia; [Nahrgang, Jasmine] Akvaplan Niva AS, Polar Environm Ctr, N-9296 Tromso, Norway</t>
  </si>
  <si>
    <t>UiT The Arctic University of Tromso; Russian Academy of Sciences; Akvaplan-niva</t>
  </si>
  <si>
    <t>Christiansen, JS (corresponding author), Univ Tromso, Dept Arctic &amp; Marine Biol, N-9037 Tromso, Norway.</t>
  </si>
  <si>
    <t>jorgen.s.christiansen@uit.no</t>
  </si>
  <si>
    <t>Nahrgang, Jasmine/AAQ-3594-2020</t>
  </si>
  <si>
    <t>Nahrgang, Jasmine/0000-0002-4202-5922</t>
  </si>
  <si>
    <t>ConocoPhillips AS, Norway; Akvaplan-niva AS</t>
  </si>
  <si>
    <t>We thank Elin Austerheim, Kings Bay Marine Laboratory for technical assistance and Mark G. Carls for guidance on the petroleum columns and analyses of PAHs. Two referees provided useful comments. The study was approved by the National Animal Research Authority and supported by ConocoPhillips AS, Norway, and Akvaplan-niva AS.</t>
  </si>
  <si>
    <t>10.1007/s00300-010-0783-2</t>
  </si>
  <si>
    <t>WOS:000280074800005</t>
  </si>
  <si>
    <t>Osyczka, P</t>
  </si>
  <si>
    <t>Osyczka, Piotr</t>
  </si>
  <si>
    <t>Alien lichens unintentionally transported to the Arctowski station (South Shetlands, Antarctica)</t>
  </si>
  <si>
    <t>Alien species; Lichens; Human impact; Cargo; Antarctic conservation</t>
  </si>
  <si>
    <t>IMPACTS</t>
  </si>
  <si>
    <t>The recent climate changes combined with intensified human activity in Antarctica are promoting the synanthropization process and increasing the likelihood of alien species establishing in the native communities. Cargo items, expedition members' equipment and food destined for the 32nd Polish Antarctic Expedition to the Arctowski station in the 2007/2008 season were inspected to determine their potential as vectors for alien lichen species. Within the cargo, packaging and foodstuffs scanned, a total of 45 lichen specimens (24 species) were identified. Most of them had been accidentally transported with various timbers. Cargo containers and fresh food were also found to harbour for single specimens. The majority of lichens detected are alien to the Antarctic biota and had never been observed in the region. This paper estimates the potential risk of these lichens establishing themselves in remote southern latitudes. The results emphasize the threat of accidental introduction of alien organisms into Antarctica and the need for taking every precaution to prevent the importation of non-native species to this unique environment.</t>
  </si>
  <si>
    <t>[Osyczka, Piotr] Jagiellonian Univ, Inst Bot, Dept Polar Res &amp; Documentat, PL-31501 Krakow, Poland; [Osyczka, Piotr] Polish Acad Sci, Dept Antarctic Biol, PL-02141 Warsaw, Poland</t>
  </si>
  <si>
    <t>Jagiellonian University; Polish Academy of Sciences</t>
  </si>
  <si>
    <t>Osyczka, P (corresponding author), Jagiellonian Univ, Inst Bot, Dept Polar Res &amp; Documentat, Kopernika 27, PL-31501 Krakow, Poland.</t>
  </si>
  <si>
    <t>piotr.osyczka@uj.edu.pl</t>
  </si>
  <si>
    <t>Osyczka, Piotr/0000-0003-4999-4897</t>
  </si>
  <si>
    <t>Department of Antarctic Biology, Polish Academy of Sciences; Ministry of Science and Higher Education [IPY/27/2007]</t>
  </si>
  <si>
    <t>Department of Antarctic Biology, Polish Academy of Sciences; Ministry of Science and Higher Education(Ministry of Science and Higher Education, Poland)</t>
  </si>
  <si>
    <t>The field survey was made possible by the logistical and financial support of the Department of Antarctic Biology, Polish Academy of Sciences. Special thanks are due to expeditionary teams and all persons who accompanied and helped me during the 32nd Polish Antarctic Expedition to Arctowski'' station. I am very grateful to Dr Niek J.M. Gremmen (Diever), Dr Kevin A. Hughes (Cambridge) and Dr Ad H. L. Huiskes (Yerseke) for valuable comments on earlier draft of this paper, and Professor Mark R. D. Seaward (Bradford, UK) for very useful comments and checking the English. Thanks are due to Professor Maria Olech (Krakow) for inspiration to this research and to Dr Robert Koscielniak (Krakow) for his help in the determination of some lichens. The work is part of the Aliens in Antarctica'' project realized as part of the International Polar Year (IPY) 2007-2008 and recommended by SCAR (Scientific Committee on Antarctic Research) and EBA (Evolution and Biodiversity in Antarctic) programme. This study is supported by the Ministry of Science and Higher Education (special grant no. IPY/27/2007).</t>
  </si>
  <si>
    <t>10.1007/s00300-010-0786-z</t>
  </si>
  <si>
    <t>WOS:000280074800007</t>
  </si>
  <si>
    <t>Hughes, KA; Lee, JE; Ware, C; Kiefer, K; Bergstrom, DM</t>
  </si>
  <si>
    <t>Hughes, K. A.; Lee, J. E.; Ware, C.; Kiefer, K.; Bergstrom, D. M.</t>
  </si>
  <si>
    <t>Impact of anthropogenic transportation to Antarctica on alien seed viability</t>
  </si>
  <si>
    <t>Invasion; Antarctica; Non-native; Dispersal; Transport; Propagule</t>
  </si>
  <si>
    <t>INVASIONS; ISLANDS</t>
  </si>
  <si>
    <t>Antarctic ecosystems are at risk from the introduction of invasive species. The first step in the process of invasion is the transportation of alien species to Antarctic in a viable state. However, the effect of long-distance human-mediated dispersal, over different timescales, on propagule viability is not well known. We assessed the viability of Poa trivialis seeds transported to Antarctica from the UK, South Africa and Australia by ship or by ship and aircraft. Following transportation to the Antarctic Treaty area, no reduction in seed viability was found, despite journey times lasting up to 284 days and seeds experiencing temperatures as low as -1.5A degrees C. This work confirms that human-mediated transport may overcome the dispersal barrier for some propagules, and highlights the need for effective pre-departure biosecurity measures.</t>
  </si>
  <si>
    <t>[Hughes, K. A.] British Antarctic Survey, Nat Environm Res Council, Cambridge CB3 0ET, England; [Lee, J. E.] Univ Stellenbosch, Dept Bot &amp; Zool, Ctr Invas Biol, ZA-7602 Matieland, South Africa; [Ware, C.; Kiefer, K.; Bergstrom, D. M.] Australian Antarctic Div, Dept Environm Water Heritage &amp; Arts, Kingston, Tas 7050, Australia; [Ware, C.; Kiefer, K.; Bergstrom, D. M.] Univ Tasmania, Inst Antarctic &amp; So Ocean Studies, Hobart, Tas 7001, Australia</t>
  </si>
  <si>
    <t>UK Research &amp; Innovation (UKRI); Natural Environment Research Council (NERC); NERC British Antarctic Survey; Stellenbosch University; Australian Antarctic Division; University of Tasmania</t>
  </si>
  <si>
    <t>Ware, Chris J/N-4465-2016; Bergstrom, Dana/AAC-2837-2022; Hughes, Kevin/JVZ-0793-2024</t>
  </si>
  <si>
    <t>Bergstrom, Dana/0000-0001-8484-8954;</t>
  </si>
  <si>
    <t>Natural Environment Research Council [bas010020, bas0100025] Funding Source: researchfish; NERC [bas010020, bas0100025] Funding Source: UKRI</t>
  </si>
  <si>
    <t>10.1007/s00300-010-0801-4</t>
  </si>
  <si>
    <t>WOS:000280074800012</t>
  </si>
  <si>
    <t>Panasiuk-Chodnicka, AA; Zmijewska, MI</t>
  </si>
  <si>
    <t>Panasiuk-Chodnicka, Anna A.; Zmijewska, Maria I.</t>
  </si>
  <si>
    <t>Cnidaria from the Croker passage (Antarctic Peninsula) with a special focus on Siphonophorae</t>
  </si>
  <si>
    <t>Antarctica; Croker passage; Gelatinous zooplankton; Siphonophores; Seasonal variability; Vertical distribution</t>
  </si>
  <si>
    <t>EASTERN WEDDELL SEA; GELATINOUS ZOOPLANKTON; VERTICAL-DISTRIBUTION; JELLYFISH BLOOMS; NORTH-SEA; COMMUNITY STRUCTURE; PELAGIC CNIDARIANS; SOUTHERN-OCEAN; ABUNDANCE; CLIMATE</t>
  </si>
  <si>
    <t>Studies of gelatinous zooplankton are rather rare, and little is known about the biology and ecology of Antarctic Cnidaria, especially for siphonophores. More investigations are necessary for complementing the current information on the gelatinous zooplankton inhabiting this important but little know biogeographical region, especially because siphonophores very likely play a significant role in the Antarctic food chains. The species composition, abundance and vertical distribution of planktonic cnidarians in the Croker Passage were evaluated using the data obtained from three expeditions. Zooplankton were sampled with a double plankton net between 0 and 1,200 m water depth in both summer and winter seasons. In total, ten species of siphonophores and four species of medusae were identified. Siphonophore assemblages were dominated by Dimophyes arctica, Pyrostephos vanhoeffeni, and Diphyes dispar. D. arctica and D. dispar occurred in greatest numbers in summer, mainly in the upper mesopelagic zone. P. vanhoeffeni, a cryophilic species, occurred most abundantly in winter (in the lower mesopelagic zone), when they probably reproduce. Restricted circulation from the Bellingshausen Sea over the continental shelf into Croker Passage may exclude the deeper-living oceanic fauna from the area of investigation, as indicated by the low abundances of Crystallophyes amygdalina, Muggiaea sp., and Heteropyramis spp. Four species of medusae were identified. The highest abundance was noted for Solmundella bitentaculata and Arctapodema sp. These occurred most abundantly in the middle (January) and end (April) of summer.</t>
  </si>
  <si>
    <t>[Panasiuk-Chodnicka, Anna A.; Zmijewska, Maria I.] Univ Gdansk, Inst Oceanog, Dept Marine Plankton Res, PL-81378 Gdynia, Poland</t>
  </si>
  <si>
    <t>Fahrenheit Universities; University of Gdansk</t>
  </si>
  <si>
    <t>Panasiuk-Chodnicka, AA (corresponding author), Univ Gdansk, Inst Oceanog, Dept Marine Plankton Res, Al Marszalka Pilsudskiego 46, PL-81378 Gdynia, Poland.</t>
  </si>
  <si>
    <t>aapch@ocean.univ.gda.pl</t>
  </si>
  <si>
    <t>Panasiuk, Anna/HDO-1195-2022</t>
  </si>
  <si>
    <t>Panasiuk, Anna/0000-0002-1008-2922</t>
  </si>
  <si>
    <t>10.1007/s00300-010-0802-3</t>
  </si>
  <si>
    <t>WOS:000280074800013</t>
  </si>
  <si>
    <t>Gorman, KB; Erdmann, ES; Pickering, BC; Horne, PJ; Blum, JR; Lucas, HM; Patterson-Fraser, DL; Fraser, WR</t>
  </si>
  <si>
    <t>Gorman, K. B.; Erdmann, E. S.; Pickering, B. C.; Horne, P. J.; Blum, J. R.; Lucas, H. M.; Patterson-Fraser, D. L.; Fraser, W. R.</t>
  </si>
  <si>
    <t>A new high-latitude record for the macaroni penguin (Eudyptes chrysolophus) at Avian Island, Antarctica</t>
  </si>
  <si>
    <t>Bio-geographic range shift; Climate warming; Eudyptes chrysolophus; Western Antarctic Peninsula; Vagrancy</t>
  </si>
  <si>
    <t>KING-GEORGE-ISLAND; CLIMATE-CHANGE; ENVIRONMENTAL-CHANGE; SOUTHERN-OCEAN; PENINSULA; POPULATIONS; RESPONSES</t>
  </si>
  <si>
    <t>On 20 and 22 January 2007, we observed macaroni penguins (Eudyptes chrysolophus) on Avian Island, Antarctica, approximately 1A degrees south of the Antarctic Circle along the Western Antarctic Peninsula (WAP) near Adelaide Island, a new high-latitude observational record for the species within this region of the continent. Additionally, we report several extra-limital sightings of macaroni penguins over the last decade at relatively lower latitudes along the WAP near Anvers Island, including observations of breeding attempts. Although vagrancy cannot be ruled out as a possible causal factor in our observations, we hypothesize that a climate-induced shift in the species' bio-geographic range may be in progress. In this context, our observations are similar to the well-documented range shifts and eventual establishment of breeding populations by other sub-Antarctic penguin species along the WAP, over the last three decades, in response to regional climate warming. We highlight that the few observations reported here do not provide conclusive evidence for any putative causal mechanism explaining the presence of macaroni penguins at locations outside their natural geographic range. However, our observations are important for developing a better understanding of the natural history of the species along the WAP.</t>
  </si>
  <si>
    <t>[Gorman, K. B.] Simon Fraser Univ, Dept Biol Sci, Burnaby, BC V5A 1S6, Canada; [Erdmann, E. S.] Univ Wisconsin, Dept Wildlife Ecol, Madison, WI 53706 USA; [Gorman, K. B.; Erdmann, E. S.; Pickering, B. C.; Horne, P. J.; Blum, J. R.; Lucas, H. M.; Patterson-Fraser, D. L.; Fraser, W. R.] Polar Oceans Res Grp, Sheridan, MT 59749 USA</t>
  </si>
  <si>
    <t>Simon Fraser University; University of Wisconsin System; University of Wisconsin Madison</t>
  </si>
  <si>
    <t>Gorman, KB (corresponding author), Simon Fraser Univ, Dept Biol Sci, 8888 Univ Dr, Burnaby, BC V5A 1S6, Canada.</t>
  </si>
  <si>
    <t>kgorman@sfu.ca</t>
  </si>
  <si>
    <t>Gorman, Kristen B./0000-0002-0258-9264</t>
  </si>
  <si>
    <t>National Science Foundation [0217282, 0823101]; Office of Polar Programs; Directorate For Geosciences; Office of Polar Programs (OPP) [0823101] Funding Source: National Science Foundation; Office of Polar Programs (OPP); Directorate For Geosciences [0741351] Funding Source: National Science Foundation</t>
  </si>
  <si>
    <t>National Science Foundation(National Science Foundation (NSF)); Office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</si>
  <si>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We thank T. D. Williams, D. Esler, D. Piepenburg, and two anonymous reviewers for helpful comments on previous versions of the manuscript. This work was conducted as part of the Palmer Station, Antarctica, Long-Term Ecological Research (LTER) program (http://pal.lternet.edu) supported by grants #0217282 and #0823101 through the National Science Foundation, Office of Polar Programs to WRF. Fieldwork along the Palmer Archipelago and at Avian Island was conducted in accordance with Antarctic Conservation Act permits to WRF. Raytheon Polar Services Company and Edison Chouest Offshore provided logistical support.</t>
  </si>
  <si>
    <t>10.1007/s00300-010-0795-y</t>
  </si>
  <si>
    <t>WOS:000280074800016</t>
  </si>
  <si>
    <t>Guest editorial-the 1959 Antarctic Treaty: reflecting on the 50th anniversary of a landmark agreement</t>
  </si>
  <si>
    <t>POLAR RESEARCH</t>
  </si>
  <si>
    <t>INTERNATIONAL GEOPHYSICAL YEAR</t>
  </si>
  <si>
    <t>Univ London, Dept Geog, Egham TW20 0EX, Surrey, England</t>
  </si>
  <si>
    <t>Dodds, K (corresponding author), Univ London, Dept Geog, Egham TW20 0EX, Surrey, England.</t>
  </si>
  <si>
    <t>k.dodds@rhul.ac.uk</t>
  </si>
  <si>
    <t>OPEN ACADEMIA AB</t>
  </si>
  <si>
    <t>SPANGA</t>
  </si>
  <si>
    <t>STORMBYVAGEN 6, SPANGA, SE-163 55, SWEDEN</t>
  </si>
  <si>
    <t>0800-0395</t>
  </si>
  <si>
    <t>1751-8369</t>
  </si>
  <si>
    <t>POLAR RES</t>
  </si>
  <si>
    <t>Polar Res.</t>
  </si>
  <si>
    <t>10.1111/j.1751-8369.2010.00163.x</t>
  </si>
  <si>
    <t>Ecology; Geosciences, Multidisciplinary; Oceanography</t>
  </si>
  <si>
    <t>Environmental Sciences &amp; Ecology; Geology; Oceanography</t>
  </si>
  <si>
    <t>628NR</t>
  </si>
  <si>
    <t>WOS:000280127700001</t>
  </si>
  <si>
    <t>Lachlan-Cope, T</t>
  </si>
  <si>
    <t>Lachlan-Cope, Tom</t>
  </si>
  <si>
    <t>Antarctic clouds</t>
  </si>
  <si>
    <t>Antarctic; clouds; mixed phase</t>
  </si>
  <si>
    <t>ATMOSPHERIC ICE CRYSTALS; AVHRR POLAR PATHFINDER; SOUTH-POLE; OPTICAL-PROPERTIES; SEA-ICE; PART I; PRECIPITATION; RADIATION; PLATEAU; SURFACE</t>
  </si>
  <si>
    <t>Sensitivity studies with global climate models show that, by their influence on the radiation balance, Antarctic clouds play a major role in the climate system, both directly at high southern latitudes and indirectly globally, as the local circulation changes lead to global teleconnections. Unfortunately, observations of cloud distribution in the Antarctic are limited and often of low quality because of the practical difficulty in observing clouds in the harsh Antarctic environment. The best surface observations suggest that the fractional cloud cover at the South Pole is around 50-60% in all seasons, whereas the cloud cover rises to around 80-90% close to the coast of the continent. Microphysical observations of cloud parameters are also very sparse in the Antarctic. However, the few measurements that do exist show predominantly ice-crystal clouds across the interior, with mixed-phase clouds close to the coasts. Crystal sizes vary from 5 to 30 mm (effective radius) in the interior to somewhat larger ice crystals and water drops near the coast. A wide range of crystal shapes is observed at all sites. This review considers the available cloud observations and highlights the importance of Antarctic clouds and the need for better observations in the future.</t>
  </si>
  <si>
    <t>Lachlan-Cope, T (corresponding author), British Antarctic Survey, Madingley Rd, Cambridge CB3 0ET, England.</t>
  </si>
  <si>
    <t>tlc@bas.ac.uk</t>
  </si>
  <si>
    <t>US National Science Foundation [ANT-0537827, ANT-0838834]; NERC [bas0100023] Funding Source: UKRI; Natural Environment Research Council [bas0100023] Funding Source: researchfish</t>
  </si>
  <si>
    <t>US National Science Foundation(National Science Foundation (NSF)); NERC(UK Research &amp; Innovation (UKRI)Natural Environment Research Council (NERC)); Natural Environment Research Council(UK Research &amp; Innovation (UKRI)Natural Environment Research Council (NERC))</t>
  </si>
  <si>
    <t>The author appreciates the support of the Antarctic Meteorological Research Center, University of Wisconsin-Madison, for the satellite composite shown in Fig. 1 (Matthew Lazzara and Elena Willmot, US National Science Foundation grant numbers ANT-0537827 and ANT-0838834).</t>
  </si>
  <si>
    <t>10.1111/j.1751-8369.2010.00148.x</t>
  </si>
  <si>
    <t>WOS:000280127700002</t>
  </si>
  <si>
    <t>Fukuchi, M; Conlan, KE</t>
  </si>
  <si>
    <t>Fukuchi, Mitsuo; Conlan, Kathleen Elizabeth</t>
  </si>
  <si>
    <t>Xth SCAR International Biology Symposium on Antarctic Biology in the 21st Century-Advances in and beyond IPY-: A brief overview</t>
  </si>
  <si>
    <t>POLAR SCIENCE</t>
  </si>
  <si>
    <t>Xth SCAR International Biology Symposium; Special issue; Overview</t>
  </si>
  <si>
    <t>The Xth SCAR International Biology Symposium was held under the theme of Antarctic Biology in the 21st Century-Advances in and beyond IPY- at the Conference Hall, Hokkaido University, between July 26 and 31, 2009. A total of 113 oral presentations and 122 poster presentations were given under six sub-themes. This special issue was edited by six guest editors under the Editor-in-Chief of Polar Science, in accordance with the editorial system of Polar Science and contains one overview paper and five review papers and 18 research papers. (C) 2010 Elsevier B.V. and NIPR. All rights reserved.</t>
  </si>
  <si>
    <t>[Fukuchi, Mitsuo] Grad Univ Adv Studies, SOKENDAI, Natl Inst Polar Res, Tachikawa, Tokyo 1908518, Japan; [Conlan, Kathleen Elizabeth] Canadian Museum Nat, Ottawa, ON K1P 6P4, Canada</t>
  </si>
  <si>
    <t>Graduate University for Advanced Studies - Japan; Research Organization of Information &amp; Systems (ROIS); National Institute of Polar Research (NIPR) - Japan</t>
  </si>
  <si>
    <t>Fukuchi, M (corresponding author), Grad Univ Adv Studies, SOKENDAI, Natl Inst Polar Res, 10-3 Midori Cho, Tachikawa, Tokyo 1908518, Japan.</t>
  </si>
  <si>
    <t>fukuchi@nipr.ac.jp; kconlan@mus-nature.ca</t>
  </si>
  <si>
    <t>1873-9652</t>
  </si>
  <si>
    <t>1876-4428</t>
  </si>
  <si>
    <t>POLAR SCI</t>
  </si>
  <si>
    <t>Polar Sci.</t>
  </si>
  <si>
    <t>10.1016/j.polar.2010.05.005</t>
  </si>
  <si>
    <t>Ecology; Geosciences, Multidisciplinary</t>
  </si>
  <si>
    <t>V39ZY</t>
  </si>
  <si>
    <t>WOS:000209450100001</t>
  </si>
  <si>
    <t>Stoddart, M</t>
  </si>
  <si>
    <t>Stoddart, Michael</t>
  </si>
  <si>
    <t>'Antarctic biology in the 21st century - Advances in, and beyond the international polar year 2007-2008'</t>
  </si>
  <si>
    <t>IPY legacies; EBA; Marine biology; Invasion ecology; Microbial ecology; Terrestrial ecology</t>
  </si>
  <si>
    <t>The International Polar Year 2007-2008 (IPY) has provided an opportunity for biology to show itself as an important part of Antarctic science in a manner in which it was not seen during earlier Polar Years. Of the 15 endorsed biological projects in Antarctica, 7 included more than 20 scientists and could be deemed truly international. Four were conducted in the marine environment, and one each in the fields of biological invasions, microbial ecology, and terrestrial ecology, and one was SCAR's over-arching 'Evolution and Biodiversity in the Antarctic'. The marine projects have left a robust legacy of data for future research into the consequences of environmental change, and into future decisions about marine protected areas. Studies on introductions of exotic organisms reveal an ever-present threat to the warmer parts of the high-latitude Southern Ocean, or parts which might become warmer with climate change. Studies on microbial ecology reveal great complexity of ecosystems with high numbers of unknown species. Terrestrial research has shown how vulnerable the Antarctic is to accidental introductions, and how productive the soils can be under changed climate conditions. Antarctic biology has come-of-age during IPY 2007-2008 and the campaign has set the scene for future research. (C) 2010 Elsevier B.V. and NIPR. All rights reserved.</t>
  </si>
  <si>
    <t>[Stoddart, Michael] Univ Tasmania, Inst Marine &amp; Antarctic Studies, Hobart, Tas 7001, Australia</t>
  </si>
  <si>
    <t>University of Tasmania</t>
  </si>
  <si>
    <t>Stoddart, M (corresponding author), Univ Tasmania, Inst Marine &amp; Antarctic Studies, Hobart, Tas 7001, Australia.</t>
  </si>
  <si>
    <t>michael.stoddart@utas.edu.au</t>
  </si>
  <si>
    <t>10.1016/j.polar.2010.04.004</t>
  </si>
  <si>
    <t>WOS:000209450100002</t>
  </si>
  <si>
    <t>Vyverman, W; Verleyen, E; Wilmotte, A; Hodgson, DA; Willems, A; Peeters, K; Van de Vijver, B; De Wever, A; Leliaert, F; Sabbe, K</t>
  </si>
  <si>
    <t>Vyverman, Wim; Verleyen, Elie; Wilmotte, Annick; Hodgson, Dominic A.; Willems, Anne; Peeters, Karolien; Van de Vijver, Bart; De Wever, Aaike; Leliaert, Frederik; Sabbe, Koen</t>
  </si>
  <si>
    <t>Evidence for widespread endemism among Antarctic micro-organisms</t>
  </si>
  <si>
    <t>Microbial biogeography; Isolation; Dispersal; Ubiquity hypothesis; Evolution</t>
  </si>
  <si>
    <t>Understanding the enormous diversity of microbes, their multiple roles in the functioning of ecosystems, and their response to large-scale environmental and climatic changes, are at the forefront of the international research agenda. In Antarctica, where terrestrial and lacustrine environments are predominantly microbial realms, an active and growing community of microbial ecologists is probing this diversity and its role in ecosystem processes. In a broader context, this work has the potential to make a significant contribution to the long-standing debate as to whether microbes are fundamentally different from macroorganisms in their biogeography. According to the ubiquity hypothesis, microbial community composition is not constrained by dispersal limitation and is solely the result of species sorting along environmental gradients. However, recent work on several groups of microalgae is challenging this view. Global analyses using morphology-based diatom inventories have demonstrated that, in addition to environmental harshness, geographical isolation underlies the strong latitudinal gradients in local and regional diversity in the Southern hemisphere. Increasing evidence points to a strong regionalization of diatom floras in the Antarctic and sub-Antarctic regions, mirroring the biogeographical regions that have been recognized for macroorganisms. Likewise, the application of molecular-phylogenetic techniques to cultured and uncultured diversity revealed a high number of Antarctic endemics among cyanobacteria and green algae. Calibration of these phylogenies suggests that several clades have an ancient evolutionary history within the Antarctic continent, possibly dating back to 330 Ma. These findings are in line with the current view on the origin of Antarctic terrestrial metazoa, including springtails, chironomids and mites, with most evidence suggesting a long history of geographic isolation on a multi-million year, even pre-Gondwana break-up timescale. (C) 2010 Elsevier B.V. and NIPR. All rights reserved.</t>
  </si>
  <si>
    <t>[Vyverman, Wim; Verleyen, Elie; De Wever, Aaike; Sabbe, Koen] Univ Ghent, Dept Biol, Lab Protistol &amp; Aquat Ecol, B-9000 Ghent, Belgium; [Wilmotte, Annick] Univ Liege, Inst Chem B6, Ctr Prot Engn, B-4000 Cointe Ougree, Belgium; [Hodgson, Dominic A.] British Antarctic Survey, NERC, Cambridge CB3 0ET, England; [Willems, Anne; Peeters, Karolien] Natl Bot Garden Belgium, Dept Bryophyta &amp; Thallophyta, B-1860 Meise, Belgium; [Van de Vijver, Bart] Univ Ghent, Dept Biochem &amp; Microbiol, Microbiol Lab, B-9000 Ghent, Belgium; [Leliaert, Frederik] Univ Ghent, Dept Biol, Phycol Res Grp, B-9000 Ghent, Belgium</t>
  </si>
  <si>
    <t>Ghent University; University of Liege; UK Research &amp; Innovation (UKRI); Natural Environment Research Council (NERC); NERC British Antarctic Survey; Ghent University; Ghent University</t>
  </si>
  <si>
    <t>Vyverman, W (corresponding author), Univ Ghent, Dept Biol, Lab Protistol &amp; Aquat Ecol, Krijgslaan 281-S8, B-9000 Ghent, Belgium.</t>
  </si>
  <si>
    <t>wim.vyverman@ugent.be</t>
  </si>
  <si>
    <t>Wilmotte, Annick/H-1686-2011; De Wever, Aaike/A-4691-2009; Leliaert, Frederik/A-9162-2009; Willems, Anne/B-2872-2010</t>
  </si>
  <si>
    <t>Leliaert, Frederik/0000-0002-4627-7318; Willems, Anne/0000-0002-8421-2881; Wilmotte, Annick/0000-0003-3546-3489; De Wever, Aaike/0000-0001-8804-8321</t>
  </si>
  <si>
    <t>BELSPO project AMBIO [SD/BA/01A]; BELSPO project HOLANT [SD/CA/01A]; FWO project [3 G/0533/07]; FNRS project [CR. CH.1.5.104.04.]; Natural Environment Research Council, British Antarctic Survey; NERC [bas0100024] Funding Source: UKRI; Natural Environment Research Council [bas0100024] Funding Source: researchfish</t>
  </si>
  <si>
    <t>BELSPO project AMBIO; BELSPO project HOLANT; FWO project(FWO); FNRS project(Fonds de la Recherche Scientifique - FNRS); Natural Environment Research Council, British Antarctic Survey; NERC(UK Research &amp; Innovation (UKRI)Natural Environment Research Council (NERC)); Natural Environment Research Council(UK Research &amp; Innovation (UKRI)Natural Environment Research Council (NERC))</t>
  </si>
  <si>
    <t>The work reviewed in this paper was supported by the BELSPO projects AMBIO (SD/BA/01A) and HOLANT (SD/CA/01A), the FWO project 3 G/0533/07, the FNRS project CR. CH.1.5.104.04. and the Natural Environment Research Council, British Antarctic Survey. Elie Verleyen and Frederik Leliaert are post-doctoral research fellows with the Research Foundation-Flanders (FWO). Annick Wilmotte is Research Associate of the FRS-FNRS (National Fund for Scientific Research of Belgium). The British Antarctic Survey, the French Polar Institute (IPEV), the Australian Antarctic Division and the Japanese Antarctic Research Expedition 48 (Satoshi Imura, Hiroshi Kanda and Sakae Kudoh) are thanked for the logistical support.</t>
  </si>
  <si>
    <t>10.1016/j.polar.2010.03.006</t>
  </si>
  <si>
    <t>WOS:000209450100003</t>
  </si>
  <si>
    <t>Koubbi, P; Ozouf-Costaz, C; Goarant, A; Moteki, M; Hulley, PA; Causse, R; Dettai, A; Duhamel, G; Pruvost, P; Tavernier, E; Post, AL; Beaman, RJ; Rintoul, SR; Hirawake, T; Hirano, D; Ishimaru, T; Riddle, M; Hosie, G</t>
  </si>
  <si>
    <t>Koubbi, Philippe; Ozouf-Costaz, Catherine; Goarant, Anne; Moteki, Masato; Hulley, Percy-Alexander; Causse, Romain; Dettai, Agnes; Duhamel, Guy; Pruvost, Patrice; Tavernier, Eric; Post, Alexandra L.; Beaman, Robin J.; Rintoul, Stephen R.; Hirawake, Toru; Hirano, Daisuke; Ishimaru, Takashi; Riddle, Martin; Hosie, Graham</t>
  </si>
  <si>
    <t>Estimating the biodiversity of the East Antarctic shelf and oceanic zone for ecoregionalisation: Example of the ichthyofauna of the CEAMARC (Collaborative East Antarctic Marine Census) CAML surveys</t>
  </si>
  <si>
    <t>East Antarctic shelf; Ichthyofauna; Ecoregionalisation; Generalized dissimilarity modeling; Dumont d'Urville Sea</t>
  </si>
  <si>
    <t>WILKES LAND MARGIN; CONTINENTAL-SHELF; LATE PLEISTOCENE; FISH; BIOREGIONALIZATION; DIVERSITY; PATTERNS</t>
  </si>
  <si>
    <t>Ecoregions are defined in terms of community structure as a function of abiotic or even anthropogenic forcing. They are meso-scale structures defined as the potential habitat of a species or the predicted communities geographic extent. We assume that they can be more easily defined for long-lived species, such as benthos or neritic fish, in the marine environment. Uncertainties exist for the pelagic realm because of its higher variability, plus little is known about the meso-and bathypelagic zones. A changing environment and modification of habitats will probably drive new communities from plankton to fish or top predators. We need baseline studies, such as those of the Census of Antarctic Marine Life, and databases like SCAR-MarBIN as tools for integrating all of these observations. Our objective is to understand the biodiversity patterns in the Southern Ocean and how these might change through time. (C) 2010 Elsevier B.V. and NIPR. All rights reserved.</t>
  </si>
  <si>
    <t>[Koubbi, Philippe; Goarant, Anne] Univ Paris 06, Lab Oceanog Villefranche, UMR 7093, F-06234 Villefranche Sur Mer, France; [Koubbi, Philippe; Goarant, Anne] LOV, CNRS, UMR 7093, F-06234 Villefranche Sur Mer, France; [Ozouf-Costaz, Catherine; Dettai, Agnes] Museum Natl Hist Nat, CNRS UMR Systemat Adaptat Evolut 7138, F-75231 Paris 05, France; [Moteki, Masato; Hirano, Daisuke; Ishimaru, Takashi] Tokyo Univ Marine Sci &amp; Technol, Fac Marine Sci, Minato Ku, Tokyo 1088477, Japan; [Hulley, Percy-Alexander] Iziko South African Museum, ZA-8000 Cape Town, South Africa; [Causse, Romain; Duhamel, Guy; Pruvost, Patrice] MNHN, DMPA UMR 5178, F-75005 Paris, France; [Tavernier, Eric] IUT Calais Boulogne, Dept Genie Biol, ULCO, F-62327 Boulogne Sur Mer, France; [Post, Alexandra L.] Geosci Australia, Marine &amp; Coastal Environm Grp, Canberra, ACT 2601, Australia; [Beaman, Robin J.] James Cook Univ, Sch Earth &amp; Environm Sci, Cairns, Qld 4870, Australia; [Rintoul, Stephen R.] CSIRO, Ctr Australian Weather &amp; Climate Res, Antarctic Climate &amp; Ecosyst Cooperat Res Ctr, Wealth Oceans Natl Res Flagship,Marine Labs,Div O, Hobart, Tas 07001, Australia; [Hirawake, Toru] Hokkaido Univ, Grad Sch Fisheries Sci, Hakodate, Hokkaido, Japan; [Riddle, Martin; Hosie, Graham] Australian Antarctic Div, Dept Environm Water Heritage &amp; Arts, Kingston, Tas 7050, Australia</t>
  </si>
  <si>
    <t>Sorbonne Universite; Centre National de la Recherche Scientifique (CNRS); CNRS - National Institute for Earth Sciences &amp; Astronomy (INSU); Centre National de la Recherche Scientifique (CNRS); CNRS - National Institute for Earth Sciences &amp; Astronomy (INSU); Sorbonne Universite; Museum National d'Histoire Naturelle (MNHN); Tokyo University of Marine Science &amp; Technology; Museum National d'Histoire Naturelle (MNHN); Universite du Littoral-Cote-d'Opale; Geoscience Australia; James Cook University; Antarctic Climate &amp; Ecosystems Cooperative Research Centre (ACE CRC); Commonwealth Scientific &amp; Industrial Research Organisation (CSIRO); Hokkaido University; Australian Antarctic Division</t>
  </si>
  <si>
    <t>Koubbi, P (corresponding author), Univ Paris 06, Lab Oceanog Villefranche, UMR 7093, BP28, F-06234 Villefranche Sur Mer, France.</t>
  </si>
  <si>
    <t>koubbi@obs-vlfr.fr</t>
  </si>
  <si>
    <t>Rintoul, Stephen R/A-1471-2012; Hirano, Daisuke/P-3963-2019; Koubbi, Philippe/D-5873-2015; Dettai, Agnes/Q-6743-2019</t>
  </si>
  <si>
    <t>Rintoul, Stephen R/0000-0002-7055-9876; Post, Alexandra/0000-0002-6287-3283; Hirawake, Toru/0000-0003-0274-6642</t>
  </si>
  <si>
    <t>CAML; TUMSAT; IPEV (ICOTA: Ichtyologie Cotiere en Terre Adelie); AAD; ANR Antflocks; ANR GLIDES; ZA CNRS Antarctique; SCAR Biology Symposium</t>
  </si>
  <si>
    <t>CAML; TUMSAT; IPEV (ICOTA: Ichtyologie Cotiere en Terre Adelie); AAD; ANR Antflocks(Agence Nationale de la Recherche (ANR)); ANR GLIDES(Agence Nationale de la Recherche (ANR)); ZA CNRS Antarctique; SCAR Biology Symposium</t>
  </si>
  <si>
    <t>We would like to acknowledge crew and captains of RV Aurora Australis and T/RV Umitaka Maru. This research gathers many other scientists and students who worked on plankton and benthos, and they provided us with great help onboard. Alix Post publishes with the permission of the Chief Executive Officer, Geoscience Australia. Funding sources were from CAML, TUMSAT, IPEV (ICOTA: Ichtyologie Cotiere en Terre Adelie, PI: Philippe Koubbi and Catherine Ozouf-Costaz), AAD, ANR Antflocks (PI: Guillaume Lecointre), ANR GLIDES (PI: Charles-Andre Bost), ZA CNRS Antarctique (PI: Marc Lebouvier). This work is a contribution to CAML and SCAR-MarBIN. Philippe Koubbi would like to thank CAML (Michael Stoddart and Victoria Wadley). We would like to acknowledge Professor Mitsuo Fukuchi at National Institute of Polar Research whose previous JARE STAGE program time-series multi-ship survey in the Indian sector of the Antarctic Ocean, which extended into the CEAMARC area, was an important foundation for CEAMARC and encouraged the participation of Japan in this collaborative survey. We also like to thank Prof. Fukuchi and the local organizing committee of the SCAR Biology Symposium for their support.</t>
  </si>
  <si>
    <t>10.1016/j.polar.2010.04.012</t>
  </si>
  <si>
    <t>WOS:000209450100004</t>
  </si>
  <si>
    <t>Convey, P</t>
  </si>
  <si>
    <t>Convey, Peter</t>
  </si>
  <si>
    <t>Terrestrial biodiversity in Antarctica - Recent advances and future challenges</t>
  </si>
  <si>
    <t>Biogeography; Biological invasions; Environmental change; Environmental manipulation; Phylogeography</t>
  </si>
  <si>
    <t>SIMULATED CLIMATE-CHANGE; ENVIRONMENTAL-CHANGE; VASCULAR PLANTS; SOUTHERN-OCEAN; ECOLOGICAL RESPONSES; NEMATODE COMMUNITIES; FALKLAND ISLANDS; VICTORIA LAND; B RADIATION; DIVERSITY</t>
  </si>
  <si>
    <t>Although its major components have been known almost since the earliest exploring expeditions, even today the terrestrial biota of Antarctica is surprisingly poorly described in detail. It is clear that most currently ice-free ground in Antarctica would have been covered and scoured by glacial advances at the Last Glacial Maximum or previous maxima. Exceptions to this generalisation include parts of the Victoria Land Dry Valleys and some inland nunataks and mountain ranges at altitude, which host their own largely unique biota. However, as new baseline survey data have become available, in combination with the application of techniques of molecular biological analysis, new evidence has been obtained indicating that long-term persistence and regional isolation is a feature of the Antarctic terrestrial biota whose generality has not previously been appreciated. As well as creating a new paradigm in which to consider the evolution and adaptation of Antarctic terrestrial biota, this opens important new cross-disciplinary linkages in the field of understanding the geological and glaciological history of the continent itself. Superimposed on this emerging historical template of Antarctic biogeography, this biota now faces the twin challenges of responding to the complex processes of climate change facing some parts of the continent, and the direct impacts associated with human occupation and travel to and between the spatially very limited areas of terrestrial habitat. (C) 2010 Elsevier B.V. and NIPR. All rights reserved.</t>
  </si>
  <si>
    <t>[Convey, Peter] British Antarctic Survey, High Cross,Madingley Rd, Cambridge CB3 0ET, England</t>
  </si>
  <si>
    <t>Convey, P (corresponding author), British Antarctic Survey, High Cross,Madingley Rd, Cambridge CB3 0ET, England.</t>
  </si>
  <si>
    <t>pcon@bas.ac.uk</t>
  </si>
  <si>
    <t>10.1016/j.polar.2010.03.003</t>
  </si>
  <si>
    <t>WOS:000209450100005</t>
  </si>
  <si>
    <t>Massom, RA; Stammerjohn, SE</t>
  </si>
  <si>
    <t>Massom, Robert A.; Stammerjohn, Sharon E.</t>
  </si>
  <si>
    <t>Antarctic sea ice change and variability - Physical and ecological implications</t>
  </si>
  <si>
    <t>Antarctic sea ice; Climate change; Ecological impacts; Icebergs; Ice sheet; Ocean</t>
  </si>
  <si>
    <t>KRILL EUPHAUSIA-SUPERBA; SOUTHERN-OCEAN; CLIMATE-CHANGE; EMPEROR PENGUINS; ROSS SEA; ENVIRONMENTAL-CHANGE; EAST ANTARCTICA; ATMOSPHERIC CIRCULATION; INTERANNUAL VARIABILITY; POPULATION TRENDS</t>
  </si>
  <si>
    <t>Although Antarctic sea ice is undergoing a slight increase in overall extent, major regional changes are occurring in its spatio-temporal characteristics (most notably in sea ice seasonality). Biologically significant aspects of Antarctic sea ice are evaluated, emphasising the importance of scale and thermodynamics versus dynamics. Changing sea ice coverage is having major direct and indirect though regionally-dependent effects on ecosystem structure and function, with the most dramatic known effects to date occurring in the West Antarctic Peninsula region. There is mounting evidence that loss of sea ice has affected multiple levels of the marine food web in a complex fashion and has triggered cascading effects. Impacts on primary production, Antarctic krill, fish, marine mammals and birds are assessed, and are both negative and positive. The review includes recent analysis of change/variability in polynyas and fast ice, and also highlights the significance of extreme events (which have paradoxical impacts). Possible future scenarios are investigated in the light of the predicted decline in sea ice by 2100 e.g. increased storminess/waviness, numbers of icebergs and snowfall. Our current lack of knowledge on many aspects of sea ice-related change and biological response is emphasised. (C) 2010 Elsevier B.V. and NIPR. All rights reserved.</t>
  </si>
  <si>
    <t>[Massom, Robert A.] Australian Antarctic Div, Dept Environm Water Heritage &amp; Arts, Kingston, Tas 7050, Australia; [Massom, Robert A.] Univ Tasmania, Antarctic Climate &amp; Ecosyst Cooperat Res Ctr, Hobart, Tas 7001, Australia; [Stammerjohn, Sharon E.] Univ Calif Santa Cruz, Ocean Sci Dept, Santa Cruz, CA 95064 USA</t>
  </si>
  <si>
    <t>Australian Antarctic Division; Antarctic Climate &amp; Ecosystems Cooperative Research Centre (ACE CRC); University of Tasmania; University of California System; University of California Santa Cruz</t>
  </si>
  <si>
    <t>Massom, RA (corresponding author), Australian Antarctic Div, Dept Environm Water Heritage &amp; Arts, Channel Highway, Kingston, Tas 7050, Australia.</t>
  </si>
  <si>
    <t>r.massom@utas.edu.au</t>
  </si>
  <si>
    <t>Massom, Robert/0000-0003-1533-5084; STAMMERJOHN, SHARON/0000-0002-1697-8244</t>
  </si>
  <si>
    <t>Australian Government's Cooperative Research Centre program through the ACE CRC; Ocean Sciences Department, University of California Santa Cruz; Palmer LTER [NSF/OPP 0823101]; Directorate For Geosciences; Office of Polar Programs (OPP) [0823101] Funding Source: National Science Foundation</t>
  </si>
  <si>
    <t>Australian Government's Cooperative Research Centre program through the ACE CRC(Australian GovernmentDepartment of Industry, Innovation and ScienceCooperative Research Centres (CRC) Programme); Ocean Sciences Department, University of California Santa Cruz; Palmer LTER; Directorate For Geosciences; Office of Polar Programs (OPP)(National Science Foundation (NSF)NSF - Directorate for Geosciences (GEO))</t>
  </si>
  <si>
    <t>For RM, this work was supported by the Australian Government's Cooperative Research Centre program through the ACE CRC, and contributes to AAS Project 3024. The material emanates from a presentation given at the SCAR Biology Symposium 2009 in Sapporo (Japan), and RM is very grateful to the conference chair Mitsuo Fukuchi (NIPR) and the session chair Dana Bergstrom (AAD) for the invitation to participate. We are very grateful to the referees Eugene Murphy (BAS) and Eric Woehler (AAD), and the editor Dana Bergstrom (AAD) for their insightful comments that have greatly improved this paper. Sincere thanks are extended to many people involved in the work highlighted in this paper, including Christophe Barbraud (CEBC, France), Andre Ancel (IPHC, France), Siobhan O'Farrell (CSIRO Marine and Atmospheric Research), Neil Adams (BoM, Australia), Mike Pook (CSIRO MAR, Australia), Louise Emmerson (AAD, Australia), and Alex Fraser and Katrina Hill (IASOS, Australia). Thanks are also due to Klaus Meiners (ACE CRC), Patti Virtue (IASOS), Steve Nicol (AAD), Colin Southwell (AAD) and Ian Allison (AAD) for internal reviews of the manuscript. The involvement of SS in this work was under the auspices of the Ocean Sciences Department, University of California Santa Cruz, and references work supported in large part by Palmer LTER NSF/OPP 0823101.</t>
  </si>
  <si>
    <t>10.1016/j.polar.2010.05.001</t>
  </si>
  <si>
    <t>WOS:000209450100006</t>
  </si>
  <si>
    <t>Matsumoto, GI; Honda, E; Sonoda, K; Yamamoto, S; Takemura, T</t>
  </si>
  <si>
    <t>Matsumoto, Genki I.; Honda, Eisuke; Sonoda, Kazuhiko; Yamamoto, Shuichi; Takemura, Tetsuo</t>
  </si>
  <si>
    <t>Geochemical features and sources of hydrocarbons and fatty acids in soils from the McMurdo Dry Valleys in the Antarctic</t>
  </si>
  <si>
    <t>Antarctic soil; Total organic carbon; Total nitrogen; delta C-13 of n-akanes; delta C-13 of n-alkanoic acids</t>
  </si>
  <si>
    <t>We studied the geochemical features and compound-specific (CS)-delta C-13 of hydrocarbons and fatty acids in soil samples from the McMurdo Dry Valleys in the Antarctic to elucidate their source organisms and characteristics of their environments. Total organic carbon contents in soil samples were extremely low reflecting extremely harsh environments for organisms. Normal-alkanes ranging in carbon chain length from n-C-14 to n-C-38 with the predominance of odd-carbon numbers were found, together with n-alkenes (n-C-23:1 to n-C-27:1). Normal-alkanoic acids ranging in carbon chain length from n-C-10 to n-C-30 with the predominance of even-carbon numbers were detected in the samples, along with small amounts of branched (iso and anteiso) and n-alkenoic acids. CS-delta C-13 values of long-chain n-alkanes (n-C-20 to n-C-29) ranged from -30.4 to -26.6 parts per thousand. CS-delta C-13 values of n-alkanoic acids with short-chain carbon numbers (n-C-14 to n-C-19) ranging from -27.7 to -21.7 parts per thousand were much higher than those of long-chain carbon numbers (n-C-20 to n-C-30, -32.5 to -25.3 parts per thousand). The geochemical features and CS-delta C-13 values of long-chain n-alkanes and n-alkanoic acids revealed that they are originated from lichen and/or vascular plant debris from the pre- and inter-glacial periods in this region, whereas short-chain n-alkanoic acids are come from microalgae and cyanobacterial debris. CS-delta C-13 values suggest that they are derived from gymnosperms and/or C-4 plants in the cold and dry environments of the pre- and inter-glacial periods of the McMurdo Dry Valleys region. (C) 2010 Elsevier B.V. and NIPR. All rights reserved.</t>
  </si>
  <si>
    <t>[Matsumoto, Genki I.; Honda, Eisuke] Otsuma Womens Univ, Sch Social Informat Studies, Dept Environm Studies, Tama Ku, Tokyo 2068540, Japan; [Honda, Eisuke; Takemura, Tetsuo] Tokyo Univ Sci, Fac Sci, Dept Chem, Shinjuku Ku, Tokyo 1628601, Japan; [Sonoda, Kazuhiko; Yamamoto, Shuichi] Soka Univ, Fac Engn, Dept Environm Engn Symbiosis, Hachioji, Tokyo 1928577, Japan</t>
  </si>
  <si>
    <t>Tokyo University of Science; Soka University</t>
  </si>
  <si>
    <t>Matsumoto, GI (corresponding author), Otsuma Womens Univ, Sch Social Informat Studies, Dept Environm Studies, Tama Ku, 2-7-1 Karakida, Tokyo 2068540, Japan.</t>
  </si>
  <si>
    <t>Japan Polar Research Association, Antarctic Division, DSIR, New Zealand; National Science Foundation, U. S. A.; National Institute of Polar Research (Japan); US Navy</t>
  </si>
  <si>
    <t>Japan Polar Research Association, Antarctic Division, DSIR, New Zealand; National Science Foundation, U. S. A.(National Science Foundation (NSF)); National Institute of Polar Research (Japan); US Navy(United States Department of Defense)</t>
  </si>
  <si>
    <t>The authors appreciated very much for Japan Polar Research Association, Antarctic Division, DSIR, New Zealand, National Science Foundation, U. S. A., National Institute of Polar Research (Japan) and US Navy for their support in sampling of Antarctica. We thank two anonymous reviewers for their useful comments.</t>
  </si>
  <si>
    <t>10.1016/j.polar.2010.04.001</t>
  </si>
  <si>
    <t>WOS:000209450100007</t>
  </si>
  <si>
    <t>Hodgson, DA; Convey, P; Verleyen, E; Vyverman, W; McInnes, SJ; Sands, CJ; Fernández-Carazo, R; Wilmotte, A; De Wever, A; Peeters, K; Tavernier, I; Willems, A</t>
  </si>
  <si>
    <t>Hodgson, Dominic A.; Convey, Peter; Verleyen, Elie; Vyverman, Wim; McInnes, Sandra J.; Sands, Chester J.; Fernandez-Carazo, Rafael; Wilmotte, Annick; De Wever, Aaike; Peeters, Karolien; Tavernier, Ines; Willems, Anne</t>
  </si>
  <si>
    <t>The limnology and biology of the Dufek Massif, Transantarctic Mountains 82° South</t>
  </si>
  <si>
    <t>Antarctic; Cyanobacteria; Biogeography; Endemism; Refugia</t>
  </si>
  <si>
    <t>Very little is known about the higher latitude inland biology of continental Antarctica. In this paper we describe the limnology and biology of the Dufek Massif, using a range of observational, microscopic and molecular methods. Here two dry valleys are home to some of the southernmost biota on Earth. Cyanobacteria were the dominant life forms, being found in lakes and ponds, in hypersaline brines, summer melt water, relict pond beds and in exposed terrestrial habitats. Their species diversity was the lowest yet observed in Antarctic lakes. Green algae, cercozoa and bacteria were present, but diatoms were absent except for a single valve; likely windblown. Mosses were absent and only one lichen specimen was found. The Metazoa included three microbivorous tardigrades (Acutuncus antarcticus, Diphascon sanae and Echiniscus (cf) pseudowendti) and bdelloid rotifer species, but no arthropods or nematodes. These simple faunal and floral communities are missing most of the elements normally present at lower latitudes in the Antarctic which is probably a result of the very harsh environmental conditions in the area. (C) 2010 Elsevier B.V. and NIPR. All rights reserved.</t>
  </si>
  <si>
    <t>[Hodgson, Dominic A.; Convey, Peter; McInnes, Sandra J.; Sands, Chester J.] British Antarctic Survey, Nat Environm Res Council, Cambridge CB3 0ET, England; [Verleyen, Elie; Vyverman, Wim; De Wever, Aaike; Tavernier, Ines] Univ Ghent, Lab Protistol &amp; Aquat Ecol, B-9000 Ghent, Belgium; [Fernandez-Carazo, Rafael; Wilmotte, Annick] Univ Liege, Ctr Prot Engn, Inst Chem B6, B-4000 Liege, Belgium; [Peeters, Karolien; Willems, Anne] Univ Ghent, Fac Sci, Microbiol Lab, B-9000 Ghent, Belgium</t>
  </si>
  <si>
    <t>UK Research &amp; Innovation (UKRI); Natural Environment Research Council (NERC); NERC British Antarctic Survey; Ghent University; University of Liege; Ghent University</t>
  </si>
  <si>
    <t>Hodgson, DA (corresponding author), British Antarctic Survey, Nat Environm Res Council, High Cross,Madingley Rd, Cambridge CB3 0ET, England.</t>
  </si>
  <si>
    <t>De Wever, Aaike/A-4691-2009; Wilmotte, Annick/H-1686-2011; McInnes, Sandra/AAN-4773-2020; Convey, Peter/AAV-5728-2020; Willems, Anne/B-2872-2010</t>
  </si>
  <si>
    <t>McInnes, Sandra/0000-0003-3403-9379; Convey, Peter/0000-0001-8497-9903; Willems, Anne/0000-0002-8421-2881; Wilmotte, Annick/0000-0003-3546-3489; Sands, Chester/0000-0003-1028-0328</t>
  </si>
  <si>
    <t>Natural Environment Research Council, British Antarctic Survey; BELSPO project AMBIO [SD/BA/01]; BELSPO project HOLANT [SD/CA/01]; FNRS [1.5.104.04]; Institute for the Promotion of Science and Technology in Flanders; Fundacion Alfonso Martin Escudero; NERC [bas0100024] Funding Source: UKRI; Natural Environment Research Council [bas0100024] Funding Source: researchfish</t>
  </si>
  <si>
    <t>Natural Environment Research Council, British Antarctic Survey; BELSPO project AMBIO; BELSPO project HOLANT; FNRS(Fonds de la Recherche Scientifique - FNRS); Institute for the Promotion of Science and Technology in Flanders; Fundacion Alfonso Martin Escudero; NERC(UK Research &amp; Innovation (UKRI)Natural Environment Research Council (NERC)); Natural Environment Research Council(UK Research &amp; Innovation (UKRI)Natural Environment Research Council (NERC))</t>
  </si>
  <si>
    <t>This study contributes to SCAR EBA and IPY MERGE and was supported by the Natural Environment Research Council, British Antarctic Survey and the BELSPO projects AMBIO (SD/BA/01) and HOLANT (SD/CA/01), and the FNRS Credit 1.5.104.04. Elie Verleyen is a post doctoral research fellow with the Fund for Scientific Research, Flanders. Ines Tavernier is funded by the Institute for the Promotion of Science and Technology in Flanders. Thanks are due to the Fundacion Alfonso Martin Escudero for funding Rafael Fernandez. Annick Wilmotte is Research Associate of the FRS-FNRS (National Funds for Scientific Research of Belgium). The British Antarctic Survey provided logistic support and Richard Burt provided field support. Ron Lewis-Smith is thanked for assistance in lichen identification (based on our photographs). Some of the information in this paper has been included in the Management Plan for Antarctic Specially Protected Area No. 119 - Davis Valley and Forlidas Pond, Dufek Massif which was produced by Colin Harris of Environment Research and Assessment in collaboration with DH and PC. Maps were produced by Peter Fretwell and Andreas Cziferszky at the Mapping and Geographic Information Centre (MAGIC), British Antarctic Survey. We are particularly grateful for the quality and depth of the reviews.</t>
  </si>
  <si>
    <t>10.1016/j.polar.2010.04.003</t>
  </si>
  <si>
    <t>WOS:000209450100008</t>
  </si>
  <si>
    <t>Segawa, T; Ushida, K; Narita, H; Kanda, H; Kohshima, S</t>
  </si>
  <si>
    <t>Segawa, Takahiro; Ushida, Kazunari; Narita, Hideki; Kanda, Hiroshi; Kohshima, Shiro</t>
  </si>
  <si>
    <t>Bacterial communities in two Antarctic ice cores analyzed by 16S rRNA gene sequencing analysis</t>
  </si>
  <si>
    <t>Ice core; Antarctica; Bacteria; Cold environment; Glacier</t>
  </si>
  <si>
    <t>SUBGLACIAL LAKE VOSTOK; PHYLOGENETIC ANALYSIS; SNOW; GLACIER</t>
  </si>
  <si>
    <t>Antarctic ice cores could preserve ancient airborne microorganisms. We examined bacteria in two Antarctic ice core samples, an interglacial age sample from Mizuho Base and a glacial age sample from the Yamato Mountains, by 16S rRNA gene sequencing analysis. Bacterial density, the number of bacterial OTUs and Simpson's diversity index was larger in the Mizuho sample than in the Yamato sample. The 16S rDNA clone library from the Mizuho sample was dominated by the phylum Firmicutes, while the large part of that from the Yamato sample was composed of the Gamma proteobacteria group. Major sources of these identified bacteria estimated from their database records also differed between the samples: in the Mizuho sample bacterial species recorded from animals were higher than that of the Yamato sample, while in the Yamato sample bacteria from aquatic and snow-ice environments were higher than that of the Mizuho sample. The results suggest that these bacteria were past airborne bacteria that would vary in density, diversity and species composition depending on global environmental change. Our results imply that bacteria in Antarctic ice cores could be used as new environmental markers for past environmental studies. (C) 2010 Elsevier B.V. and NIPR. All rights reserved.</t>
  </si>
  <si>
    <t>[Segawa, Takahiro] Transdisciplinary Res Integrat Ctr, Minato Ku, Tokyo 1050001, Japan; [Segawa, Takahiro; Kanda, Hiroshi] Natl Inst Polar Res, Biol Grp, Tachikawa, Tokyo 1908518, Japan; [Ushida, Kazunari] Kyoto Prefectural Univ, Lab Anim Sci, Sakyo Ku, Kyoto 6068522, Japan; [Narita, Hideki] Hokkaido Univ, Inst Low Temp Sci, Kita Ku, Sapporo, Hokkaido 0600819, Japan; [Kohshima, Shiro] Kyoto Univ, Wildlife Res Ctr, Sakyo Ku, Kyoto 6068203, Japan</t>
  </si>
  <si>
    <t>Research Organization of Information &amp; Systems (ROIS); National Institute of Polar Research (NIPR) - Japan; Kyoto Prefectural University; Hokkaido University; Kyoto University</t>
  </si>
  <si>
    <t>Segawa, T (corresponding author), Natl Inst Polar Res, Biol Grp, 10-3 Midori Cho, Tachikawa, Tokyo 1908518, Japan.</t>
  </si>
  <si>
    <t>segawa@nipr.ac.jp</t>
  </si>
  <si>
    <t>Segawa, Takahiro/0000-0002-3111-708X</t>
  </si>
  <si>
    <t>Ministry of Education, Culture, Sports, Science, and Technology of Japan [20710019, 16310004, 19310020]; Transdisciplinary Research Integration Center (TRIC), Research Organization of Information and systems; Grants-in-Aid for Scientific Research [19310020, 20710019, 16310004] Funding Source: KAKEN</t>
  </si>
  <si>
    <t>Ministry of Education, Culture, Sports, Science, and Technology of Japan(Ministry of Education, Culture, Sports, Science and Technology, Japan (MEXT)); Transdisciplinary Research Integration Center (TRIC), Research Organization of Information and systems; Grants-in-Aid for Scientific Research(Ministry of Education, Culture, Sports, Science and Technology, Japan (MEXT)Japan Society for the Promotion of ScienceGrants-in-Aid for Scientific Research (KAKENHI))</t>
  </si>
  <si>
    <t>We thank Dr. Kuniko Kawai and Dr. Koji Fujimura for their advice on the technique of PCR and phylogenetic analysis. This research was partly supported by a grant-in-aid for young scientists (20710019) and grants-in-aid for Basic Research B (No. 16310004 and No. 19310020) from the Ministry of Education, Culture, Sports, Science, and Technology of Japan and by a grand from the Transdisciplinary Research Integration Center (TRIC), Research Organization of Information and systems.</t>
  </si>
  <si>
    <t>10.1016/j.polar.2010.05.003</t>
  </si>
  <si>
    <t>WOS:000209450100009</t>
  </si>
  <si>
    <t>Jadwiszczak, P</t>
  </si>
  <si>
    <t>Jadwiszczak, Piotr</t>
  </si>
  <si>
    <t>Penguin response to the Eocene climate and ecosystem change in the northern Antarctic Peninsula region</t>
  </si>
  <si>
    <t>West Antarctica; Seymour Island; La Meseta formation (Eocene); Environmental change; Penguins</t>
  </si>
  <si>
    <t>Eocene Antarctic penguins are known solely from the La Meseta Formation (Seymour Island, James Ross Basin). They are most numerous and taxonomically diverse (at least ten species present) within strata formed at the end of this epoch, which is concomitant with a significant cooling trend and biotic turnover prior to the onset of glaciation. Moreover, all newly appeared taxa were small-bodied, and most probably evolved in situ. Interestingly, some chemical proxies suggest enhanced nutrient upwelling events that coincided with obvious changes in the record of La Meseta penguins. (C) 2010 Elsevier B.V. and NIPR. All rights reserved.</t>
  </si>
  <si>
    <t>[Jadwiszczak, Piotr] Univ Bialystok, Inst Biol, Swierkowa 20B, PL-15950 Bialystok, Poland</t>
  </si>
  <si>
    <t>University of Bialystok</t>
  </si>
  <si>
    <t>Jadwiszczak, P (corresponding author), Univ Bialystok, Inst Biol, Swierkowa 20B, PL-15950 Bialystok, Poland.</t>
  </si>
  <si>
    <t>piotrj@uwb.edu.pl</t>
  </si>
  <si>
    <t>Jadwiszczak, Piotr/P-4336-2019</t>
  </si>
  <si>
    <t>Jadwiszczak, Piotr/0000-0002-5263-1125</t>
  </si>
  <si>
    <t>10.1016/j.polar.2010.03.001</t>
  </si>
  <si>
    <t>WOS:000209450100010</t>
  </si>
  <si>
    <t>Vallesi, A; Alimenti, C; Di Giuseppe, G; Dini, F; Pedrini, B; Wüthrich, K; Luporini, P</t>
  </si>
  <si>
    <t>Vallesi, Adriana; Alimenti, Claudio; Di Giuseppe, Graziano; Dini, Fernando; Pedrini, Bill; Wuethrich, Kurt; Luporini, Pierangelo</t>
  </si>
  <si>
    <t>The water-born protein pheromones of the polar protozoan ciliate, Euplotes nobilii: Coding genes and molecular structures</t>
  </si>
  <si>
    <t>Polar microorganisms; Macronuclear gene-sized DNA molecules; Cold-adapted signal proteins; Ciliate mating-type systems</t>
  </si>
  <si>
    <t>The protozoan ciliate Euplotes nobilii found in Antarctic and Arctic coastal waters relies on secretion of water-soluble cell type-specific signal proteins (pheromones) to regulate its vegetative growth and sexual mating. For three of these psychrophilic pheromones we previously determined the three-dimensional structures by nuclear magnetic resonance (NMR) spectroscopy with protein solutions purified from the natural sources, which led to evidence that their adaptation to cold is primarily achieved by increased flexibility through an extension of regions free of regular secondary structures, and by increased exposure of negative charges on the protein surface. Then we cloned the coding genes of these E. nobilii pheromones from the transcriptionally active cell somatic nucleus (macronucleus) and characterized the full-length sequences. These sequences all contain an open reading frame of 252-285 nucleotides, which is specific for a cytoplasmic pheromone precursor that requires two proteolytic cleavages to remove a signal peptide and a pro segment before release of the mature protein into the extracellular environment. The 50 and 30 non-coding regions are two-to three-fold longer than the coding region and appear to be tightly conserved, probably in relation to the inclusion of intron sequences destined to be alternatively removed to play key regulatory roles in the mechanism of the pheromone gene expression. (C) 2010 Elsevier B.V. and NIPR. All rights reserved.</t>
  </si>
  <si>
    <t>[Vallesi, Adriana; Alimenti, Claudio; Luporini, Pierangelo] Univ Camerino, Dipartimento Sci Ambientali &amp; Nat, I-62032 Camerino, MC, Italy; [Di Giuseppe, Graziano; Dini, Fernando] Univ Pisa, Dipartimento Biol, I-56126 Pisa, Italy; [Pedrini, Bill; Wuethrich, Kurt] ETH, Inst Mol Biol &amp; Biophys, CH-8093 Zurich, Switzerland; [Wuethrich, Kurt] Scripps Res Inst, Dept Mol Biol, La Jolla, CA 92037 USA; [Wuethrich, Kurt] Scripps Res Inst, Skaggs Inst Chem Biol, La Jolla, CA 92037 USA</t>
  </si>
  <si>
    <t>University of Camerino; University of Pisa; Swiss Federal Institutes of Technology Domain; ETH Zurich; Scripps Research Institute; Scripps Research Institute</t>
  </si>
  <si>
    <t>Luporini, P (corresponding author), Univ Camerino, Dipartimento Sci Ambientali &amp; Nat, I-62032 Camerino, MC, Italy.</t>
  </si>
  <si>
    <t>piero.luporini@unicam.it</t>
  </si>
  <si>
    <t>Pedrini, Bill/J-2237-2018; Vallesi, Adriana/I-9933-2016</t>
  </si>
  <si>
    <t>Pedrini, Bill/0000-0003-4228-7874; Vallesi, Adriana/0000-0002-4127-090X; Di Giuseppe, Graziano/0000-0002-9999-7650; Alimenti, Claudio/0000-0003-2231-2948</t>
  </si>
  <si>
    <t>Italian Programma Nazionale di Ricerche in Antartide (PNRA); Schweizerischer Nationalfonds [PAOOA-104097/1]; ETH Zurich; Skaggs Institute of Chemical Biology</t>
  </si>
  <si>
    <t>Italian Programma Nazionale di Ricerche in Antartide (PNRA); Schweizerischer Nationalfonds(Swiss National Science Foundation (SNSF)); ETH Zurich(ETH Zurich); Skaggs Institute of Chemical Biology</t>
  </si>
  <si>
    <t>Research at the Universities of Camerino and Pisa was financially supported from the Italian Programma Nazionale di Ricerche in Antartide (PNRA). B.P. acknowledges financial support from the Schweizerischer Nationalfonds (Fellowship PAOOA-104097/1). The research was further supported by the ETH Zurich and the Skaggs Institute of Chemical Biology, and K.W. is the Cecil H. and Ida M. Green Professor of Structural Biology at the Scripps Research Institute.</t>
  </si>
  <si>
    <t>10.1016/j.polar.2010.03.007</t>
  </si>
  <si>
    <t>WOS:000209450100011</t>
  </si>
  <si>
    <t>Russo, R; Riccio, A; di Prisco, G; Verde, C; Giordano, D</t>
  </si>
  <si>
    <t>Russo, Roberta; Riccio, Alessia; di Prisco, Guido; Verde, Cinzia; Giordano, Daniela</t>
  </si>
  <si>
    <t>Molecular adaptations in Antarctic fish and</t>
  </si>
  <si>
    <t>Bacterium; Cold-adaptation; Fish; Hemoglobin; Neuroglobin</t>
  </si>
  <si>
    <t>NITRIC-OXIDE; CLIMATE-CHANGE; THERMAL ADAPTATION; CRYSTALLOGRAPHIC CHARACTERIZATION; TRUNCATED HEMOGLOBINS; TETRAMERIC HEMOGLOBIN; NOTOTHENIOID FISHES; BINDING-PROPERTIES; CRYSTAL-STRUCTURE; COLD ADAPTATION</t>
  </si>
  <si>
    <t>Marine organisms, living in the cold waters of the Southern Ocean, are exposed to high oxygen concentrations. Cold-adapted organisms have developed networks of defence mechanisms to protect themselves against oxidative stress. The dominant suborder Notothenioidei of the Southern Ocean is one of the most interesting models, within vertebrates, to study the evolutionary biological responses to extreme environment. Within bacteria, the psychrophilic Antarctic bacterium Pseudoalteromonas haloplanktis TAC125 gives the opportunity to explore the cellular strategies adopted in vivo by cold-adapted microorganisms to cope with cold and high oxygen concentration. Understanding the molecular mechanisms underlying how a range of Antarctic organisms have responded to climate change in the past will enable predictions as to how they and other species will adapt to global climate change, in terms of physiological function, distribution patterns and ecosystem balance. (C) 2010 Elsevier B.V. and NIPR. All rights reserved.</t>
  </si>
  <si>
    <t>[Russo, Roberta; Riccio, Alessia; di Prisco, Guido; Verde, Cinzia; Giordano, Daniela] CNR, Inst Prot Biochem, I-80131 Naples, Italy</t>
  </si>
  <si>
    <t>Giordano, D (corresponding author), CNR, Inst Prot Biochem, Via Pietro Castellino 111, I-80131 Naples, Italy.</t>
  </si>
  <si>
    <t>d.giordano@ibp.cnr.it</t>
  </si>
  <si>
    <t>Giordano, Daniela/0000-0002-8891-6245</t>
  </si>
  <si>
    <t>Italian National Programme for Antarctic Research (PNRA); European Commission [ENV.2007.2.2.1.6]; Ministero Italiano dell'Universita e della Ricerca Scientifica [PRIN 2007SFZXZ7]; CNR; CAREX</t>
  </si>
  <si>
    <t>This study is financially supported by the Italian National Programme for Antarctic Research (PNRA). It is in the framework of the SCAR programme Evolution and Biodiversity in the Antarctic (EBA), and of the project CAREX (Coordination Action for Research Activities on Life in Extreme Environments), European Commission FP7 call ENV.2007.2.2.1.6. It is partially supported by the Ministero Italiano dell'Universita e della Ricerca Scientifica (PRIN 2007SFZXZ7 Structure, function and evolution of heme proteins from Arctic and Antarctic marine organisms: cold-adaptation mechanisms and acquisition of new functions''). DG acknowledges the CNR (Short-Term Mobility fellowship) and CAREX (Transfer of Knowledge grants).</t>
  </si>
  <si>
    <t>10.1016/j.polar.2010.03.005</t>
  </si>
  <si>
    <t>WOS:000209450100012</t>
  </si>
  <si>
    <t>Shell structure characteristics of pelagic and benthic molluscs from Antarctic waters</t>
  </si>
  <si>
    <t>Shell structure; Pteropoda; Limacina helicina antarctica forma antarctica; Laternula elliptica</t>
  </si>
  <si>
    <t>SOUTHERN-OCEAN</t>
  </si>
  <si>
    <t>The surface of the shell of the pelagic Antarctic gastropod, Limacina helicina antarctica forma antarctica, was smooth, with riblike structures also observed. The larger specimen, with six to seven whorls, had visible ribs on its most outer whorl. The shell thickness of L. helicina antarctica forma antarctica was very thin, approximately 5-7 mu m, on an individual with a shell diameter of 1.4 mm. Shell microstructure, as examined by SEM, was composed mostly of a crossed-lamellar structure. Shell thickness of the dominant benthic bivalve Laternula elliptica, was approximately 99-132 mm on an individual of shell length 19 mm. It was composed of two calcareous layers, including a thick outer homogeneous or granular layer and a thin nacreous inner layer. The characteristics of shell structure are discussed with reference to previous results, and in terms of adaptation to Antarctic waters. (C) 2010 Elsevier B.V. and NIPR. All rights reserved.</t>
  </si>
  <si>
    <t>[Sato-Okoshi, Waka] Tohoku Univ, Grad Sch Agr Sci, Aquat Ecol Lab, Sendai, Miyagi 9818555, Japan; [Okoshi, Kenji; Sasaki, Hiroshi; Akiha, Fumihiro] Ishinomaki Senshu Univ, Dept Biol Engn, Ishinomaki, Miyagi 9868580, Japan</t>
  </si>
  <si>
    <t>Sato-Okoshi, W (corresponding author), Tohoku Univ, Grad Sch Agr Sci, Aquat Ecol Lab, Sendai, Miyagi 9818555, Japan.</t>
  </si>
  <si>
    <t>10.1016/j.polar.2010.05.006</t>
  </si>
  <si>
    <t>WOS:000209450100013</t>
  </si>
  <si>
    <t>Foong, CP; Ling, CMWV; González, M</t>
  </si>
  <si>
    <t>Foong, Choon Pin; Ling, Clemente Michael Wong Vui; Gonzalez, Marcelo</t>
  </si>
  <si>
    <t>Metagenomic analyses of the dominant bacterial community in the Fildes Peninsula, King George Island (South Shetland Islands)</t>
  </si>
  <si>
    <t>Bacterial diversity; DGGE fingerprinting; Sediment; Soil; Fildes Peninsula; Antarctica</t>
  </si>
  <si>
    <t>GRADIENT GEL-ELECTROPHORESIS; 16S RIBOSOMAL-RNA; MICROBIAL COMMUNITY; LAKE SEDIMENT; WASTE-WATER; DIVERSITY; SOIL; DNA; BIODIVERSITY; BIOGEOGRAPHY</t>
  </si>
  <si>
    <t>There is little information on the bacterial diversity of the Fildes Peninsula, King George Island. Hence, this study was conducted to determine the bacterial population of sediments and soils from the lakes, river, glacier and an abandoned oil tank area in the Fildes Peninsula, using a metagenomic approach. DNA was extracted from the sediment and soil samples, and analyzed using the 16S rDNA polymerase chain reaction-denaturing gradient gel electrophoresis (PCR-DGGE). A total of 299 DNA fragments resolved using the DGGE were sequenced. The results of the analysis provided an overview of the predominant groups of bacteria and the diversity of the bacterial communities. The most abundant phyla of bacteria in Fildes Peninsula were Bacteroidetes, Proteobacteria, Acidobacteria, Gemmatimonadetes, Nitrospira, Firmicutes, Actinobacteria, Chloroflexi, Cyanobacteria, Spirochaetes, Deinococcus-Thermus, WS3 and BRC1. All of the sediment samples from the lakes had different representatives of dominant bacterial species. Interestingly, 15% of the operational taxonomic units (OTUs) did not group into any of the existing phyla in the Ribosomal Database Project (RDP). One of the OTUs had a similarity of &lt;0.90 when compared to the GenBank sequences and probably was a novel bacterium specific to that location. The majority of the bacterial 16S rDNA sequences were found to be closely related to those found elsewhere. (C) 2010 Elsevier B.V. and NIPR. All rights reserved.</t>
  </si>
  <si>
    <t>[Foong, Choon Pin; Ling, Clemente Michael Wong Vui] Univ Malaysia Sabah, Biotechnol Res Inst, Kota Kinabalu 88400, Sabah, Malaysia; [Gonzalez, Marcelo] Inst Antartico Chileno, Punta Arenas, Chile</t>
  </si>
  <si>
    <t>Universiti Malaysia Sabah</t>
  </si>
  <si>
    <t>Ling, CMWV (corresponding author), Univ Malaysia Sabah, Biotechnol Res Inst, Jalan UMS, Kota Kinabalu 88400, Sabah, Malaysia.</t>
  </si>
  <si>
    <t>michaelw@ums.edu.my</t>
  </si>
  <si>
    <t>González, Marcelo/ABF-1450-2020; Wong, Clemente Michael Vui Ling/M-8372-2013; Foong, Choon Pin/C-4270-2017</t>
  </si>
  <si>
    <t>Wong, Clemente Michael Vui Ling/0000-0003-3431-8896; Foong, Choon Pin/0000-0002-7785-7702; Gonzalez, Marcelo/0000-0001-9986-9504</t>
  </si>
  <si>
    <t>Malaysian Antarctic Research Programme (MARP)</t>
  </si>
  <si>
    <t>We would like to thank Dr. Jose Retamales, Director of the Instituto Antartico Chileno (INACH), Chile for inviting us to join their scientific expedition, and the Malaysian Antarctic Research Programme (MARP) for funding this project. We would also like to thank Dr. Kenneth Rodrigues for his valuable comments.</t>
  </si>
  <si>
    <t>10.1016/j.polar.2010.05.010</t>
  </si>
  <si>
    <t>WOS:000209450100014</t>
  </si>
  <si>
    <t>Duncan, SM; Farrell, RL; Jordan, N; Jurgens, JA; Blanchette, RA</t>
  </si>
  <si>
    <t>Duncan, Shona M.; Farrell, Roberta L.; Jordan, Neville; Jurgens, Joel A.; Blanchette, Robert A.</t>
  </si>
  <si>
    <t>Monitoring and identification of airborne fungi at historic locations on Ross Island, Antarctica</t>
  </si>
  <si>
    <t>Fungi; Polar biology; 'Heroic Era'</t>
  </si>
  <si>
    <t>Air sampling in the 'Heroic Era' historic huts on Ross Island, Antarctica confirmed fungal presence, viability and winter survival. Cultivation and consensus sequence-based identification of Cladosporium cladosporioides, Pseudeurotium desertorum, Geomyces sp. and Antarctomyces psychrotrophicus demonstrated that they dominated the air environment within the huts. Cadophora sp. and Thebolus sp. were also isolated from the air and identified by morphological characteristics. Viable fungal colony forming units generally dropped in winter 2007 samplings from levels recorded in summer 2006 but were still substantial and greater than observed in summer 2008 and summer 2009 sampling at some locations. Comparing interior to exterior sampling, at the Hut Point and Cape Evans sites, there were more fungi recovered from the air in the interiors but at Cape Royds location, more fungi were recovered from the outside environment, possibly due to the impact of large amounts of organic material from the nearby Adelie penguin rookery. This research reveals airborne fungal biodiversity in summer and winter and demonstrates spores are widespread particularly in the interiors of the huts. Completed conservation efforts appear to have reduced fungal blooms and spores, which should reduce future adverse impacts to wood, textiles, paper and other artefacts so that this important polar heritage can be preserved. (C) 2010 Elsevier B.V. and NIPR. All rights reserved.</t>
  </si>
  <si>
    <t>[Duncan, Shona M.; Farrell, Roberta L.; Jurgens, Joel A.] Univ Waikato, Dept Biol Sci, Hamilton 3216, New Zealand; [Jordan, Neville] Trustee, Antarctic Heritage Trust, Christchurch 8140, New Zealand; [Jurgens, Joel A.; Blanchette, Robert A.] Univ Minnesota, Dept Plant Pathol, St Paul, MN 55108 USA</t>
  </si>
  <si>
    <t>University of Waikato; University of Minnesota System; University of Minnesota Twin Cities</t>
  </si>
  <si>
    <t>Farrell, RL (corresponding author), Univ Waikato, Dept Biol Sci, Private Bag 3105, Hamilton 3216, New Zealand.</t>
  </si>
  <si>
    <t>r.farrell@waikato.ac.nz</t>
  </si>
  <si>
    <t>Blanchette, Robert A./0000-0003-2819-6511</t>
  </si>
  <si>
    <t>Vice Chancellor Fund of The University of Waikato; National Science Foundation [0229570, 0537143]; Antarctic Heritage Trust; Division Of Polar Programs; Directorate For Geosciences [0229570, 0537143] Funding Source: National Science Foundation</t>
  </si>
  <si>
    <t>Vice Chancellor Fund of The University of Waikato; National Science Foundation(National Science Foundation (NSF)); Antarctic Heritage Trust; Division Of Polar Programs; Directorate For Geosciences(National Science Foundation (NSF)NSF - Directorate for Geosciences (GEO))</t>
  </si>
  <si>
    <t>We thank David Harrowfield for helpful comments and insights, Nigel Watson, Al Fastier and conservators of the Antarctic Heritage Trust for their support and cooperation during this study, support personnel of Scott Base for their assistance in conducting this research in Antarctica and Antarctica New Zealand for logistic support. This research was supported in part by the 2004 Vice Chancellor Fund of The University of Waikato and by the National Science Foundation Grants 0229570 and 0537143 to R. A. Blanchette. We also sincerely thank Lisa Robson and Joanne Thwaites Kelly, formerly from The University of Waikato and Benjamin Held and Brett Arenz from the University of Minnesota for assistance with sampling in Antarctica and the identification of fungi.</t>
  </si>
  <si>
    <t>10.1016/j.polar.2010.03.008</t>
  </si>
  <si>
    <t>WOS:000209450100015</t>
  </si>
  <si>
    <t>de Pascale, D; Giuliani, M; De Santi, C; Bergamasco, N; Amoresano, A; Carpentieri, A; Parrilli, E; Tutino, ML</t>
  </si>
  <si>
    <t>de Pascale, D.; Giuliani, M.; De Santi, C.; Bergamasco, N.; Amoresano, A.; Carpentieri, A.; Parrilli, E.; Tutino, M. L.</t>
  </si>
  <si>
    <t>PhAP protease from Pseudoalteromonas haloplanktis TAC125: Gene cloning, recombinant production in E. coli and enzyme characterization</t>
  </si>
  <si>
    <t>Cold-adapted proteases have been found to be the dominant activity throughout the cold marine environment, indicating their importance in bacterial acquisition of nitrogen-rich complex organic compounds. However, few extracellular proteases from marine organisms have been characterized so far, and the mechanisms that enable their activity in situ are still largely unknown. Aside from their ecological importance and use as model enzyme for structure/function investigations, cold-active proteolytic enzymes offer great potential for biotechnological applications. Our studies on cold adapted proteases were performed on exo-enzyme produced by the Antarctic marine bacterium Pseudoalteromonas haloplanktis TAC125. By applying a proteomic approach, we identified several proteolytic activities from its culture supernatant. PhAP protease was selected for further investigations. The encoding gene was cloned and the protein was recombinantly produced in E. coli cells. The homogeneous product was biochemically characterised and it turned out that the enzyme is a Zn-dependent aminopeptidase, with an activity dependence from assay temperature typical of psychrophilic enzymes. (C) 2010 Elsevier B.V. and NIPR. All rights reserved.</t>
  </si>
  <si>
    <t>[de Pascale, D.; De Santi, C.; Bergamasco, N.] CNR, Inst Prot Biochem, I-80131 Naples, Italy; [Giuliani, M.; Amoresano, A.; Carpentieri, A.; Parrilli, E.; Tutino, M. L.] Univ Naples Federico II, Dept Organ Chem &amp; Biochem, I-80126 Naples, Italy; [Amoresano, A.; Parrilli, E.; Tutino, M. L.] Univ Naples Federico II, Sch Biotechnol Sci, I-80126 Naples, Italy</t>
  </si>
  <si>
    <t>Consiglio Nazionale delle Ricerche (CNR); Istituto di Biochimica delle Proteine (IBP-CNR); University of Naples Federico II; University of Naples Federico II</t>
  </si>
  <si>
    <t>de Pascale, D (corresponding author), CNR, Inst Prot Biochem, Via Pietro Castellino 111, I-80131 Naples, Italy.</t>
  </si>
  <si>
    <t>TUTINO, MARIA LUISA/L-1834-2013; parrilli, ermenegilda/JAZ-0586-2023; parrilli, ermenegilda/K-4616-2016</t>
  </si>
  <si>
    <t>parrilli, ermenegilda/0000-0002-9002-5409; AMORESANO, Angela/0000-0002-8386-655X; Tutino, Maria Luisa/0000-0002-4978-6839; Carpentieri, Andrea/0000-0002-1944-5355</t>
  </si>
  <si>
    <t>Ministero dell'Universita e della Ricerca Scientifica; P.N.R.A. (Programma Nazionale Ricerche in Antartide)</t>
  </si>
  <si>
    <t>Ministero dell'Universita e della Ricerca Scientifica(Ministry of Education, Universities and Research (MIUR)); P.N.R.A. (Programma Nazionale Ricerche in Antartide)</t>
  </si>
  <si>
    <t>This work was supported by grants of Ministero dell'Universita e della Ricerca Scientifica (Progetti di Rilevante Interesse Nazionale 2008) and P.N.R.A. (Programma Nazionale Ricerche in Antartide 2004). We thank Rosaria Varlese for her excellent technical support.</t>
  </si>
  <si>
    <t>10.1016/j.polar.2010.03.009</t>
  </si>
  <si>
    <t>WOS:000209450100016</t>
  </si>
  <si>
    <t>Coppola, D; Giordano, D; Vergara, A; Mazzarella, L; di Prisco, G; Verde, C; Russo, R</t>
  </si>
  <si>
    <t>Coppola, Daniela; Giordano, Daniela; Vergara, Alessandro; Mazzarella, Lelio; di Prisco, Guido; Verde, Cinzia; Russo, Roberta</t>
  </si>
  <si>
    <t>The hemoglobins of sub-Antarctic fishes of the suborder Notothenioidei</t>
  </si>
  <si>
    <t>Hemoglobin; Fish; Hemoglobin multiplicity; Root effect</t>
  </si>
  <si>
    <t>FUNCTIONALLY DISTINCT HEMOGLOBINS; CRYSTAL-STRUCTURE; TREMATOMUS-BERNACCHII; PAGOTHENIA-BERNACCHII; TETRAMERIC HEMOGLOBIN; ELEGINOPS-MACLOVINUS; STRUCTURAL BASIS; SWIM-BLADDER; NEW-ZEALAND; OXYGEN</t>
  </si>
  <si>
    <t>Fishes of the perciform suborder Notothenioidei provide an excellent opportunity for studying the evolution and functional importance of evolutionary adaptations to temperature. To understand the unique biochemical features of high-Antarctic notothenioids, it is important to improve our knowledge of these highly cold-adapted stenotherms with new information on their sub-Antarctic relatives. This paper focuses on the oxygen-transport system of two non-Antarctic species, Eleginops maclovinus and Bovichtus diacanthus. Unlike most Antarctic notothenioids, the blood of E. maclovinus and B. diacanthus displays high hemoglobin (Hb) multiplicity. E. maclovinus, the sister group of Antarctic notothenioids, has one cathodal (Hb C) and two anodal components (Hb 1, Hb 2). B. diacanthus, one of the most northern notothenioids, has three major Hbs. The multiple Hbs may have been maintained as a response to temperature differences and fluctuations of temperate waters, much larger than in the Antarctic. Although non-Antarctic notothenioids have never developed cold adaptation, the amino-acid sequence reveals high identity with the globins of Antarctic notothenioids. Hbs of sub-Antarctic notothenioids are characterised by high oxygen affinity and Root effect. Phylogenetic analyses are consistent with the hypothesis that Bovichtidae and Eleginopidae diverged after they became established in more temperate waters north of the Antarctic Polar Front. (C) 2010 Elsevier B.V. and NIPR. All rights reserved.</t>
  </si>
  <si>
    <t>[Coppola, Daniela; Giordano, Daniela; di Prisco, Guido; Verde, Cinzia; Russo, Roberta] CNR, Inst Prot Biochem, I-80131 Naples, Italy; [Vergara, Alessandro; Mazzarella, Lelio] Univ Naples Federico II, Dept Chem, I-80126 Naples, Italy</t>
  </si>
  <si>
    <t>Consiglio Nazionale delle Ricerche (CNR); Istituto di Biochimica delle Proteine (IBP-CNR); University of Naples Federico II</t>
  </si>
  <si>
    <t>Russo, R (corresponding author), CNR, Inst Prot Biochem, Via Pietro Castellino 111, I-80131 Naples, Italy.</t>
  </si>
  <si>
    <t>r.russo@ibp.cnr.it</t>
  </si>
  <si>
    <t>Vergara, Alessandro/C-4435-2013; Coppola, Daniela/ABG-4430-2020; Giordano, Daniela/AFK-7772-2022</t>
  </si>
  <si>
    <t>Giordano, Daniela/0000-0002-8891-6245; VERDE, Cinzia/0000-0001-6185-282X; Coppola, Daniela/0000-0001-6699-8967; Vergara, Alessandro/0000-0003-4135-0245</t>
  </si>
  <si>
    <t>National Science Foundation [OPP 0132032]; Italian National Programme for Antarctic Research (PNRA); Ministero Italiano dell'Universita e della Ricerca Scientifica [PRIN 2007SFZXZ7]</t>
  </si>
  <si>
    <t>National Science Foundation(National Science Foundation (NSF)); Italian National Programme for Antarctic Research (PNRA); Ministero Italiano dell'Universita e della Ricerca Scientifica(Ministry of Education, Universities and Research (MIUR))</t>
  </si>
  <si>
    <t>The ICEFISH cruise was supported by the National Science Foundation grant OPP 0132032 to H. William Detrich (Chief Scientist, Northeastern University). This study is financially supported by the Italian National Programme for Antarctic Research (PNRA). It is in the framework of the SCAR programme Evolution and Biodiversity in the Antarctic (EBA). It is partially supported by the Ministero Italiano dell'Universita e della Ricerca Scientifica (PRIN 2007SFZXZ7 Structure, function and evolution of heme proteins from Arctic and Antarctic marine organisms: cold adaptation mechanisms and acquisition of new functions).</t>
  </si>
  <si>
    <t>10.1016/j.polar.2010.04.007</t>
  </si>
  <si>
    <t>WOS:000209450100017</t>
  </si>
  <si>
    <t>Takahashi, KT; Hosie, GW; Kitchener, JA; McLeod, DJ; Odate, T; Fukuchi, M</t>
  </si>
  <si>
    <t>Takahashi, Kunio T.; Hosie, Graham W.; Kitchener, John A.; McLeod, David J.; Odate, Tsuneo; Fukuchi, Mitsuo</t>
  </si>
  <si>
    <t>Comparison of zooplankton distribution patterns between four seasons in the Indian Ocean sector of the Southern Ocean</t>
  </si>
  <si>
    <t>Continuous plankton recorder; Copepod; Foraminiferans; Appendicularians</t>
  </si>
  <si>
    <t>CONTINUOUS PLANKTON RECORDER; REDUCED CALCIFICATION; COMMUNITY STRUCTURE; ASSEMBLAGES; AUSTRALIA; VARIABILITY; SUCCESSION; INDICATOR; ATLANTIC; HISTORY</t>
  </si>
  <si>
    <t>We investigated the composition, distribution and abundance of zooplankton in the Indian Ocean sector of the Southern Ocean during the austral summer (December/January) of 2004/05, 2005/06, 2007/08 and 2008/09 using a Continuous Plankton Recorder (CPR). CPR tows were conducted along two transects during voyages south of Cape Town to north of Syowa station and from north of the Mawson station area to south of Fremantle. High zooplankton abundance was recorded on each transect in the Polar Frontal Zone (PFZ) and the northern area of the Antarctic Zone (AZ). Community structure in these zones was dominated by common taxa including the ubiquitous Oithona similis and calanoid copepodites, accounting for &gt;50% of total abundance, and Calanus simillimus, Ctenocalanus citer, Clausocalanus laticeps and Metridia lucens also occurred in high densities. Appendicularians of the genus Fritillaria were the most important component in the Cape Town to Syowa station area in 2008, with 36.9% of total abundance. The average chlorophyll a level at this time of year was the lowest (0.32 mg m(-3)) among all transects. Appendicularians are suited to oceanic oligotrophic waters; therefore, they are suited to low phytoplankton density. Foraminiferans were numerically dominant throughout the Mawson station area to Fremantle transect in 2005. Unlike Fritillaria spp., foraminiferans prefer high phytoplankton density. The elevated average chlorophyll a biomass in 2005 (0.64 mg m(-3)) provided favorable conditions for Foraminifera, which were dominant and widespread. CPR surveys provide information on the fine scale structure of the interannual distribution changes in micro-and meso-zooplankton assemblages, and the CPR is one of ideal method to monitor organisms that are indicators of environmental change. (C) 2010 Elsevier B.V. and NIPR. All rights reserved.</t>
  </si>
  <si>
    <t>[Takahashi, Kunio T.; Odate, Tsuneo; Fukuchi, Mitsuo] Natl Inst Polar Res, Tachikawa, Tokyo 1908518, Japan; [Takahashi, Kunio T.; Odate, Tsuneo; Fukuchi, Mitsuo] Grad Univ Adv Studies, SOKENDAI, Tachikawa, Tokyo 1908518, Japan; [Hosie, Graham W.; Kitchener, John A.; McLeod, David J.] Australian Govt Antarctic Div, Kingston, Tas 7050, Australia; [McLeod, David J.] CSIRO Marine &amp; Atmospher Res, Integrated Marine Observing Syst AusCPR Survey, Cleveland, Qld 4163, Australia</t>
  </si>
  <si>
    <t>Research Organization of Information &amp; Systems (ROIS); National Institute of Polar Research (NIPR) - Japan; Graduate University for Advanced Studies - Japan; Australian Antarctic Division; Commonwealth Scientific &amp; Industrial Research Organisation (CSIRO)</t>
  </si>
  <si>
    <t>Takahashi, KT (corresponding author), Natl Inst Polar Res, 10-3 Midori Cho, Tachikawa, Tokyo 1908518, Japan.</t>
  </si>
  <si>
    <t>takahashi.kunio@nipr.ac.jp</t>
  </si>
  <si>
    <t>Kitchener, John/0000-0003-4642-3044</t>
  </si>
  <si>
    <t>10.1016/j.polar.2010.05.002</t>
  </si>
  <si>
    <t>WOS:000209450100019</t>
  </si>
  <si>
    <t>Lautredou, AC; Bonillo, C; Denys, G; Cruaud, C; Ozouf-Costaz, C; Lecointre, G; Dettai, A</t>
  </si>
  <si>
    <t>Lautredou, A. -C.; Bonillo, C.; Denys, G.; Cruaud, C.; Ozouf-Costaz, C.; Lecointre, G.; Dettai, A.</t>
  </si>
  <si>
    <t>Molecular taxonomy and identification within the Antarctic genus Trematomus (Notothenioidei, Teleostei): How valuable is barcoding with COI?</t>
  </si>
  <si>
    <t>Barcode; Molecular taxonomy; Southern Ocean; Pagothenia</t>
  </si>
  <si>
    <t>SPECIES IDENTIFICATION; DNA BARCODES; FISH; PERCIFORMES; SEQUENCES; PHYLOGENIES; EVOLUTION; LARVAE; GENES</t>
  </si>
  <si>
    <t>The Trematominae are a particularly interesting subfamily within the antarctic suborder Notothenioidei (Teleostei). The 14 closely related species occupy a large range of ecological of niches, extremely useful for evolutionary and biogeography studies in the Antarctic Ocean. But some Trematomus species can be difficult to identify by using morphological criteria, specially young stages and damaged specimens. Molecular identification would therefore be highly useful, however the suitability of the cytochrome oxidase I gene in a barcoding approach needs to be assessed. We evaluated species delineation within the genus Trematomus comparing morphological identification, nuclear markers (the rhodopsin retrogene and a new nuclear marker pkd1: polycystic kidney disease 1) and COI. We show that Trematomus vicarius is not distinguishable from Trematomus bernacchii with the molecular markers used, and neither is Trematomus loennbergii from Trematomus lepidorhinus. We suggest that until this is investigated further, studies including these species list them as T. loennbergii/T. lepidorhinus group, and keep voucher samples and specimens. Generally, COI gives a congruent result with the rhodopsin retrogene, and except for the previously cited species pairs, COI barcoding is efficient for identification in this group. Moreover pkd1 might not be suitable for a phylogenetic study at this scale for this group. (C) 2010 Elsevier B.V. and NIPR. All rights reserved.</t>
  </si>
  <si>
    <t>[Lautredou, A. -C.; Ozouf-Costaz, C.; Lecointre, G.; Dettai, A.] Museum Natl Hist Nat, Dept Systemat &amp; Evolut, CNRS UPMC IRD MNHN UMR7138, F-75005 Paris, France; [Bonillo, C.] Museum Natl Hist Nat, Dept Systemat &amp; Evolut, UMS 2700, F-75005 Paris, France; [Denys, G.] Museum Natl Hist Nat, Dept Milieux &amp; Peuplements Aquat, UMR CNRS UPMC MNHN 5178, F-75005 Paris, France; [Cruaud, C.] Ctr Natl Sequencage, Genoscope, F-91057 Evry, France</t>
  </si>
  <si>
    <t>Sorbonne Universite; Centre National de la Recherche Scientifique (CNRS); CNRS - National Institute for Biology (INSB); Museum National d'Histoire Naturelle (MNHN); Centre National de la Recherche Scientifique (CNRS); CNRS - Institute of Ecology &amp; Environment (INEE); Museum National d'Histoire Naturelle (MNHN); Sorbonne Universite; Museum National d'Histoire Naturelle (MNHN)</t>
  </si>
  <si>
    <t>Lautredou, AC (corresponding author), Museum Natl Hist Nat, Dept Systemat &amp; Evolut, CNRS UPMC IRD MNHN UMR7138, F-75005 Paris, France.</t>
  </si>
  <si>
    <t>lautredou@mnhn.fr; bonillo@mhnh.fr; gael@mnhn.fr; ozouf@mnhn.fr; lecointr@mnhn.fr; adettai@mnhn.fr</t>
  </si>
  <si>
    <t>Dettai, Agnes/Q-6743-2019</t>
  </si>
  <si>
    <t>Cruaud, Corinne/0000-0002-4752-7278</t>
  </si>
  <si>
    <t>Consortium National de Recherche en Genomique; 'Service de Systematique Moleculaire' of the Museum National d'Histoire Naturelle [UMS 2700]; Australian Antarctic Division; Japanese Science Foundation; French polar institute Institut Paul-Emile Victor; Centre National pour la Recherche Scientifique; Museum National d'Histoire Naturelle; Agence Nationale pour la Recherche [07-BLAN-0213-01]; National Science Foundation [OPP 01-32032]; European Science Foundation</t>
  </si>
  <si>
    <t>Consortium National de Recherche en Genomique(General Electric); 'Service de Systematique Moleculaire' of the Museum National d'Histoire Naturelle(Centre National de la Recherche Scientifique (CNRS)); Australian Antarctic Division; Japanese Science Foundation; French polar institute Institut Paul-Emile Victor; Centre National pour la Recherche Scientifique; Museum National d'Histoire Naturelle; Agence Nationale pour la Recherche(Agence Nationale de la Recherche (ANR)); National Science Foundation(National Science Foundation (NSF)); European Science Foundation(European Science Foundation (ESF))</t>
  </si>
  <si>
    <t>We thank the crew and participants of the cruises involved in the capture of the samples, and especially the chief scientists of the CAML-CEAMARC cruises: G. Hosie, T. Ishimaru, M. Riddle, M. Stoddart. The CAML-CEAMARC cruises of R/V Aurora Australis and R/V Umitaka maru (IPY project no 53) were supported by the Australian Antarctic Division, the Japanese Science Foundation, the French polar institute Institut Paul-Emile Victor (and the IPEV program 281 ICOTA co-directed by Catherine Ozouf-Costaz and Philippe Koubbi), the Centre National pour la Recherche Scientifique, the Museum National d'Histoire Naturelle and the Agence Nationale pour la Recherche (Projet Blanc ANTFLOCKs USAR no 07-BLAN-0213-01 directed by Guillaume Lecointre). This project is a contribution to the EBA-SCAR program. The present work was also partly based on samples collected during the ICEFISH 2004 cruise (supported by National Science Foundation grant OPP 01-32032 to H. William Detrich (Northestern University)) and the EPOS cruise (1989) for which we are grateful to the Alfred Wegener Institute and the European Science Foundation.; This work was supported by the 'Consortium National de Recherche en Genomique', and the 'Service de Systematique Moleculaire' of the Museum National d'Histoire Naturelle (UMS 2700). It is part of the agreement number 2005/67 between the Genoscope and the Museum National d'Histoire Naturelle on the project `Macrophylogeny of life' directed by Guillaume Lecointre.</t>
  </si>
  <si>
    <t>10.1016/j.polar.2010.04.006</t>
  </si>
  <si>
    <t>WOS:000209450100020</t>
  </si>
  <si>
    <t>McLeod, DJ; Hosie, GW; Kitchener, JA; Takahashi, KT; Hunt, BPV</t>
  </si>
  <si>
    <t>McLeod, David J.; Hosie, Graham W.; Kitchener, John A.; Takahashi, Kunio T.; Hunt, Brian P. V.</t>
  </si>
  <si>
    <t>Zooplankton Atlas of the Southern Ocean: The SCAR SO-CPR Survey (1991-2008)</t>
  </si>
  <si>
    <t>Antarctica; Monitoring; Plankton distribution; Bioregionalisation</t>
  </si>
  <si>
    <t>The SCAR Southern Ocean Continuous Plankton Recorder (SO-CPR) Survey produces one of the largest and most accessed zooplankton data sets in the world. These data serve as a reference for other Southern Ocean monitoring programmes such as those run by the Commission for the Conservation of Antarctic Marine Living Resources (CCAMLR) and the developing Southern Ocean Observing System (SOOS). It has been instrumental in providing baseline data on zooplankton composition, communities, and distribution patterns on the ocean basin scale. The SO-CPR Survey is publishing the first detailed geographical atlas of the nearsurface Southern Ocean zooplankton. This atlas is based on 22,553 CPR samples collected from 1991 to 2008 from voyages operated by Australia, Japan, Germany, New Zealand, USA and Russia. The Atlas documents the distribution and abundance of the 50 most abundant zooplankton taxa amongst the 200+ taxa sampled. The maps are printed in alphabetical order of the genera within each taxon and nomenclature is based on the Register of Antarctic Marine Species (RAMS) developed by the SCAR Marine Biodiversity Information Network (SCAR-MarBIN). The SO-CPR Atlas will operate as a ready reference to researchers interested in the distribution of zooplankton in the Southern Ocean, for example knowing the distribution of grazers in relation to phytoplankton production or the availability of prey for higher predators. (C) 2010 Elsevier B.V. and NIPR. All rights reserved.</t>
  </si>
  <si>
    <t>[McLeod, David J.; Hosie, Graham W.; Kitchener, John A.] Dept Environm Water Heritage &amp; Arts, Australian Antarctic Div, Kingston, Tas 7050, Australia; [McLeod, David J.] CSIRO Marine &amp; Atmospher Res, Integrated Marine Observing Syst AusCPR Survey, Cleveland, Qld 4163, Australia; [Takahashi, Kunio T.] Natl Inst Polar Res, Tachikawa, Tokyo 1908518, Japan; [Hunt, Brian P. V.] Univ British Columbia, Dept Earth &amp; Ocean Sci, Vancouver, BC V6T 1Z4, Canada</t>
  </si>
  <si>
    <t>Australian Antarctic Division; Commonwealth Scientific &amp; Industrial Research Organisation (CSIRO); Research Organization of Information &amp; Systems (ROIS); National Institute of Polar Research (NIPR) - Japan; University of British Columbia</t>
  </si>
  <si>
    <t>McLeod, DJ (corresponding author), Dept Environm Water Heritage &amp; Arts, Australian Antarctic Div, Kingston, Tas 7050, Australia.</t>
  </si>
  <si>
    <t>david.mcleod@csiro.au</t>
  </si>
  <si>
    <t>Scientific Committee on Antarctic Research (SCAR)</t>
  </si>
  <si>
    <t>We are very grateful to the leaders, expeditioners, and crew of the ships who have helped deploy the CPR; Aurora Australis (Australia), Shirase (Japan), Kaiyo Maru (Japan), Hakuho Maru (Japan), Umitaka Maru (Japan), Polarstern (Germany), Tangaroa (New Zealand), Yuzhmorgeologiya (USA) and Akademik Federov (Russia). We acknowledge the institutes that support these expeditions, especially the workshops that keep the CPRs working. We also acknowledge the support and encouragement of the Scientific Committee on Antarctic Research (SCAR). This Atlas is a contribution to the Census of Antarctic Marine Life (CAML) and we are very appreciative of the enthusiastic support of Prof. Michael Stoddart and Dr Victoria Wadley of the CAML office. We thank the Australian Antarctic Data Centre (AADC) for their invaluable assistance in the production of the distribution charts. We also thank The Sir Alister Hardy Foundation for Ocean Science (SAHFOS) for their long-term support. We would like to thank all the past and current members of the SO-CPR Survey team who have been responsible for the analysis of CPR samples - Tonya Cochran, Leigh Gurney, Regine Herrmann, Camille White, Karin Beaumont and Haruko Umeda.</t>
  </si>
  <si>
    <t>10.1016/j.polar.2010.03.004</t>
  </si>
  <si>
    <t>WOS:000209450100021</t>
  </si>
  <si>
    <t>Toda, R; Moteki, M; Ono, A; Horimoto, N; Tanaka, Y; Ishimaru, T</t>
  </si>
  <si>
    <t>Toda, R.; Moteki, M.; Ono, A.; Horimoto, N.; Tanaka, Y.; Ishimaru, T.</t>
  </si>
  <si>
    <t>Structure of the pelagic cnidarian community in Lutzow-Holm Bay in the Indian sector of the Southern Ocean</t>
  </si>
  <si>
    <t>Antarctic pelagic cnidarians; Community structure; Indian sector; Zooplankton; Medusae</t>
  </si>
  <si>
    <t>WEDDELL SEA; VERTICAL-DISTRIBUTION; ZOOPLANKTON COMMUNITIES; GELATINOUS ZOOPLANKTON; MCMURDO SOUND; ROSS SEA; FOOD-WEB; IN-SITU; MACROZOOPLANKTON; ATLANTIC</t>
  </si>
  <si>
    <t>The structure of the pelagic cnidarian community in Lutzow-Holm Bay in the Indian sector of East Antarctica was investigated in January 2005 and 2006. Zooplankton samples from six discrete depths (surface to 2000 m) obtained using an RMT-8 yielded 4666 individuals of 31 species of cnidarian. Cnidarian abundance and carbon biomass were far greater in 2005 than in 2006. The biomass of macrozooplankton was large in the upper 200 m in 2005, but concentrated at 200-500 m in 2006, except for Euphausiacea. The most dominant species was Diphyes antarctica, followed by Dimophyes arctica and Muggiaea bargmannae. Four species had never been collected from East Antarctica; of these, Solmissus incisa was a first record in the Southern Ocean. Cluster analysis revealed the following three major communities: the epipelagic (0-200 m), in summer surface, winter, and upper modified circumpolar deep waters (MCDW); the upper mesopelagic (200-500 m), in upper MCDW; and the lower meso-and bathypelagic (500-2000 m), in lower MCDW. The epipelagic and lower meso-and bathypelagic communities are likely reduced in abundance/biomass when primary production is low, due to bottom-up control, while the upper mesopelagic community remains stable. (C) 2010 Elsevier B.V. and NIPR. All rights reserved.</t>
  </si>
  <si>
    <t>[Toda, R.; Moteki, M.; Ono, A.; Horimoto, N.; Tanaka, Y.; Ishimaru, T.] Tokyo Univ Marine Sci &amp; Technol, Dept Ocean Sci, Minato Ku, Tokyo 1088477, Japan</t>
  </si>
  <si>
    <t>Tokyo University of Marine Science &amp; Technology</t>
  </si>
  <si>
    <t>Moteki, M (corresponding author), Tokyo Univ Marine Sci &amp; Technol, Dept Ocean Sci, Minato Ku, 4-5-7 Konan, Tokyo 1088477, Japan.</t>
  </si>
  <si>
    <t>masato@kaiyodai.ac.jp</t>
  </si>
  <si>
    <t>Tanaka, Yuji/O-1891-2014; MIYAZAKI, Naho/O-1921-2014</t>
  </si>
  <si>
    <t>Japan Society for the Promotion of Science [14255102, 19255014, 16101001]; Grants-in-Aid for Scientific Research [16101001, 19255014]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</si>
  <si>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</si>
  <si>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officers and crew of the TR/V Umitaka-maru (TUMSAT) and all of the onboard cadets in the Advanced Course for Marine Science and Technology for their outstanding assistance in sample collection. We also thank our scientific colleagues from the National Institute of Polar Research (NIPR), Hokkaido University, and other institutes for help processing the samples and with the hydrographic observations onboard. We appreciate invaluable help in species identification of cnidarians given by Dhugal Lindsay (Japan Agency for Marine Earth Science and Technology). We also wish to thank Yukuya Yamaguchi for organizing the research cruise in 2006 as a cruise leader. This study was supported primarily by Grants-in-Aid for Scientific Research from the Japan Society for the Promotion of Science (Nos. 14255102 and 19255014 for T. Ishimaru and 16101001 for M. Fukuchi of the NIPR).</t>
  </si>
  <si>
    <t>10.1016/j.polar.2010.05.007</t>
  </si>
  <si>
    <t>WOS:000209450100022</t>
  </si>
  <si>
    <t>Mataloni, G; Garraza, GG; Bölter, M; Convey, P; Fermani, P</t>
  </si>
  <si>
    <t>Mataloni, G.; Gonzalez Garraza, G.; Boelter, M.; Convey, P.; Fermani, P.</t>
  </si>
  <si>
    <t>What shapes edaphic communities in mineral and ornithogenic soils of Cierva Point, Antarctic Peninsula?</t>
  </si>
  <si>
    <t>Edaphic communities; Biotic interactions; Antarctica</t>
  </si>
  <si>
    <t>MICROALGAL COMMUNITIES; LAND; MICROARTHROPODS; ECOSYSTEMS; DIVERSITY; ECOLOGY; ALGAE</t>
  </si>
  <si>
    <t>Three mineral soil and four ornithogenic soil sites were sampled during summer 2006 at Cierva Point (Antarctic Peninsula) to study their bacterial, microalgal and faunal communities in relation to abiotic and biotic features. Soil moisture, pH, conductivity, organic matter and nutrient contents were consistently lower and more homogeneous in mineral soils. Ornithogenic soils supported larger and more variable bacterial abundances than mineral ones. Algal communities from mineral soils were more diverse than those from ornithogenic soils, although chlorophyll-a concentrations were significantly higher in the latter. This parameter and bacterial abundance were correlated with nutrient and organic matter contents. The meiofauna obtained from mineral soils was homogeneous, with one nematode species dominating all samples. The fauna of ornithogenic soils varied widely in composition and abundance. Tardigrades and rotifers dominated the meiofauna at eutrophic O2, where they supported a large population of the predatory nematode Coomansus gerlachei. At site O3, high bacterial abundance was consistent with high densities of the bacterivorous nematodes Plectus spp. This study provides evidence that Antarctic soils are complex and diverse systems, and suggests that biotic interactions (e.g. competition and predation) may have a stronger and more direct influence on community variability in space and time than previously thought. (C) 2010 Elsevier B.V. and NIPR. All rights reserved.</t>
  </si>
  <si>
    <t>[Mataloni, G.; Gonzalez Garraza, G.] Univ Nac San Martin, Inst Invest &amp; Ingn Ambiental 3iA, RA-1650 San Martin, Prov De Bs As, Argentina; [Mataloni, G.] Consejo Nacl Invest Cient &amp; Tecn, RA-1033 Buenos Aires, DF, Argentina; [Boelter, M.] Univ Kiel, Inst Polar Ecol, D-24148 Kiel, Germany; [Convey, P.] British Antarctic Survey, NERC, Cambridge CB3 0ET, England; [Fermani, P.] IIB INTECH, Lab Ecol &amp; Fotobiol Acuat, Chascomus, Buenos Aires, Argentina</t>
  </si>
  <si>
    <t>Consejo Nacional de Investigaciones Cientificas y Tecnicas (CONICET); University of Kiel; UK Research &amp; Innovation (UKRI); Natural Environment Research Council (NERC); NERC British Antarctic Survey</t>
  </si>
  <si>
    <t>Mataloni, G (corresponding author), Univ Buenos Aires, Fac Cs Exactas &amp; Nat, Dept Ecol Genet &amp; Evoluc, Ciudad Univ C1428EHA, Buenos Aires, DF, Argentina.</t>
  </si>
  <si>
    <t>gmataloni@unsam.edu.ar</t>
  </si>
  <si>
    <t>Convey, Peter/0000-0001-8497-9903; Mataloni, Gabriela/0000-0002-6852-6143</t>
  </si>
  <si>
    <t>University of Buenos Aires; CONICET; Instituto Antartico Argentino [PIP 5356, UBACYT X864]; Natural Environment Research Council [bas0100025] Funding Source: researchfish; NERC [bas0100025] Funding Source: UKRI</t>
  </si>
  <si>
    <t>University of Buenos Aires(University of Buenos Aires); CONICET(Consejo Nacional de Investigaciones Cientificas y Tecnicas (CONICET)); Instituto Antartico Argentino; Natural Environment Research Council(UK Research &amp; Innovation (UKRI)Natural Environment Research Council (NERC)); NERC(UK Research &amp; Innovation (UKRI)Natural Environment Research Council (NERC))</t>
  </si>
  <si>
    <t>This research has been supported by the University of Buenos Aires, CONICET and the Instituto Antartico Argentino through research grants PIP 5356 and UBACYT X864, and contributes to the SCAR EBA research programme. The authors are grateful for the logistic support of the Base Antartica Primavera staff, and statistical advice from Lic. Ruben Lombardo (CONICET). Comments from two anonymous referees were greatly appreciated.</t>
  </si>
  <si>
    <t>10.1016/j.polar.2010.04.005</t>
  </si>
  <si>
    <t>WOS:000209450100023</t>
  </si>
  <si>
    <t>Kurosawa, N; Sato, S; Kawarabayasi, Y; Imura, S; Naganuma, T</t>
  </si>
  <si>
    <t>Kurosawa, Norio; Sato, Shota; Kawarabayasi, Yutaka; Imura, Satoshi; Naganuma, Takeshi</t>
  </si>
  <si>
    <t>Archaeal and bacterial community structures in the anoxic sediment of Antarctic meromictic lake Nurume-Ike</t>
  </si>
  <si>
    <t>Antarctica; Meromictic lake; Archaea; Bacteria; Community structure</t>
  </si>
  <si>
    <t>Prokaryotic community structures in the anoxic sediment of the Antarctic meromictic Lake Nurume-Ike were revealed by sequence analysis of 16S rRNA gene clones. The archaeal clones obtained (205 total) consisted of only three phylotypes, and were dominantly affiliated with uncultured euryarchaeotes. Specifically, 93% of the clones were identified as marine benthic group-D archaeal phylotype. In contrast to the limited archaeal diversity, 53 phylotypes were detected within 312 bacterial clones. Major bacterial phylotypes were affiliated with alpha-Proteobacteria (20% of clones), d-Proteobacteria (9%), Planctmycetales (7%), and Cyanobacteria (7%). A small numbers of clones belonging to gamma-Proteobacteria, Actinobacteria, Spirochaetes, Flavobacteria, and Verrucomicrobia were also found. A total of 53% of the bacterial clones, consisting of 13 phylotypes, could not be classified into any known group. These results indicated that the bacterial community of Lake Nurume-Ike sediment consisted of numerous phylogenetic groups and had a diversity comparable to the diversity of other Antarctic lakes communities previously reported. Interestingly, however, there were very few phylotypes shared between the communities of lakes Nurume-Ike and five other lakes located in the Vestfold Hills area. This is the first comprehensive study to analyze more than 500 16S rDNA clones for microbial community analysis of an Antarctic lake sediment sample, and the results significantly expand current views of bacterial diversity in Antarctic lakes. (C) 2010 Elsevier B.V. and NIPR. All rights reserved.</t>
  </si>
  <si>
    <t>[Kurosawa, Norio; Sato, Shota] Soka Univ, Dept Environm Engn Symbiosis, Hachioji, Tokyo 1928577, Japan; [Kawarabayasi, Yutaka] Natl Inst Adv Ind Sci &amp; Technol, Amagasaki, Hyogo 6610974, Japan; [Imura, Satoshi] Natl Inst Polar Res, Tachikawa, Tokyo 1908518, Japan; [Naganuma, Takeshi] Hiroshima Univ, Sch Biosphere Sci, Higashihiroshima, Hiroshima 7398528, Japan</t>
  </si>
  <si>
    <t>Soka University; National Institute of Advanced Industrial Science &amp; Technology (AIST); Research Organization of Information &amp; Systems (ROIS); National Institute of Polar Research (NIPR) - Japan; Hiroshima University</t>
  </si>
  <si>
    <t>Kurosawa, N (corresponding author), Soka Univ, Dept Environm Engn Symbiosis, 1-236 Tangi Cho, Hachioji, Tokyo 1928577, Japan.</t>
  </si>
  <si>
    <t>kurosawa@soka.ac.jp</t>
  </si>
  <si>
    <t>Naganuma, Takeshi/AAX-7064-2021</t>
  </si>
  <si>
    <t>Naganuma, Takeshi/0000-0003-1925-9461; Kurosawa, Norio/0000-0001-5095-2104</t>
  </si>
  <si>
    <t>Japan Society for the Promotion of Science [70263738]</t>
  </si>
  <si>
    <t>We thank Sau Pin Kok for technical assistance and Professor Dennis Grogan for carefully reading manuscript. Part of this work was supported by a Grant-in-Aid for Scientific Research (70263738) from the Japan Society for the Promotion of Science.</t>
  </si>
  <si>
    <t>10.1016/j.polar.2010.04.002</t>
  </si>
  <si>
    <t>WOS:000209450100024</t>
  </si>
  <si>
    <t>McAteer, CA; Daly, JS; Flowerdew, MJ; Connelly, JN; Housh, TB; Whitehouse, MJ</t>
  </si>
  <si>
    <t>McAteer, Claire A.; Daly, J. Stephen; Flowerdew, Michael J.; Connelly, James N.; Housh, Todd B.; Whitehouse, Martin J.</t>
  </si>
  <si>
    <t>Detrital zircon, detrital titanite and igneous clast U-Pb geochronology and basement-cover relationships of the Colonsay Group, SW Scotland: Laurentian provenance and correlation with the Neoproterozoic Dalradian Supergroup</t>
  </si>
  <si>
    <t>Provenance; Colonsay Group; U-Pb geochronology; Zircon; Detrital titanite; Neoproterozoic</t>
  </si>
  <si>
    <t>CENTRAL HIGHLANDS; PROTEROZOIC BASEMENT; GRENVILLE PROVINCE; MOINE SUPERGROUP; NW SCOTLAND; SHEAR ZONE; SVECONORWEGIAN OROGEN; MONADHLIATH MOUNTAINS; SOUTHEAST LABRADOR; ISOTOPIC EVIDENCE</t>
  </si>
  <si>
    <t>A multidisciplinary provenance study, including in situ U-Pb dating of detrital titanite, was undertaken on the enigmatic low-grade metasediments of the Colonsay Group, SW Scotland to determine their source and assess previous correlations with major Neoproterozoic sedimentary sequences within the Scottish Caledonides. Sm-Nd model ages (rpm) of the Colonsay Group range from 1664 to 2140 Ma, suggesting a Palaeoproterozoic source. Laser Ablation ICPMS U-Pb detrital zircon ages from six Colonsay Group formations are consistent with sources within Laurentia with predominant input from a ca. 1780 Ma source (Rhinns Complex) and some Grenvillian (ca. 1.3-0.95 Ga), Pinwarian (ca. 1.51-1.45 Ga), Labradorian (ca. 1.71-1.62 Ga) and Ketilidian (ca. 1.9-1.75 Ga) detritus. Archaean (&gt;ca. 2.5 Ga) input is minimal. Clasts from the basal Octofad Sandstone Formation indicate input from ca. 1795 Ma and ca. 1400 Ma sources (U-Pb SIMS zircon ages). U-Pb (SIMS) analyses of detrital titanite record Grenville metamorphic events in the source terranes and suggest a slightly younger maximum depositional age of ca. 942 Ma compared with the youngest detrital zircon age of ca. 1025 Ma. The data support the interpretation that the Octofad Sandstone Formation is part of the Colonsay Group and that the Colonsay Group rests unconformably on the Rhinns Complex on Islay. Deposition of the Colonsay Group is, therefore, tied to the margins of Laurentia, possibly in the foreland to the Grenville Belt, as the Rhinns Complex does not record any Grenville deformation. The data are consistent with deposition of the Colonsay Group in a foreland basin related to the Rigolet phase (ca. 1000-980 Ma) of the Grenville Orogeny. On the basis of detrital zircon U-Pb ages the Colonsay Group best correlates with the lowermost Dalradian Grampian Group of Scotland. This correlation has significant implications for Dalradian basin dynamics, timing of Dalradian deposition and timing of Dalradian deformation. In addition, the unconformable contact between the Colonsay Group and the Rhinns Complex on Islay would make it one of the few places where the basement to the Dalradian can be observed. (C) 2010 Elsevier B.V. All rights reserved.</t>
  </si>
  <si>
    <t>[McAteer, Claire A.; Daly, J. Stephen] Univ Coll Dublin, UCD Sch Geol Sci, Dublin 4, Ireland; [Flowerdew, Michael J.] British Antarctic Survey, Cambridge CB3 0ET, England; [Connelly, James N.; Housh, Todd B.] Univ Texas Austin, Dept Geol Sci, Austin, TX USA; [Connelly, James N.] Nat Hist Museum Denmark, DK-1350 Copenhagen K, Denmark; [Whitehouse, Martin J.] Swedish Museum Nat Hist, Lab Isotope Geol, S-10405 Stockholm, Sweden</t>
  </si>
  <si>
    <t>University College Dublin; UK Research &amp; Innovation (UKRI); Natural Environment Research Council (NERC); NERC British Antarctic Survey; University of Texas System; University of Texas Austin; Swedish Museum of Natural History</t>
  </si>
  <si>
    <t>McAteer, CA (corresponding author), Univ Coll Dublin, UCD Sch Geol Sci, Dublin 4, Ireland.</t>
  </si>
  <si>
    <t>Connelly, James N/O-7996-2015; Daly, J. Stephen/B-4836-2012; Whitehouse, Martin/E-1425-2013</t>
  </si>
  <si>
    <t>Daly, J. Stephen/0000-0001-6390-905X; Whitehouse, Martin/0000-0003-2227-577X; Flowerdew, Michael/0000-0002-9710-2593</t>
  </si>
  <si>
    <t>This research was funded by a UCD Research Demonstratorship, an EU SYNTHESYS grant awarded to C. McAteer and an IRCSET Basic Research grant (SC/2002/248) and a UCD Seed Funding Grant awarded to J.S. Daly. We are grateful to Tom Culligan and Michael Murphy, UCD, for assistance with sample preparation and Sm-Nd analyses, respectively, Cara Johnston for assisting with LA-ICPMS analyses at The University of Texas at Austin and Kerstin Linden and Lev Ilyinsky for technical support at the Swedish Museum of Natural History. We also thank the late Tim Brewer (University of Leicester) for XRF analyses. Tony Prave and Chris Banks are thanked for thorough and constructive reviews. This paper is NORDSIM contribution number 254.</t>
  </si>
  <si>
    <t>10.1016/j.precamres.2010.05.013</t>
  </si>
  <si>
    <t>639OB</t>
  </si>
  <si>
    <t>WOS:000280983000002</t>
  </si>
  <si>
    <t>Yu, JH; O'Reilly, SY; Wang, LJ; Griffin, WL; Zhou, MF; Zhang, M; Shu, LS</t>
  </si>
  <si>
    <t>Yu, Jin-Hai; O'Reilly, Suzanne Y.; Wang, Lijuan; Griffin, W. L.; Zhou, Mei-Fu; Zhang, Ming; Shu, Lingshu</t>
  </si>
  <si>
    <t>Components and episodic growth of Precambrian crust in the Cathaysia Block, South China: Evidence from U-Pb ages and Hf isotopes of zircons in Neoproterozoic sediments</t>
  </si>
  <si>
    <t>Cathaysia Block; Precambrian crust growth; Zircon U-Pb-Hf isotopes; Cathaysia tectonic units</t>
  </si>
  <si>
    <t>GA CONTINENTAL-CRUST; LU-HF; GEOCHEMICAL EVIDENCE; YANGTZE CRATON; SINGLE ZIRCON; SE CHINA; PALEOPROTEROZOIC BASEMENT; TECTONIC EVOLUTION; SOUTHEASTERN CHINA; JIANGXI PROVINCE</t>
  </si>
  <si>
    <t>Detailed LAM-ICPMS U-Pb dating and LAM-MC-ICPMS Lu-Hf isotope analysis were carried out on zircons from nine samples of basement metamorphic rocks in the southern Cathaysia Block, South China. The chemical compositions of these metamorphic rocks and zircon morphology indicate that their protoliths were sedimentary; zircon U-Pb dating results show they mainly formed during the late Neoproterozoic. The Precambrian crust of the Cathaysia Block can be divided into two distinct tectonic domains, the Wuyishan terrane to the northeast and the Nanling-Yunkai terrane to the southwest. The nearly E-W boundary between these two terranes is also supported by geophysical, petrological and geochemical evidence, and the basement rocks of the two terranes are comprised of different components. The Wuyishan terrane is characterized by dominant Paleoproterozoic (1.86 Ga) and lesser Neoarchean magmatism, and the southern-central part of the terrane suffered strong Neoproterozoic and early Paleozoic tectonothermal reworking. The zircon data suggest that there were five important episodes of juvenile crust generation (3.6 Ga, 2.8 Ga, 2.6-2.4 Ga, 1.85 Ga and 0.8-0.7 Ga) in the Wuyishan terrane. Strong Paleoproterozoic (1.85 Ga) magmatism in northern Wuyishan and Neoproterozoic (0.8-0.7 Ga) magmatism in central and southern Wuyishan both principally involved the remelting of old crust with minor input of juvenile material. In contrast, the Nanling-Yunkai terrane contains abundant Neoarchean and Grenvillian zircons, some evidence of Mesoproterozoic activity and rare Paleo- to Meso-Archean and Neoproterozoic zircons. U-Pb ages and Hf-isotopic compositions of the detrital zircons from the late Neoproterozoic to early Paleozoic meta-sedimentary rocks in the Nanling-Yunkai area suggest that the growth of juvenile crust mainly occurred at similar to 3.6 Ga, similar to 3.3 Ga, 2.5-2.6 Ga, similar to 1.6 Ga, similar to 1.0 Ga and 0.8-0.7 Ga. Neoarchaean (2.6-2.5 Ga), Grenvillian (similar to 1.0 Ga) and Neoproterozoic (0.8-0.7 Ga) magmatism mainly involved the recycling of old crust. Minor remnants of similar to 4.1 Ga crust may remain in the terrane. This crustal history is distinct from that of the Wuyishan terrane and analogous to those recorded for the eastern India-East Antarctic domain of northern Gondwanaland, suggesting that they probably were once linked. (C) 2010 Elsevier B.V. All rights reserved.</t>
  </si>
  <si>
    <t>[Yu, Jin-Hai; Wang, Lijuan; Shu, Lingshu] Nanjing Univ, Sch Earth Sci &amp; Engn, State Key Lab Mineral Deposits Res, Nanjing 210093, Peoples R China; [Yu, Jin-Hai; O'Reilly, Suzanne Y.; Wang, Lijuan; Griffin, W. L.; Zhang, Ming] Macquarie Univ, Dept Earth &amp; Planetary Sci, GEMOC ARC Natl Key Ctr, Sydney, NSW 2109, Australia; [Zhou, Mei-Fu] Univ Hong Kong, Dept Earth Sci, Hong Kong, Hong Kong, Peoples R China</t>
  </si>
  <si>
    <t>Nanjing University; Macquarie University; University of Hong Kong</t>
  </si>
  <si>
    <t>Yu, JH (corresponding author), Nanjing Univ, Sch Earth Sci &amp; Engn, State Key Lab Mineral Deposits Res, Nanjing 210093, Peoples R China.</t>
  </si>
  <si>
    <t>jhyu@nju.edu.cn</t>
  </si>
  <si>
    <t>zhou, Mei-Fu/G-4467-2010; GAU, geochemist/H-1985-2016; O'Reilly, Suzanne Y/A-1315-2008; Griffin, William L/F-7713-2011</t>
  </si>
  <si>
    <t>O'Reilly, Suzanne Y/0000-0002-3883-5498; Griffin, William L/0000-0002-0980-2566</t>
  </si>
  <si>
    <t>ARC; DEST Systemic Infrastructure; Macquarie University; Industry sources; NSF of China [40672125, 40634022, 40972127]; State Key Laboratory for Mineral Deposits Research (Nanjing University) [2008-I-01]</t>
  </si>
  <si>
    <t>ARC(Australian Research Council); DEST Systemic Infrastructure(Australian GovernmentDepartment of Industry, Innovation and Science); Macquarie University; Industry sources; NSF of China(National Natural Science Foundation of China (NSFC)); State Key Laboratory for Mineral Deposits Research (Nanjing University)(Nanjing University)</t>
  </si>
  <si>
    <t>Analytical work was carried out at GEMOC, Earth and Planetary Sciences, Macquarie University, using instruments funded by ARC LIEF, DEST Systemic Infrastructure, Macquarie University and Industry sources. Norman Pearson and Suzie Elhlou are thanked for their assistance in LAM-ICPMS and LAM-MC-ICPMS analyses in GEMOC. We also thank L. Zhao, L. Xie and Z. Tan for assisting with field trips and sample collection. Two anonymous reviewers are thanked for their constructive comments. This work was supported by the NSF of China (Grant Nos. 40672125, 40634022 and 40972127) and ARC Discovery and ARC IREX grants (S.Y. O'Reilly and W.L. Griffin). This study is also supported by a grant (no. 2008-I-01) from the State Key Laboratory for Mineral Deposits Research (Nanjing University). This is publication No. 660 from the National Key Centre for Geochemical Evolution and Metallogeny of Continents (www.es.mq.edu.au/GEMOC/).</t>
  </si>
  <si>
    <t>10.1016/j.precamres.2010.05.016</t>
  </si>
  <si>
    <t>WOS:000280983000006</t>
  </si>
  <si>
    <t>Lütz, C</t>
  </si>
  <si>
    <t>Luetz, Cornelius</t>
  </si>
  <si>
    <t>Cell physiology of plants growing in cold environments</t>
  </si>
  <si>
    <t>PROTOPLASMA</t>
  </si>
  <si>
    <t>Adaptation; Alpine; Irradiation; Metabolism; Polar; Stress; UV; Defense</t>
  </si>
  <si>
    <t>HIGH-ALPINE PLANTS; CHILLING-ENHANCED PHOTOOXIDATION; SPECIES SOLDANELLA-ALPINA; ANTARCTIC VASCULAR PLANTS; ULTRAVIOLET-B RADIATION; H2O GAS-EXCHANGE; MEASURED IN-SITU; DIGYNA L HILL; COLOBANTHUS-QUITENSIS; UV-B</t>
  </si>
  <si>
    <t>The life of plants growing in cold extreme environments has been well investigated in terms of morphological, anatomical, and ecophysiological adaptations. In contrast, long-term cellular or metabolic studies have been performed by only a few groups. Moreover, a number of single reports exist, which often represent just a glimpse of plant behavior. The review draws together the literature which has focused on tissue and cellular adaptations mainly to low temperatures and high light. Most studies have been done with European alpine plants; comparably well studied are only two phanerogams found in the coastal Antarctic. Plant adaptation in northern polar regions has always been of interest in terms of ecophysiology and plant propagation, but nowadays, this interest extends to the effects of global warming. More recently, metabolic and cellular investigations have included cold and UV resistance mechanisms. Low-temperature stress resistance in plants from cold environments reflects the climate conditions at the growth sites. It is now a matter of molecular analyses to find the induced genes and their products such as chaperones or dehydrins responsible for this resistance. Development of plants under snow or pollen tube growth at 0A degrees C shows that cell biology is needed to explain the stability and function of the cytoskeleton. Many results in this field are based on laboratory studies, but several publications show that it is not difficult to study cellular mechanisms with the plants adapted to a natural stress. Studies on high light and UV loads may be split in two parts. Many reports describe natural UV as harmful for the plants, but these studies were mainly conducted by shielding off natural UV (as controls). Other experiments apply additional UV in the field and have had practically no negative impact on metabolism. The latter group is supported by the observations that green overwintering plants increase their flavonoids under snow even in the absence of UV. Thus, their defense and antioxidant role dominates. Ultrastructural comparisons were unable to find special light adaptations in plants taken from polar regions vs. high alpine species. The only adaptation found at the subcellular level for most alpine and polar plants are protrusions of the chloroplast envelopes. They are seen as a demand for fast membrane transport requiring additional membrane surface area, whereby the increase in stroma volume may help to support carbohydrate formation. Plants forming such protrusions have to cope with a short vegetation time. These observations are connected to the question as to how photosynthesis works quite well even at or under zero temperatures. The interplay between plastids, mitochondria, and peroxisomes, known as photorespiration, seems to be more intense than in lowland plants. This organelle cooperation serves as a valve for a surplus in solar energy input under cold conditions. Additional metabolic acclimations are under investigation, such as the role of an alternative plastid terminal oxidase. Plants from cold environments may also be seen as ideal objects for studying the combined effects of high light plus cold resistance-from the molecular level to the whole plant adaptation. Modern instrumentation makes it possible to perform vital metabolic measurements under outdoor conditions, and research stations in remote polar and alpine areas provide support for scientists in the preparation of samples for later cellular studies in the home laboratory.</t>
  </si>
  <si>
    <t>Univ Innsbruck, Inst Bot, A-6020 Innsbruck, Austria</t>
  </si>
  <si>
    <t>University of Innsbruck</t>
  </si>
  <si>
    <t>Lütz, C (corresponding author), Univ Innsbruck, Inst Bot, Sternwartestr 15, A-6020 Innsbruck, Austria.</t>
  </si>
  <si>
    <t>cornelius.luetz@uibk.ac.at</t>
  </si>
  <si>
    <t>Austrian Science Foundation (FWF)</t>
  </si>
  <si>
    <t>Austrian Science Foundation (FWF)(Austrian Science Fund (FWF))</t>
  </si>
  <si>
    <t>The author thanks L. Di Piazza and A. Holzinger for discussions and G. Neuner, J. Wagner, B. De Carli, and Ch. Oppeneiger for unpublished data. A part of this work was supported by an Austrian Science Foundation (FWF) grant to CL.</t>
  </si>
  <si>
    <t>SPRINGER WIEN</t>
  </si>
  <si>
    <t>WIEN</t>
  </si>
  <si>
    <t>SACHSENPLATZ 4-6, PO BOX 89, A-1201 WIEN, AUSTRIA</t>
  </si>
  <si>
    <t>0033-183X</t>
  </si>
  <si>
    <t>1615-6102</t>
  </si>
  <si>
    <t>Protoplasma</t>
  </si>
  <si>
    <t>10.1007/s00709-010-0161-5</t>
  </si>
  <si>
    <t>Plant Sciences; Cell Biology</t>
  </si>
  <si>
    <t>639CB</t>
  </si>
  <si>
    <t>WOS:000280947300005</t>
  </si>
  <si>
    <t>Lourantou, A; Chappellaz, J; Barnola, JM; Masson-Delmotte, V; Raynaud, D</t>
  </si>
  <si>
    <t>Lourantou, A.; Chappellaz, J.; Barnola, J-M; Masson-Delmotte, V.; Raynaud, D.</t>
  </si>
  <si>
    <t>Changes in atmospheric CO2 and its carbon isotopic ratio during the penultimate deglaciation</t>
  </si>
  <si>
    <t>GLACIAL TERMINATIONS; SOUTHERN-OCEAN; ICE CORE; SYNCHRONOUS CHANGES; AIR CONTENT; SEA-ICE; CLIMATE; ATLANTIC; HEMISPHERE; DELTA-C-13</t>
  </si>
  <si>
    <t>The largest natural increases in atmospheric CO2 concentration as recorded in ice cores occur when the Earth climate abruptly shifts from a glacial to an interglacial state. Open questions remain regarding the processes at play, the sequences of events and their similarities along different glacial-interglacial transitions. Here we provide new combined data of atmospheric CO2 and its carbon isotopic ratio (delta(CO2)-C-13) for the penultimate glacial-interglacial transition (Termination II) from the Antarctic EPICA Dome C ice core. Together with the strongest Antarctic warming, this transition bears the largest CO2 increase (104 ppmv) of the last nine Terminations, ending with an overshoot of 21 ppmv occurring within similar to 300 y and leading to higher levels than those of the late pre-industrial Holocene. The full CO2 rise is accompanied by an overall decrease of the delta(CO2)-C-13 minimum values, on which three positive excursions are superimposed. Peak-to-peak delta(CO2)-C-13 changes in our record can reach similar to 1 parts per thousand. The ice core atmospheric delta(CO2)-C-13 appears more depleted by similar to 0.2 parts per thousand during Termination II compared to Termination I, paralleling a similar carbon isotopic depletion recorded in marine data. During both terminations, most of CO2 and delta(CO2)-C-13 variations are attributed to southern ocean stratification breakdown and decreased efficiency of the biological pump. Compared to Termination I, Termination II ice core data point to different timings of decrease in iron supply and sea-ice extent, suggesting that they could account for distinct patterns of the carbon cycle. (C) 2010 Elsevier Ltd. All rights reserved.</t>
  </si>
  <si>
    <t>[Lourantou, A.; Chappellaz, J.; Barnola, J-M; Raynaud, D.] Univ Grenoble 1, LGGE, F-38402 St Martin Dheres, France; [Masson-Delmotte, V.] Univ Versailles St Quentin, CEA, Lab Sci Climat &amp; Environm, IPSL,CNRS, F-91191 Gif Sur Yvette, France</t>
  </si>
  <si>
    <t>Communaute Universite Grenoble Alpes; Universite Grenoble Alpes (UGA); Universite Paris Saclay; Universite Paris Cite; CEA; Centre National de la Recherche Scientifique (CNRS)</t>
  </si>
  <si>
    <t>Chappellaz, J (corresponding author), Univ Grenoble 1, LGGE, 54 Rue Moliere,Domaine Univ BP 96, F-38402 St Martin Dheres, France.</t>
  </si>
  <si>
    <t>anna.lourantou@locean-ipsl.upmc.fr; chappellaz@lgge.obs.ujf-grenoble.fr; valerie.masson@lsce.ipsl.fr; raynaud@lgge.obs.ujf-grenoble.fr</t>
  </si>
  <si>
    <t>Chappellaz, Jérôme A./A-4872-2011; raynaud, dominique/ABG-4718-2020; Masson-Delmotte, Valerie L/G-1995-2011; Raynaud, Dominique/H-9626-2016</t>
  </si>
  <si>
    <t>Masson-Delmotte, Valerie L/0000-0001-8296-381X;</t>
  </si>
  <si>
    <t>European Commission [243908]; European Research Training and Mobility Network; QUEST-INSU; FP6 STREP EPICA-MIS; French ANR [ANR-05-BLAN-0312-01]; NERC [NE/E007600/1] Funding Source: UKRI; Natural Environment Research Council [NE/E007600/1] Funding Source: researchfish</t>
  </si>
  <si>
    <t>European Commission(European Union (EU)European Commission Joint Research Centre); European Research Training and Mobility Network; QUEST-INSU; FP6 STREP EPICA-MIS(Marie Curie ActionsEuropean Union (EU)); French ANR(Agence Nationale de la Recherche (ANR)); NERC(UK Research &amp; Innovation (UKRI)Natural Environment Research Council (NERC)); Natural Environment Research Council(UK Research &amp; Innovation (UKRI)Natural Environment Research Council (NERC))</t>
  </si>
  <si>
    <t>This work is a contribution to the European Project for Ice Coring in Antarctica (EPICA), a joint ESF (European Science Foundation)/EC scientific program, funded by the European Commission and by national contributions from Belgium, Denmark, France, Germany, Italy, the Netherlands, Norway, Sweden, Switzerland and the United Kingdom. The main logistic support was provided by IPEV and PNRA (at Dome C). AL was funded by the European Research Training and Mobility Network GREENCYCLES. Additional funding support was provided by the QUEST-INSU project DESIRE, the FP6 STREP EPICA-MIS, and the French ANR PICC (ANR-05-BLAN-0312-01). This work was also supported by funding to the Past4Future project from the European Commission's 7th Framework Programme, grant number 243908, and is Past4Future contribution number 3. Long-term support for the mass spectrometry work at LGGE was provided by the Fondation de France and the Balzan Price of C. Lorius. We thank G. Dreyfus for providing nitrogen isotopic data. Discussions with Peter Kohler, Maria-Fernanda Sanchez-Goni, Eric Wolff, Laurent Labeyrie, Andrew Friend and Philippe Ciais were very much appreciated. The authors also thank two anonymous reviewers for their fruitful comments on a previous version of this manuscript.</t>
  </si>
  <si>
    <t>17-18</t>
  </si>
  <si>
    <t>10.1016/j.quascirev.2010.05.002</t>
  </si>
  <si>
    <t>639KS</t>
  </si>
  <si>
    <t>WOS:000280974300004</t>
  </si>
  <si>
    <t>Kemp, AES; Grigorov, I; Pearce, RB; Garabato, ACN</t>
  </si>
  <si>
    <t>Kemp, A. E. S.; Grigorov, I.; Pearce, R. B.; Garabato, A. C. Naveira</t>
  </si>
  <si>
    <t>Migration of the Antarctic Polar Front through the mid-Pleistocene transition: evidence and climatic implications</t>
  </si>
  <si>
    <t>SEA-SURFACE TEMPERATURE; SOUTHERN-HEMISPHERE WESTERLIES; CARBON-DIOXIDE CONCENTRATION; LAST GLACIAL MAXIMUM; LONG-TERM CHANGES; VOSTOK ICE CORE; ATMOSPHERIC CO2; ATLANTIC SECTOR; LAMINATED SEDIMENTS; CIRCUMPOLAR CURRENT</t>
  </si>
  <si>
    <t>The Antarctic Polar Front is an important biogeochemical divider in the Southern Ocean. Laminated diatom mat deposits record episodes of massive flux of the diatom Thalassiothrix antarctica beneath the Antarctic Polar Front and provide a marker for tracking the migration of the Front through time. Ocean Drilling Program Sites 1091, 1093 and 1094 are the only deep piston cored record hitherto sampled from the sediments of the circumpolar biogenic opal belt. Mapping of diatom mat deposits between these sites indicates a glacial-interglacial front migration of up to 6 degrees of latitude in the early/mid Pleistocene. The mid-Pleistocene transition marks a stepwise minimum 7 degrees northward migration of the locus of the Polar Front sustained for about 450 kyr until an abrupt southward return to a locus similar to its modern position and further south than any mid-Pleistocene locus. This interval from a 900 ka event that saw major cooling of the oceans and a delta C-13 minimum through to the 424 ka Mid-Brunhes Event at Termination V is also seemingly characterised by 1) sustained decreased carbonate in the sub-tropical south Atlantic, 2) reduced strength of Antarctic deep meridional circulation. 3) lower interglacial temperatures and lower interglacial atmospheric CO2 levels (by some 30 per mil) than those of the last 400 kyr, evidencing less complete deglaciation. This evidence is consistent with a prolonged period lasting 450 kyr of only partial ventilation of the deep ocean during interglacials and suggests that the mechanisms highlighted by recent hypotheses linking mid-latitude atmospheric conditions to the extent of deep ocean ventilation and carbon sequestration over glacial-interglacial cycles are likely in operation during the longer time scale characteristic of the mid-Pleistocene transition. The cooling that initiated the 900 ka event may have been driven by minima in insolation amplitude related to eccentricity modulation of precession that also affected low latitude climates as marked by threshold changes in the African monsoon system. The major thresholds in earth system behaviour through the mid-Pleistocene transition were likely governed by an interplay of the 100 kyr and 400 kyr eccentricity modulation of precession. (C) 2010 Elsevier Ltd. All rights reserved.</t>
  </si>
  <si>
    <t>[Kemp, A. E. S.; Grigorov, I.; Pearce, R. B.; Garabato, A. C. Naveira] Univ Southampton, Sch Ocean &amp; Earth Sci, Natl Inst Oceanog, Natl Oceanog Ctr Southampton, Southampton SO14 3ZH, Hants, England</t>
  </si>
  <si>
    <t>NERC National Oceanography Centre; University of Southampton</t>
  </si>
  <si>
    <t>Kemp, AES (corresponding author), Univ Southampton, Sch Ocean &amp; Earth Sci, Natl Inst Oceanog, Natl Oceanog Ctr Southampton, European Way, Southampton SO14 3ZH, Hants, England.</t>
  </si>
  <si>
    <t>aesk@noc.soton.ac.uk</t>
  </si>
  <si>
    <t>Kemp, Alan/AAU-9882-2021; Garabato, Alberto Naveira/AAQ-1114-2020; Grigorov, Ivo/H-4472-2019</t>
  </si>
  <si>
    <t>Garabato, Alberto Naveira/0000-0001-6071-605X; Grigorov, Ivo/0000-0001-6264-802X</t>
  </si>
  <si>
    <t>Natural Environment Research Council [GST 022545]; Natural Environment Research Council [NE/C517633/1, NE/G015945/1] Funding Source: researchfish; NERC [NE/G015945/1] Funding Source: UKRI</t>
  </si>
  <si>
    <t>This research was funded by Natural Environment Research Council ODP Special Topic grant GST 022545 (Kemp, Pearce) and by the award of a NERC Research Studentship (Grigorov). Samples were provided by the ODP. We are grateful to Ian Hall, Babette Hoogakker, Ralph Schneider, Johan Etourneau and Andrew Roberts for sharing their published data sets. We are grateful to the staff of the Bremen IODP Core Repository for assistance with sampling. The manuscript was improved by reviews from Gerhard Kuhn and another anonymous referee. We acknowledge the benefit of discussions with Eelco Rohling, Heiko Palike, Rainer Gersonde and many of our ODP Leg 177 colleagues and the assistance of Kate Davis with drafting.</t>
  </si>
  <si>
    <t>10.1016/j.quascirev.2010.04.027</t>
  </si>
  <si>
    <t>WOS:000280974300005</t>
  </si>
  <si>
    <t>Blagoveshchensky, DV; Borisova, TD; Rogov, DD</t>
  </si>
  <si>
    <t>Blagoveshchensky, D. V.; Borisova, T. D.; Rogov, D. D.</t>
  </si>
  <si>
    <t>EFFECTS IN THE IONOSPHERE AND HF RADIO-WAVE PROPAGATION DURING AN INTENSE SUBSTORM</t>
  </si>
  <si>
    <t>RADIOPHYSICS AND QUANTUM ELECTRONICS</t>
  </si>
  <si>
    <t>STORM; SUPERDARN; DYNAMICS; CUTLASS</t>
  </si>
  <si>
    <t>We present the results of combined radiophysical studies during the period of an intense magnetospheric substorm which occurred from 00: 00 to 02: 00 UT in April 12, 1999. Measurements of the ionospheric parameters by a chain of European ionosondes for this period were compared with the variations in ionospheric parameters averaged over more than 70 substorms. The latter variations were obtained by data from the ionosondes of Europe, Central Siberia, and North America in 1993-1999. Data from the CUTLASS radar as well as the DMSP and POES satellites were used for the analysis of the April 11-12 substorm. Numerical calculations of HF radio-wave propagation on the St. Petersburg-Longyearbyen (Svalbard) high-latitude path were carried out by the ray tracing technique. Two simultaneous effects have been revealed in the ionosphere. One occurs immediately during the substorm and another is associated with the end of the magnetic storm in April 10, 1999. According to the CUTLASS radar data, the number of backscattering irregularities in the ionospheric F layer notably decreased during the substorm expansion phase. Satellite data showed an increase in the soft (hundreds of eV) particle precipitation before and after the substorm. Numerical calculations of HF radio-wave propagation on the St. Petersburg-Longyearbyen path have demonstrated an essential change of propagation mechanisms during the substorm and a tangible change in the wave arrival angles before and after the substorm.</t>
  </si>
  <si>
    <t>[Blagoveshchensky, D. V.] Univ Aerosp Instrumentat, St Petersburg, Russia; [Borisova, T. D.; Rogov, D. D.] Arctic &amp; Antarctic Res Inst Fed Serv Hydrometeoro, St Petersburg, Russia</t>
  </si>
  <si>
    <t>Saint Petersburg State University of Aerospace Instrumentation</t>
  </si>
  <si>
    <t>Blagoveshchensky, DV (corresponding author), Univ Aerosp Instrumentat, St Petersburg, Russia.</t>
  </si>
  <si>
    <t>dvb@ppp.delfa.net</t>
  </si>
  <si>
    <t>Rogov, Denis/AAH-2763-2020; Borisova, Tatiana/AAK-7698-2020</t>
  </si>
  <si>
    <t>Borisova, Tatiana/0000-0003-1727-5310</t>
  </si>
  <si>
    <t>Science and Technology Facilities Council [PP/E007929/1] Funding Source: researchfish</t>
  </si>
  <si>
    <t>Science and Technology Facilities Council(UK Research &amp; Innovation (UKRI)Science &amp; Technology Facilities Council (STFC))</t>
  </si>
  <si>
    <t>0033-8443</t>
  </si>
  <si>
    <t>RADIOPHYS QUANT EL+</t>
  </si>
  <si>
    <t>Radiophys. Quantum Electron.</t>
  </si>
  <si>
    <t>10.1007/s11141-010-9211-2</t>
  </si>
  <si>
    <t>Engineering, Electrical &amp; Electronic; Physics, Applied; Physics, Fluids &amp; Plasmas</t>
  </si>
  <si>
    <t>Engineering; Physics</t>
  </si>
  <si>
    <t>668HF</t>
  </si>
  <si>
    <t>WOS:000283258500001</t>
  </si>
  <si>
    <t>Tin, T; Sovacool, BK; Blake, D; Magill, P; El Naggar, S; Lidstrom, S; Ishizawa, K; Berte, J</t>
  </si>
  <si>
    <t>Tin, Tina; Sovacool, Benjamin K.; Blake, David; Magill, Peter; El Naggar, Saad; Lidstrom, Sven; Ishizawa, Kenji; Berte, Johan</t>
  </si>
  <si>
    <t>Energy efficiency and renewable energy under extreme conditions: Case studies from Antarctica</t>
  </si>
  <si>
    <t>RENEWABLE ENERGY</t>
  </si>
  <si>
    <t>Antarctica; Energy efficiency; Wind energy; Solar energy; Research stations; Scientific instruments</t>
  </si>
  <si>
    <t>SANAE-IV BASE</t>
  </si>
  <si>
    <t>This article showcases a range of small and large scale energy efficiency and renewable energy deployments at Antarctic research stations and field camps. Due to the cold and harsh environment, significant amounts of fuel are needed to support humans working and living in Antarctica. The purchase, transportation and storage of large amounts of fossil fuel entail significant economic costs and environmental risks and have motivated developments in energy efficiency and renewable energy deployment. Over the past three decades, improved building design, behavioral change, cogeneration, solar collectors, solar panels and wind turbines have been found to be effective in Antarctica, demonstrating that harsh environmental conditions and technological barriers do not have to limit the deployment of energy efficiency and renewable energy. The ambition to run entire stations or field camps on 100% renewable energy is increasingly common and feasible. While the power requirements of Antarctic research stations are small compared to urban installations on other continents, these case studies clearly demonstrate that if energy efficiency and renewable energy can be deployed widely on the coldest, darkest and most remote continent of the world, their deployment should be more widespread and encouraged on other continents. (C) 2009 Elsevier Ltd. All rights reserved.</t>
  </si>
  <si>
    <t>[Tin, Tina] Antarctic &amp; So Ocean Coalit, F-45163 Oliver 3, France; [Sovacool, Benjamin K.] Natl Univ Singapore, Singapore 117548, Singapore; [Blake, David] British Antarctic Survey, Cambridge, England; [Magill, Peter] Australian Antarctic Div, Kingston, Tas 7050, Australia; [El Naggar, Saad] Alfred Wegener Inst, Bremerhaven, Germany; [Lidstrom, Sven] Swedish Polar Res Secretariat, Stockholm, Sweden; [Ishizawa, Kenji] Natl Inst Polar Res, Tachikawa, Tokyo 1908518, Japan; [Berte, Johan] Int Polar Fdn, Brussels, Belgium</t>
  </si>
  <si>
    <t>National University of Singapore; UK Research &amp; Innovation (UKRI); Natural Environment Research Council (NERC); NERC British Antarctic Survey; Australian Antarctic Division; Helmholtz Association; Alfred Wegener Institute, Helmholtz Centre for Polar &amp; Marine Research; Research Organization of Information &amp; Systems (ROIS); National Institute of Polar Research (NIPR) - Japan</t>
  </si>
  <si>
    <t>Tin, T (corresponding author), Antarctic &amp; So Ocean Coalit, BP 80358, F-45163 Oliver 3, France.</t>
  </si>
  <si>
    <t>tinatintk@gmail.com; bsovacool@nus.edu.sg; dmbl@bas.ac.uk; peter.magill@clearmail.com.au; Saad.El.Naggar@awi.de; sven.lidstrom@polar.se; ishizawa@nipr.ac.jp; johan.berte@polarfoundation.org</t>
  </si>
  <si>
    <t>Sovacool, Benjamin/Y-2392-2019</t>
  </si>
  <si>
    <t>Sovacool, Benjamin/0000-0002-4794-9403</t>
  </si>
  <si>
    <t>0960-1481</t>
  </si>
  <si>
    <t>RENEW ENERG</t>
  </si>
  <si>
    <t>Renew. Energy</t>
  </si>
  <si>
    <t>10.1016/j.renene.2009.10.020</t>
  </si>
  <si>
    <t>Green &amp; Sustainable Science &amp; Technology; Energy &amp; Fuels</t>
  </si>
  <si>
    <t>Science &amp; Technology - Other Topics; Energy &amp; Fuels</t>
  </si>
  <si>
    <t>590NJ</t>
  </si>
  <si>
    <t>WOS:000277232900010</t>
  </si>
  <si>
    <t>Halzen, F; Klein, SR</t>
  </si>
  <si>
    <t>Halzen, Francis; Klein, Spencer R.</t>
  </si>
  <si>
    <t>Invited Review Article: IceCube: An instrument for neutrino astronomy</t>
  </si>
  <si>
    <t>REVIEW OF SCIENTIFIC INSTRUMENTS</t>
  </si>
  <si>
    <t>HIGH-ENERGY NEUTRINOS; GAMMA-RAY BURSTS; GLACIAL ICE; DEEP; AMANDA; FLUX; DIGITIZATION; PERFORMANCE; ANISOTROPY; DETECTORS</t>
  </si>
  <si>
    <t>Neutrino astronomy beyond the Sun was first imagined in the late 1950s; by the 1970s, it was realized that kilometer-scale neutrino detectors were required. The first such instrument, IceCube, is near completion and taking data. The IceCube project transforms 1 km(3) of deep and ultratransparent Antarctic ice into a particle detector. A total of 5160 optical sensors is embedded into a gigaton of Antarctic ice to detect the Cherenkov light emitted by secondary particles produced when neutrinos interact with nuclei in the ice. Each optical sensor is a complete data acquisition system including a phototube, digitization electronics, control and trigger systems, and light-emitting diodes for calibration. The light patterns reveal the type (flavor) of neutrino interaction and the energy and direction of the neutrino, making neutrino astronomy possible. The scientific missions of IceCube include such varied tasks as the search for sources of cosmic rays, the observation of galactic supernova explosions, the search for dark matter, and the study of the neutrinos themselves. These reach energies well beyond those produced with accelerator beams. The outline of this review is as follows: neutrino astronomy and kilometer-scale detectors, high-energy neutrino telescopes: methodologies of neutrino detection, IceCube hardware, high-energy neutrino telescopes: beyond astronomy, and future projects. (C) 2010 American Institute of Physics. [doi: 10.1063/1.3480478]</t>
  </si>
  <si>
    <t>[Halzen, Francis] Univ Wisconsin, Dept Phys, Madison, WI 53706 USA; [Klein, Spencer R.] Univ Calif Berkeley, Lawrence Berkeley Lab, Div Nucl Sci, Berkeley, CA 94720 USA; [Klein, Spencer R.] Univ Calif Berkeley, Dept Phys, Berkeley, CA 94720 USA</t>
  </si>
  <si>
    <t>University of Wisconsin System; University of Wisconsin Madison; University of California System; University of California Berkeley; United States Department of Energy (DOE); Lawrence Berkeley National Laboratory; University of California System; University of California Berkeley</t>
  </si>
  <si>
    <t>Halzen, F (corresponding author), Univ Wisconsin, Dept Phys, 1150 Univ Ave, Madison, WI 53706 USA.</t>
  </si>
  <si>
    <t>Klein, Spencer/0000-0003-2841-6553</t>
  </si>
  <si>
    <t>National Science Foundation [0653266, OPP-0236449, PHY-0354776]; Department of Energy [DE-AC-76SF-00098]; Division Of Physics; Direct For Mathematical &amp; Physical Scien [0969061] Funding Source: National Science Foundation</t>
  </si>
  <si>
    <t>National Science Foundation(National Science Foundation (NSF)); Department of Energy(United States Department of Energy (DOE)); Division Of Physics; Direct For Mathematical &amp; Physical Scien(National Science Foundation (NSF)NSF - Directorate for Mathematical &amp; Physical Sciences (MPS))</t>
  </si>
  <si>
    <t>We thank our IceCube collaborators for numerous discussions on neutrino physics. We thank Evelyn Malkus and Kim Krieger for helping with graphics and proofreading and Juan Carlos Diaz-Velez for the event displays in Fig. 22. This work was funded in part by the National Science Foundation under Grant Nos. 0653266, OPP-0236449, and PHY-0354776 and by the Department of Energy under Contract No. DE-AC-76SF-00098.</t>
  </si>
  <si>
    <t>AMER INST PHYSICS</t>
  </si>
  <si>
    <t>1305 WALT WHITMAN RD, STE 300, MELVILLE, NY 11747-4501 USA</t>
  </si>
  <si>
    <t>0034-6748</t>
  </si>
  <si>
    <t>1089-7623</t>
  </si>
  <si>
    <t>REV SCI INSTRUM</t>
  </si>
  <si>
    <t>Rev. Sci. Instrum.</t>
  </si>
  <si>
    <t>10.1063/1.3480478</t>
  </si>
  <si>
    <t>Instruments &amp; Instrumentation; Physics, Applied</t>
  </si>
  <si>
    <t>Instruments &amp; Instrumentation; Physics</t>
  </si>
  <si>
    <t>651DZ</t>
  </si>
  <si>
    <t>WOS:000281906100001</t>
  </si>
  <si>
    <t>Gorbunov, YA; Losev, SM; Sokolov, VT</t>
  </si>
  <si>
    <t>Gorbunov, Yu. A.; Losev, S. M.; Sokolov, V. T.</t>
  </si>
  <si>
    <t>An unusual anomaly of ice conditions in the eastern seas of the Russian Arctic and in the arctic basin in summer 2007</t>
  </si>
  <si>
    <t>It is demonstrated that during the whole annual cycle of ice cover evolution in 2006-2007 in the eastern seas of the Russian Arctic and in the Arctic basin, the factors whose effect led to the formation of an extremely large anomaly of ice conditions in summer 2007 were revealed. By the end of summer, the ice melted on the huge water area of 3500000 km(2). In September, the ice edge between the meridians of 150A degrees E-170A degrees W reached the parallel of 85A degrees N. The estimates of the open water area being formed due to the ice melting and its drifting edge shift are given.</t>
  </si>
  <si>
    <t>[Gorbunov, Yu. A.; Losev, S. M.; Sokolov, V. T.] Arctic &amp; Antarctic Res Inst, St Petersburg 199397, Russia</t>
  </si>
  <si>
    <t>Gorbunov, YA (corresponding author), Arctic &amp; Antarctic Res Inst, Ul Beringa 38, St Petersburg 199397, Russia.</t>
  </si>
  <si>
    <t>10.3103/S1068373910080066</t>
  </si>
  <si>
    <t>668VV</t>
  </si>
  <si>
    <t>WOS:000283301300006</t>
  </si>
  <si>
    <t>Ivanov, BV; Svyashchennikov, PN; Ivanov, NE; Timachev, VF; Luts'ko, LV; Nilsen, CP; Svene, T; Orbaek, JB</t>
  </si>
  <si>
    <t>Ivanov, B. V.; Svyashchennikov, P. N.; Ivanov, N. E.; Timachev, V. F.; Luts'ko, L. V.; Nilsen, C. -P.; Svene, T.; Orbaek, J. -B.</t>
  </si>
  <si>
    <t>Investigations of reasons for possible discrepancies in the readings of standard Russian and foreign actinometric sensors</t>
  </si>
  <si>
    <t>The results of joint Russian-Norwegian actinometric measurements carried out in Svalbard archipelago in April 2007 according to the program of the International Polar Year are represented. The main objective is to compare the readings of standard Russian and foreign measuring means (M-80M pyranometer constructed by Yu.D. Yanishevskii and CMP6 pyranometer made by Kipp&amp;Zonen company) used to register the short-wave solar radiation in polar regions. After the statistical processing of comparative measurement results, the constant discrepancies in the device readings are revealed and the possible reasons for these discrepancies are analyzed.</t>
  </si>
  <si>
    <t>[Ivanov, B. V.; Svyashchennikov, P. N.; Ivanov, N. E.; Timachev, V. F.] Arctic &amp; Antarctic Res Inst, St Petersburg 199397, Russia; [Svyashchennikov, P. N.] St Petersburg State Univ, St Petersburg 199164, Russia; [Luts'ko, L. V.] Voeikov Main Geophys Observ, St Petersburg 194021, Russia; [Nilsen, C. -P.; Svene, T.] Norwegian Polar Res Inst, N-9007 Tromso, Norway; [Orbaek, J. -B.] Res Council Norway, N-0131 Oslo, Norway</t>
  </si>
  <si>
    <t>Arctic &amp; Antarctic Research Institute; Saint Petersburg State University; Norwegian Polar Institute; Research Council of Norway</t>
  </si>
  <si>
    <t>Ivanov, BV (corresponding author), Arctic &amp; Antarctic Res Inst, Ul Beringa 38, St Petersburg 199397, Russia.</t>
  </si>
  <si>
    <t>Sviashchennikov, Pavel/M-1736-2015</t>
  </si>
  <si>
    <t>Norwegian Polar Institute</t>
  </si>
  <si>
    <t>The work was carried out within the frames of the theme 8.1 of the Task Scientific Technical Program of Roshydromet The Investigation of Radiation Characteristics of Svalbard Archipelago Climate by the Example of the Russian Barentsburg Station of the Murmansk Territorial Administration for Hydrometeorological and Environmental Monitoring and of the Norwegian Station in New Alesund Settlement (the subprogram 8 of Research and Development Activities of Roshydromet: Regional Aspects of Scientific Researches in the Field of Hydrometeorology and Related Areas) and was supported by the Norwegian Polar Institute (project IPY 2007-2009, ARCDIV-Arctic Climate Diversity).</t>
  </si>
  <si>
    <t>10.3103/S106837391008008X</t>
  </si>
  <si>
    <t>WOS:000283301300008</t>
  </si>
  <si>
    <t>Jordan, TA; Ferraccioli, F; Corr, H; Graham, A; Armadillo, E; Bozzo, E</t>
  </si>
  <si>
    <t>Jordan, T. A.; Ferraccioli, F.; Corr, H.; Graham, A.; Armadillo, E.; Bozzo, E.</t>
  </si>
  <si>
    <t>Hypothesis for mega-outburst flooding from a palaeo-subglacial lake beneath the East Antarctic Ice Sheet</t>
  </si>
  <si>
    <t>TRANSANTARCTIC MOUNTAINS; MIDDLE MIOCENE; VICTORIA LAND; DRY VALLEYS; PALMER DEEP; SYSTEM; WATER; INVENTORY; EVOLUTION; DISCHARGE</t>
  </si>
  <si>
    <t>P&gt;Subglacial outburst floods at the margins of the Antarctic and Laurentide Ice Sheets have been linked to changes in global ocean circulation and climate. The impact of palaeo-hydrological systems beneath the East Antarctic Ice Sheet (EAIS) has, however, remained elusive. By analysing bed morphology in the Wilkes Subglacial Basin, we hypothesise the occurrence of a major palaeo-subglacial lake and associated outburst floods in the interior of East Antarctica. At similar to 70 km wide and over 100 km long, the inferred area of outburst flooding is the most extensive in Antarctica, and the palaeo-subglacial lake from which the floods originated is the second largest after Lake Vostok. The scale of inferred outburst flooding is similar to mega-floods beneath the Laurentide Ice Sheet. We suggest that this major hydrological system developed during expansion of the EAIS in the middle Miocene and probably affected ice sheet stability, ocean circulation and climate evolution.</t>
  </si>
  <si>
    <t>[Jordan, T. A.; Ferraccioli, F.; Corr, H.; Graham, A.] British Antarctic Survey, Cambridge CB3 0ET, England; [Armadillo, E.; Bozzo, E.] Univ Genoa, Dipartimento Terr &amp; Risorse, Sez Geofis, I-16132 Genoa, Italy</t>
  </si>
  <si>
    <t>UK Research &amp; Innovation (UKRI); Natural Environment Research Council (NERC); NERC British Antarctic Survey; University of Genoa</t>
  </si>
  <si>
    <t>Jordan, TA (corresponding author), British Antarctic Survey, Madingley Rd, Cambridge CB3 0ET, England.</t>
  </si>
  <si>
    <t>tomj@bas.ac.uk</t>
  </si>
  <si>
    <t>Armadillo, Egidio/AAD-2877-2021; Corr, Hugh/C-5398-2011</t>
  </si>
  <si>
    <t>Armadillo, Egidio/0000-0003-0982-6629; Jordan, Tom/0000-0003-2780-1986; Ferraccioli, Fausto/0000-0002-9347-4736; Graham, Alastair/0000-0002-2880-2908</t>
  </si>
  <si>
    <t>Programma Nazionale di Ricerche in Antartide; Natural Environment Research Council [bas0100026, bas0100027] Funding Source: researchfish; NERC [bas0100026, bas0100027] Funding Source: UKRI</t>
  </si>
  <si>
    <t>Programma Nazionale di Ricerche in Antartide(Ministry of Education, Universities and Research (MIUR)); Natural Environment Research Council(UK Research &amp; Innovation (UKRI)Natural Environment Research Council (NERC)); NERC(UK Research &amp; Innovation (UKRI)Natural Environment Research Council (NERC))</t>
  </si>
  <si>
    <t>This article interprets aerogeophysical data from the joint UK-Italian ISODYN/WISE project in East Antarctica. Interpretation was carried out within the Environmental Change and Evolution programme of the British Antarctic Survey (BAS). We acknowledge the Programma Nazionale di Ricerche in Antartide for all their logistic and financial support and in particular, logistic staff involved at Mario Zucchelli Station and Talos Dome. Mike Dinn, Giuseppe De Rossi and Alberto Della Rovere are thanked for their help in organising the collaborative survey. Carl Robinson (BAS) and Giorgio Caneva (University of Genoa) provided outstanding engineering support and Captain David Leatherdale (BAS air-unit) was key to the success of the survey. We gratefully acknowledge the comments of two anonymous reviewers and the associate editor that helped streamline and clarify our interpretations.</t>
  </si>
  <si>
    <t>10.1111/j.1365-3121.2010.00944.x</t>
  </si>
  <si>
    <t>623OC</t>
  </si>
  <si>
    <t>WOS:000279750700006</t>
  </si>
  <si>
    <t>Casanueva, A; Tuffin, M; Cary, C; Cowan, DA</t>
  </si>
  <si>
    <t>Casanueva, Ana; Tuffin, Marla; Cary, Craig; Cowan, Don A.</t>
  </si>
  <si>
    <t>Molecular adaptations to psychrophily: the impact of 'omic' technologies</t>
  </si>
  <si>
    <t>TRENDS IN MICROBIOLOGY</t>
  </si>
  <si>
    <t>ARCHAEON METHANOCOCCOIDES-BURTONII; SIBERIAN PERMAFROST BACTERIUM; COLWELLIA-PSYCHRERYTHRAEA 34H; PSYCHROBACTER-ARCTICUS 273-4; REVEALS STRUCTURAL ASPECTS; COLD-SHOCK RESPONSE; GENOME SEQUENCE; ANTARCTIC ARCHAEON; PROTEOMIC ANALYSIS; LOW-TEMPERATURE</t>
  </si>
  <si>
    <t>The ability of cold-adapted microorganisms (generally referred to as psychrophiles) to survive is the result of molecular evolution and adaptations which, together, counteract the potentially deleterious effects of low kinetic energy environments and the freezing of water. These physiological adaptations are seen at many levels. Against a background of detailed comparative protein structural analyses, the recent surge of psychrophile proteome, genome, metagenome and transcriptome sequence data has triggered a series of sophisticated analyses of changes in global protein composition. These studies have revealed consistent and statistically robust changes in amino acid composition, interpreted as evolutionary mechanisms designed to destabilise protein structures, as well as identifying the presence of novel genes involved in cold adaptation.</t>
  </si>
  <si>
    <t>[Casanueva, Ana; Tuffin, Marla; Cowan, Don A.] Univ Western Cape, Inst Microbial Biotechnol &amp; Metagen, ZA-7535 Cape Town, South Africa; [Cary, Craig] Univ Waikato, Dept Biol Sci, Hamilton, New Zealand</t>
  </si>
  <si>
    <t>University of the Western Cape; University of Waikato</t>
  </si>
  <si>
    <t>Cowan, DA (corresponding author), Univ Western Cape, Inst Microbial Biotechnol &amp; Metagen, ZA-7535 Cape Town, South Africa.</t>
  </si>
  <si>
    <t>dcowan@uwc.ac.za</t>
  </si>
  <si>
    <t>Cowan, Donald A/E-3991-2012; Trindade, Marla/AAU-9730-2020; PONNERASSERY, Sudheesh/C-4589-2014</t>
  </si>
  <si>
    <t>Cowan, Donald A/0000-0001-8059-861X; Trindade, Marla/0000-0002-2478-0270; Cary, Stephen/0000-0002-2876-2387</t>
  </si>
  <si>
    <t>0966-842X</t>
  </si>
  <si>
    <t>1878-4380</t>
  </si>
  <si>
    <t>TRENDS MICROBIOL</t>
  </si>
  <si>
    <t>Trends Microbiol.</t>
  </si>
  <si>
    <t>10.1016/j.tim.2010.05.002</t>
  </si>
  <si>
    <t>641BC</t>
  </si>
  <si>
    <t>WOS:000281097800006</t>
  </si>
  <si>
    <t>Lang, XM; Wang, HJ</t>
  </si>
  <si>
    <t>Lang, Xianmei; Wang, Huijun</t>
  </si>
  <si>
    <t>Improving Extraseasonal Summer Rainfall Prediction by Merging Information from GCMs and Observations</t>
  </si>
  <si>
    <t>WEATHER AND FORECASTING</t>
  </si>
  <si>
    <t>ANTARCTIC OSCILLATION; RIVER VALLEY; SEASONAL PREDICTION; ARCTIC OSCILLATION; MONSOON RAINFALL; PRECIPITATION; PREDICTABILITY; VARIABILITY; YANGTZE; MODEL</t>
  </si>
  <si>
    <t>A new prediction approach for summer (June-August) rainfall in China was designed by considering both preceding observations and numerically predicted summer rainfall through a multivariate linear regression analysis. First, correlation analyses revealed close relationships between summer rainfall in parts of China with the Antarctic Oscillation (AAO), the Arctic Oscillation (AO), and sea surface temperatures (SSTs) in the preceding winter (December-February). The Huang-Huai Valley, two subregions of the Jiang-Huai Valley, the southern Yangtze River, south China, and southeastern Xinjiang were then chosen as targets for their regional climate characteristics. Following this, an extraseasonal (one season in advance) regression prediction model for regionally averaged summer rainfall was constructed by using these three climate factors and a 3-month lead-time forecast of summer rainfall, undertaken by an atmospheric general circulation model (GCM) forced by observed SSTs, as predictors region by region. To improve the accuracy of prediction, the systematic error between the original regression model's results and its observational counterparts, averaged for the last 10 yr, was corrected. Using this new approach, real-time prediction experiments and cross-validation analyses were performed for the periods 2002-07 and 1982-2007, respectively. It was found that the new prediction approach was more skillful than the original or corrected GCM prediction alone in terms of sign, magnitude, and interannual variability of regionally averaged summer rainfall anomalies in all regions. The preceding observations were the major source of the prediction skill of summer rainfall in each region, and the GCM predictions added additional prediction skill in the western Jiang-Huai Valley and southeastern Xinjiang, in both of which the GCM prediction was used as a predictor.</t>
  </si>
  <si>
    <t>[Lang, Xianmei] Chinese Acad Sci, Inst Atmospher Phys, ICCES, Beijing 100029, Peoples R China; Chinese Acad Sci, Inst Atmospher Phys, NZC, Beijing 100029, Peoples R China</t>
  </si>
  <si>
    <t>Chinese Academy of Sciences; Institute of Atmospheric Physics, CAS; Chinese Academy of Sciences; Institute of Atmospheric Physics, CAS</t>
  </si>
  <si>
    <t>Lang, XM (corresponding author), Chinese Acad Sci, Inst Atmospher Phys, ICCES, POB 9804, Beijing 100029, Peoples R China.</t>
  </si>
  <si>
    <t>langxm@mail.iap.ac.cn</t>
  </si>
  <si>
    <t>Wang, Huijun/0000-0002-8979-2328</t>
  </si>
  <si>
    <t>Chinese Academy of Sciences [KZCX2-YW-Q03-3]; National Basic Research Program of China [2009CB421406]; Meteorological Public Welfare Profession of China [GYHY200906018]; National Natural Science Foundation of China [40875048]</t>
  </si>
  <si>
    <t>Chinese Academy of Sciences(Chinese Academy of Sciences); National Basic Research Program of China(National Basic Research Program of China); Meteorological Public Welfare Profession of China; National Natural Science Foundation of China(National Natural Science Foundation of China (NSFC))</t>
  </si>
  <si>
    <t>We would like to sincerely thank the three anonymous reviewers for their valuable comments on the manuscript. Funding was jointly provided by the Knowledge Innovation Project of the Chinese Academy of Sciences under Grant KZCX2-YW-Q03-3, the National Basic Research Program of China under Grant 2009CB421406, the Special Scientific Research Fund of Meteorological Public Welfare Profession of China under Grant GYHY200906018, and the National Natural Science Foundation of China under Grant 40875048.</t>
  </si>
  <si>
    <t>0882-8156</t>
  </si>
  <si>
    <t>1520-0434</t>
  </si>
  <si>
    <t>WEATHER FORECAST</t>
  </si>
  <si>
    <t>Weather Forecast.</t>
  </si>
  <si>
    <t>10.1175/2010WAF2222342.1</t>
  </si>
  <si>
    <t>636KG</t>
  </si>
  <si>
    <t>WOS:000280731800015</t>
  </si>
  <si>
    <t>Lahdes, EO; Farkas, T; Lehtonen, KK</t>
  </si>
  <si>
    <t>Lahdes, Eila O.; Farkas, Tibor; Lehtonen, Kari K.</t>
  </si>
  <si>
    <t>Phospholipid characteristics and neutral lipid fatty acid composition related to temperature and nutritional conditions in ecologically important amphipod species from the northern Baltic Sea</t>
  </si>
  <si>
    <t>Amphipods; Biological membranes; Fatty acids; Phospholipids; Thermal adaptation</t>
  </si>
  <si>
    <t>MONOPOREIA-AFFINIS; PONTOPOREIA-FEMORATA; SEASONAL-VARIATIONS; EUPHAUSIA-SUPERBA; MEMBRANE-STRUCTURE; STRUCTURAL ORDER; ANTARCTIC KRILL; FOOD RESOURCES; GAMMARUS SPP.; MARINE</t>
  </si>
  <si>
    <t>Lipid composition of the benthic, stenothermal amphipod Monoporeia affinis collected from constantly cold deep-water (&gt;80 m) regions of the northern Baltic Sea was analysed in detail to study phospholipid characteristics, its relation to thermal adaptation as well as potential effects of food quality and seasonal variability. Similar measurements were performed on the littoral, eurythermic amphipod Gammarus spp. Fatty acid (FA) composition of storage lipids of Pontoporeia femorata, a sibling species of M. affinis, was also studied. Interannual and interspecies variability in selected FA was observed both in triacylglycerols (TAG) and phospholipids (PL). Differences in monounsaturated vs. polyunsaturated (MUFA/PUFA) FA combinations of phosphatidyl ethanolamine (PE) diacyl and alkylacyl subgroups were also observed. Seasonal variability in M. affinis was considerably lesser compared to Gammarus spp. A literature synopsis shows that in diacyl PE the share of the FA combination MUFA/PUFA increases with lowering body temperature (40-55% in cold-adapted organisms vs. 5-15% in warm adapted ones), signifying that this characteristic is probably in key position concerning regulation of membrane fluidity in temperature adaptation. According to this feature M. affinis belongs to the group of cold-adapted stenothermic species (Group 1) while eurythermic Gammarus spp. settles in the Group 2 (cold-acclimatized) or 3 (warm-acclimatized/tropical) depending on the status of temperature adaptation. Omnivory and/or periodical food item switching is an important strategy in benthic organisms in high-latitude areas characterised by recurring long poor-nutritional periods. Since many benthic species utilise a time-averaged, integrated food source from phytal and animal matter from various sources the FA composition of TAG of the amphipod species measured here do not exclusively point towards any specific feeding mode or food source. In general, using selected FA as food source markers to assess the diet of field collected more-or-less omnivoric species cannot be considered as an optimal approach. The current study gives more insight to the biochemistry of biological membranes of aquatic crustaceans that is essential in estimation of the capacity of the thermal adaptation/acclimatization of organisms as well as the potential effects of food quality on storage lipids. (C) 2010 Elsevier Ky. All rights reserved.</t>
  </si>
  <si>
    <t>[Lahdes, Eila O.; Lehtonen, Kari K.] Finnish Inst Marine Res, FI-0056 Helsinki, Finland; [Farkas, Tibor] Biol Res Ctr, H-6701 Szeged, Hungary</t>
  </si>
  <si>
    <t>Hungarian Academy of Sciences; Hungarian Research Network; HUN-REN Biological Research Center</t>
  </si>
  <si>
    <t>Lahdes, EO (corresponding author), Retkeilijankuja 10 C 53, FI-00980 Helsinki, Finland.</t>
  </si>
  <si>
    <t>eila.lahdes@welho.com</t>
  </si>
  <si>
    <t>Lehtonen, Kari Kullervo/0000-0002-7757-2336</t>
  </si>
  <si>
    <t>Finnish Academy of Sciences; Hungarian Academy of Sciences</t>
  </si>
  <si>
    <t>Finnish Academy of Sciences; Hungarian Academy of Sciences(Hungarian Academy of Sciences)</t>
  </si>
  <si>
    <t>The authors wish to thank warmly Juha Flinkman, Susanna Hyvarinen, Sari Leinio, Carita Sunell-Niskanen, Tuovi Vartio, marine technicians of FIMR and the crew of r/v Aranda for their help in sampling and handling of samples. Erika Zukic, Judith Baunoch are appreciated for their skilful work in the analysis of samples in the laboratory of BRC, and Gwendolyn Barcelo-Coblijn for the participation in data analysis. The work was funded by the Finnish Academy of Sciences and the Hungarian Academy of Sciences as a bilateral exchange grant to E.O. Landes. [SS]</t>
  </si>
  <si>
    <t>JUL 31</t>
  </si>
  <si>
    <t>10.1016/j.jembe.2010.05.006</t>
  </si>
  <si>
    <t>630YU</t>
  </si>
  <si>
    <t>WOS:000280313600007</t>
  </si>
  <si>
    <t>Bay, RC; Rohde, RA; Price, PB; Bramall, NE</t>
  </si>
  <si>
    <t>Bay, R. C.; Rohde, R. A.; Price, P. B.; Bramall, N. E.</t>
  </si>
  <si>
    <t>South Pole paleowind from automated synthesis of ice core records</t>
  </si>
  <si>
    <t>SCALE CLIMATE-CHANGE; SNOW ACCUMULATION; ANTARCTICA; DEPOSITION; TRANSPORT; OCEAN; FIRN; AIR</t>
  </si>
  <si>
    <t>We develop a fully automated reconstruction of South Pole surface roughness as a measure of past wind intensity, using dynamic warping feature recognition and internal consistency checks to reduce subjectivity and analysis time. We synchronized millimeter-resolution optical profiles of deep South Pole glacial dust together with ice core data between the ages 26 and 90 thousand years B. P. The images were captured using a laser dust logger in six boreholes of the IceCube neutrino detector array, a massive construction project in the ice at South Pole and an unusual opportunity for glaciology and paleoclimate research. South Pole surface roughness anticorrelated with curves of Antarctic pCO(2) and temperature, which we propose were connected through secular migrations of the Southern Hemisphere westerlies. This new paleoclimate signal may be direct evidence of atmospheric reorganization during the glacial, helping to deconvolve the thermodynamics and biogeochemistry of climate change. We also found that local intensity of atmospheric circulation roughly tracked the quantity of wind-borne particulates deposited in Antarctic ice during the glacial period, although the largest dust increases were likely furnished by the source regions.</t>
  </si>
  <si>
    <t>[Bay, R. C.; Rohde, R. A.; Price, P. B.] Univ Calif Berkeley, Dept Phys, Berkeley, CA 94720 USA; [Bramall, N. E.] NASA, Ames Res Ctr, Moffett Field, CA 94035 USA</t>
  </si>
  <si>
    <t>University of California System; University of California Berkeley; National Aeronautics &amp; Space Administration (NASA); NASA Ames Research Center</t>
  </si>
  <si>
    <t>Bay, RC (corresponding author), Univ Calif Berkeley, Dept Phys, 366 LeConte Hall, Berkeley, CA 94720 USA.</t>
  </si>
  <si>
    <t>bay@berkeley.edu</t>
  </si>
  <si>
    <t>Bramall, Nathan/0000-0003-4783-5008</t>
  </si>
  <si>
    <t>U.S. National Science Foundation (Office of Polar Programs and Physics Division); University of Wisconsin Alumni Research Foundation; U.S. Department of Energy; National Energy Research Scientific Computing Center; Louisiana Optical Network Initiative (LONI) grid computing resources; National Science and Engineering Research Council, Canada; Swedish Research Council; Swedish Polar Research Secretariat; Swedish National Infrastracture for Computing (SNIC); Knut and Alice Wallenberg Foundation, Sweden; German Ministry for Education and Research (BMBF); Deutsche Forschungsgemeinschaft (DFG); Research Department of Plasmas with Complex Interactions (Bochum), Germany; Fund for Scientific Research (FNRS-FWO); FWO Odysseus programme; Flanders Institute to Encourage Scientific and Technological Research in Industry (IWT); Belgian Federal Science Policy Office (Belspo); Marsden Fund, New Zealand; Japan Society for Promotion of Science (JSPS); Swiss National Science Foundation (SNSF), Switzerland; EU Marie Curie OIF Program; Capes Foundation, Ministry of Education, Brazil; Directorate For Geosciences [0738658] Funding Source: National Science Foundation; Office of Polar Programs (OPP) [0738658] Funding Source: National Science Foundation</t>
  </si>
  <si>
    <t>U.S. National Science Foundation (Office of Polar Programs and Physics Division)(National Science Foundation (NSF)); University of Wisconsin Alumni Research Foundation; U.S. Department of Energy(United States Department of Energy (DOE)); National Energy Research Scientific Computing Center; Louisiana Optical Network Initiative (LONI) grid computing resources; National Science and Engineering Research Council, Canada(Natural Sciences and Engineering Research Council of Canada (NSERC)); Swedish Research Council(Swedish Research Council); Swedish Polar Research Secretariat; Swedish National Infrastracture for Computing (SNIC); Knut and Alice Wallenberg Foundation, Sweden(Knut &amp; Alice Wallenberg Foundation); German Ministry for Education and Research (BMBF)(Federal Ministry of Education &amp; Research (BMBF)); Deutsche Forschungsgemeinschaft (DFG)(German Research Foundation (DFG)); Research Department of Plasmas with Complex Interactions (Bochum), Germany; Fund for Scientific Research (FNRS-FWO)(FWOFonds de la Recherche Scientifique - FNRS); FWO Odysseus programme; Flanders Institute to Encourage Scientific and Technological Research in Industry (IWT)(Institute for the Promotion of Innovation by Science and Technology in Flanders (IWT)); Belgian Federal Science Policy Office (Belspo)(Belgian Federal Science Policy Office); Marsden Fund, New Zealand(Royal Society of New ZealandMarsden Fund (NZ)); Japan Society for Promotion of Science (JSPS)(Ministry of Education, Culture, Sports, Science and Technology, Japan (MEXT)Japan Society for the Promotion of Science); Swiss National Science Foundation (SNSF), Switzerland(Swiss National Science Foundation (SNSF)); EU Marie Curie OIF Program(European Union (EU)); Capes Foundation, Ministry of Education, Brazil(Coordenacao de Aperfeicoamento de Pessoal de Nivel Superior (CAPES)); Directorate For Geosciences(National Science Foundation (NSF)NSF - Directorate for Geosciences (GEO)); Office of Polar Programs (OPP)(National Science Foundation (NSF)NSF - Directorate for Geosciences (GEO))</t>
  </si>
  <si>
    <t>We thank Tim Markle, Ed Brook, Jakob Schwander, Jinho Ahn, Kirill Filimonov, Eric Wolff, and Bob Hawley for insightful discussion. Three anonymous reviewers improved the paper. We are grateful to the members of the IceCube collaboration for their support and splendid performance, in particular Tom Ham, Mark Thoma, Andres Morey, and the Enhanced Hot Water Drill team. This research was supported by the U.S. National Science Foundation (Office of Polar Programs and Physics Division), University of Wisconsin Alumni Research Foundation, U.S. Department of Energy, National Energy Research Scientific Computing Center, Louisiana Optical Network Initiative (LONI) grid computing resources; National Science and Engineering Research Council, Canada; Swedish Research Council, Swedish Polar Research Secretariat, Swedish National Infrastracture for Computing (SNIC), Knut and Alice Wallenberg Foundation, Sweden; German Ministry for Education and Research (BMBF), Deutsche Forschungsgemeinschaft (DFG), Research Department of Plasmas with Complex Interactions (Bochum), Germany; Fund for Scientific Research (FNRS-FWO), FWO Odysseus programme, Flanders Institute to Encourage Scientific and Technological Research in Industry (IWT), Belgian Federal Science Policy Office (Belspo); Marsden Fund, New Zealand; Japan Society for Promotion of Science (JSPS); the Swiss National Science Foundation (SNSF), Switzerland; EU Marie Curie OIF Program; and Capes Foundation, Ministry of Education, Brazil.</t>
  </si>
  <si>
    <t>D14126</t>
  </si>
  <si>
    <t>10.1029/2009JD013741</t>
  </si>
  <si>
    <t>634MW</t>
  </si>
  <si>
    <t>WOS:000280587400005</t>
  </si>
  <si>
    <t>Thrush, SF; Hewitt, JE; Cummings, VJ; Norkko, A; Chiantore, M</t>
  </si>
  <si>
    <t>Thrush, Simon F.; Hewitt, Judi E.; Cummings, Vonda J.; Norkko, Alf; Chiantore, Mariachiara</t>
  </si>
  <si>
    <t>β-Diversity and Species Accumulation in Antarctic Coastal Benthos: Influence of Habitat, Distance and Productivity on Ecological Connectivity</t>
  </si>
  <si>
    <t>LATITUDINAL GRADIENTS; MCMURDO SOUND; PATTERNS; BIODIVERSITY; SCALE; RESILIENCE; RICHNESS; HOMOGENIZATION; VARIABILITY; RECRUITMENT</t>
  </si>
  <si>
    <t>High Antarctic coastal marine environments are comparatively pristine with strong environmental gradients, which make them important places to investigate biodiversity relationships. Defining how different environmental features contribute to shifts in beta-diversity is especially important as these shifts reflect both spatio-temporal variations in species richness and the degree of ecological separation between local and regional species pools. We used complementary techniques (species accumulation models, multivariate variance partitioning and generalized linear models) to assess how the roles of productivity, bio-physical habitat heterogeneity and connectivity change with spatial scales from metres to 100's of km. Our results demonstrated that the relative importance of specific processes influencing species accumulation and beta-diversity changed with increasing spatial scale, and that patterns were never driven by only one factor. Bio-physical habitat heterogeneity had a strong influence on beta-diversity at scales &lt;290 km, while the effects of productivity were low and significant only at scales &gt;40 km. Our analysis supports the emphasis on the analysis of diversity relationships across multiple spatial scales and highlights the unequal connectivity of individual sites to the regional species pool. This has important implications for resilience to habitat loss and community homogenisation, especially for Antarctic benthic communities where rates of recovery from disturbance are slow, there is a high ratio of poor-dispersing and brooding species, and high biogenic habitat heterogeneity and spatio-temporal variability in primary production make the system vulnerable to disturbance. Consequently, large areas need to be included within marine protected areas for effective management and conservation of these special ecosystems in the face of increasing anthropogenic disturbance.</t>
  </si>
  <si>
    <t>[Thrush, Simon F.; Hewitt, Judi E.] Natl Inst Water &amp; Atmospher Res, Hamilton, New Zealand; [Thrush, Simon F.; Chiantore, Mariachiara] Univ Genoa, DipTeRis, Genoa, Italy; [Cummings, Vonda J.] Natl Inst Water &amp; Atmospher Res, Wellington, New Zealand; [Norkko, Alf] Finnish Environm Inst SYKE, Ctr Marine Res, Helsinki, Finland; [Norkko, Alf] Univ Gothenburg, Dept Marine Ecol Kristineberg, Fiskebackskil, Sweden</t>
  </si>
  <si>
    <t>National Institute of Water &amp; Atmospheric Research (NIWA) - New Zealand; University of Genoa; National Institute of Water &amp; Atmospheric Research (NIWA) - New Zealand; Finnish Environment Institute; University of Gothenburg</t>
  </si>
  <si>
    <t>Thrush, SF (corresponding author), Natl Inst Water &amp; Atmospher Res, Hamilton, New Zealand.</t>
  </si>
  <si>
    <t>s.thrush@niwa.cri.nz</t>
  </si>
  <si>
    <t>Norkko, Alf/K-2341-2019; Norkko, Alf/L-8736-2019; Norkko, Alf/A-1856-2012; Chiantore, Mariachiara/C-7070-2017</t>
  </si>
  <si>
    <t>Cummings, Vonda/0000-0003-1076-3995; Norkko, Alf/0000-0002-9741-4458; Thrush, Simon/0000-0002-4005-3882; Chiantore, Mariachiara/0000-0002-5862-1470</t>
  </si>
  <si>
    <t>New Zealand Ministry of Fisheries [ZBD2001/02, ZBD2002/01, ZBD2006/03]; National Institute of Water and Atmospheric Research; NZ Foundation for Research Science and Technology [COX01707]; Marie Curie International Incoming Fellowship [FP7-PEOPLE-2007-4-2-IIF-ENV221065]</t>
  </si>
  <si>
    <t>New Zealand Ministry of Fisheries; National Institute of Water and Atmospheric Research; NZ Foundation for Research Science and Technology(New Zealand Foundation for Research, Science and Technology); Marie Curie International Incoming Fellowship(European Union (EU))</t>
  </si>
  <si>
    <t>This work has been funded by the New Zealand Ministry of Fisheries (ZBD2001/02, ZBD2002/01 and ZBD2006/03), National Institute of Water and Atmospheric Research-Non-Specific Output Funding and the NZ Foundation for Research Science and Technology International Polar Year project COX01707. Write up was partially funded by Marie Curie International Incoming Fellowship (FP7-PEOPLE-2007-4-2-IIF-ENV221065) to SFT. The funders had no role in study design, data collection and analysis, decision to publish, or preparation of the manuscript.</t>
  </si>
  <si>
    <t>JUL 30</t>
  </si>
  <si>
    <t>e11899</t>
  </si>
  <si>
    <t>10.1371/journal.pone.0011899</t>
  </si>
  <si>
    <t>633QZ</t>
  </si>
  <si>
    <t>WOS:000280520300014</t>
  </si>
  <si>
    <t>Cai, WJ; Chen, LQ; Chen, BS; Gao, ZY; Lee, SH; Chen, JF; Pierrot, D; Sullivan, K; Wang, YC; Hu, XP; Huang, WJ; Zhang, YH; Xu, SQ; Murata, A; Grebmeier, JM; Jones, EP; Zhang, HS</t>
  </si>
  <si>
    <t>Cai, Wei-Jun; Chen, Liqi; Chen, Baoshan; Gao, Zhongyong; Lee, Sang H.; Chen, Jianfang; Pierrot, Denis; Sullivan, Kevin; Wang, Yongchen; Hu, Xinping; Huang, Wei-Jen; Zhang, Yuanhui; Xu, Suqing; Murata, Akihiko; Grebmeier, Jacqueline M.; Jones, E. Peter; Zhang, Haisheng</t>
  </si>
  <si>
    <t>Decrease in the CO2 Uptake Capacity in an Ice-Free Arctic Ocean Basin</t>
  </si>
  <si>
    <t>SPATIAL VARIABILITY; CARBON-DIOXIDE; ACIDIFICATION; SHELF; PHYTOPLANKTON</t>
  </si>
  <si>
    <t>It has been predicted that the Arctic Ocean will sequester much greater amounts of carbon dioxide (CO2) from the atmosphere as a result of sea ice melt and increasing primary productivity. However, this prediction was made on the basis of observations from either highly productive ocean margins or ice-covered basins before the recent major ice retreat. We report here a high-resolution survey of sea-surface CO2 concentration across the Canada Basin, showing a great increase relative to earlier observations. Rapid CO2 invasion from the atmosphere and low biological CO2 drawdown are the main causes for the higher CO2, which also acts as a barrier to further CO2 invasion. Contrary to the current view, we predict that the Arctic Ocean basin will not become a large atmospheric CO2 sink under ice-free conditions.</t>
  </si>
  <si>
    <t>[Cai, Wei-Jun; Chen, Baoshan; Wang, Yongchen; Hu, Xinping; Huang, Wei-Jen] Univ Georgia, Dept Marine Sci, Athens, GA 30602 USA; [Chen, Liqi; Gao, Zhongyong; Zhang, Yuanhui; Xu, Suqing] SOA, Inst Oceanog 3, Key Lab Global Change &amp; Marine Atmospher Chem, Xiamen 361005, Peoples R China; [Lee, Sang H.] Korea Polar Res Inst, Inchon 406840, South Korea; [Chen, Jianfang; Zhang, Haisheng] SOA, Inst Oceanog 2, Lab Marine Ecosyst &amp; Biogeochem, Hangzhou 310012, Zhejiang, Peoples R China; [Pierrot, Denis; Sullivan, Kevin] NOAA, Atlantic Oceanog &amp; Meteorol Lab, Ocean Chem Div, Miami, FL 33149 USA; [Pierrot, Denis; Sullivan, Kevin] Univ Miami, Cooperat Inst Marine &amp; Atmospher Sci, Miami, FL 33149 USA; [Murata, Akihiko] Japan Agcy Marine Earth Sci &amp; Technol, Res Inst Global Change, Yokosuka, Kanagawa 2370061, Japan; [Grebmeier, Jacqueline M.] Univ Maryland, Ctr Environm Sci, Chesapeake Biol Lab, Solomons, MD 20688 USA; [Jones, E. Peter] Bedford Inst Oceanog, Ocean Sci Div, Dept Fisheries &amp; Oceans, Dartmouth, NS B2Y 4A2, Canada</t>
  </si>
  <si>
    <t>University System of Georgia; University of Georgia; Third Institute of Oceanography, Ministry of Natural Resources; Korea Polar Research Institute (KOPRI); Korea Institute of Ocean Science &amp; Technology (KIOST); National Oceanic Atmospheric Admin (NOAA) - USA; Atlantic Oceanographic &amp; Meteorological Laboratory (AOML); University of Miami; Japan Agency for Marine-Earth Science &amp; Technology (JAMSTEC); University System of Maryland; University of Maryland Center for Environmental Science; Fisheries &amp; Oceans Canada; Bedford Institute of Oceanography</t>
  </si>
  <si>
    <t>Cai, WJ (corresponding author), Univ Georgia, Dept Marine Sci, Athens, GA 30602 USA.</t>
  </si>
  <si>
    <t>wcai@uga.edu</t>
  </si>
  <si>
    <t>wang, yan/GSE-6489-2022; Pierrot, Denis/AAH-7687-2020; Pierrot, Denis/A-7459-2014; Cai, Wei-Jun/C-1361-2013; Grebmeier, Jacqueline/L-9805-2013; Hu, Xinping/F-6282-2011</t>
  </si>
  <si>
    <t>Pierrot, Denis/0000-0002-0374-3825; Grebmeier, Jacqueline/0000-0001-7624-3568; Hu, Xinping/0000-0002-0613-6545; Huang, Wei-Jen/0000-0002-1713-2515; Cai, Wei-Jun/0000-0003-3606-8325</t>
  </si>
  <si>
    <t>Ministry of Science and Technology of China [2009DFA22920]; Natural Science Foundation of China [40531007]; U.S. National Oceanic and Atmospheric Administration [NA05OAR4311161, NA09OAR4310078]; NSF [ARC-0909330]; Korean Arctic Research project [PM09020]; Chinese Arctic and Antarctic Administration; Polar Research Institute of China; Directorate For Geosciences; Division Of Polar Programs [0909330] Funding Source: National Science Foundation</t>
  </si>
  <si>
    <t>Ministry of Science and Technology of China(Ministry of Science and Technology, China); Natural Science Foundation of China(National Natural Science Foundation of China (NSFC)); U.S. National Oceanic and Atmospheric Administration(National Oceanic Atmospheric Admin (NOAA) - USA); NSF(National Science Foundation (NSF)); Korean Arctic Research project; Chinese Arctic and Antarctic Administration; Polar Research Institute of China; Directorate For Geosciences; Division Of Polar Programs(National Science Foundation (NSF)NSF - Directorate for Geosciences (GEO))</t>
  </si>
  <si>
    <t>We thank R. Wanninkhof, P. Yager, and N. Bates for discussions; J. Zhao for the salinity and temperature data; and H. Li and S. Gao for sample collection. Funding for the CHINARE CO2 survey and subsequent synthesis was provided by the Ministry of Science and Technology of China (2009DFA22920), the Natural Science Foundation of China (40531007), and the U.S. National Oceanic and Atmospheric Administration (NA05OAR4311161 and NA09OAR4310078) and NSF (ARC-0909330). The measurements for primary production of phytoplankton were funded by a Korean Arctic Research project (PM09020). We also thank the Chinese Arctic and Antarctic Administration and the Polar Research Institute of China for their support. We are grateful to the captain and crew of icebreaker Xuelong.</t>
  </si>
  <si>
    <t>10.1126/science.1189338</t>
  </si>
  <si>
    <t>633EX</t>
  </si>
  <si>
    <t>WOS:000280483500034</t>
  </si>
  <si>
    <t>Arthern, RJ; Vaughan, DG; Rankin, AM; Mulvaney, R; Thomas, ER</t>
  </si>
  <si>
    <t>Arthern, Robert J.; Vaughan, David G.; Rankin, Andrew M.; Mulvaney, Robert; Thomas, Elizabeth R.</t>
  </si>
  <si>
    <t>In situ measurements of Antarctic snow compaction compared with predictions of models</t>
  </si>
  <si>
    <t>GREENLAND ICE-SHEET; FIRN-DENSIFICATION; ACCUMULATION VARIABILITY; BERKNER ISLAND; POLAR FIRN; DENSITY; CREEP; ELEVATION; CORE; MICROSTRUCTURE</t>
  </si>
  <si>
    <t>We describe in situ measurements of the compaction of Antarctic snow. At three different sites in Antarctica, the rate of compaction was measured hourly, over various depth intervals, for up to two years. These measurements show that compaction at each of the sites occurs through slow, viscous deformation of the snowpack, with no significant contribution from sudden collapse of weak layers. The measured rates of compaction at the coldest site exhibit a strong seasonality, consistent with a temperature-dependent sintering mechanism having activation energy of 70 kJ mol(-1). At the two warmer sites, activation energies of 80 and 120 kJ mol(-1) provide slightly better agreement with the observations. Published models of snow compaction underestimate the temperature sensitivity. A good match to our observations is provided by a semi-empirical model, based on rate equations for lattice-diffusion (Nabarro-Herring) creep of material around pores, combined with normal grain growth. This model also provides a theoretical basis for a widely used empirical model of snow compaction. The rate coefficient for lattice-diffusion inferred from our measurements is considerably higher than published values, however, and other creep mechanisms cannot be ruled out.</t>
  </si>
  <si>
    <t>[Arthern, Robert J.; Vaughan, David G.; Rankin, Andrew M.; Mulvaney, Robert; Thomas, Elizabeth R.] British Antarctic Survey, Nat Environm Res Council, Cambridge CB3 0ET, England</t>
  </si>
  <si>
    <t>Arthern, RJ (corresponding author), British Antarctic Survey, Nat Environm Res Council, Madingley Rd, Cambridge CB3 0ET, England.</t>
  </si>
  <si>
    <t>rart@bas.ac.uk</t>
  </si>
  <si>
    <t>Vaughan, David/C-8348-2011; Thomas, Elizabeth Ruth/ADF-3660-2022; Mulvaney, Robert/K-3929-2012</t>
  </si>
  <si>
    <t>Thomas, Elizabeth Ruth/0000-0002-3010-6493; Mulvaney, Robert/0000-0002-5372-8148; Vaughan, David/0000-0002-9065-0570</t>
  </si>
  <si>
    <t>Natural Environment Research Council, Antarctic Funding Initiative; NERC [bas0100027] Funding Source: UKRI; Natural Environment Research Council [bas0100027, NER/G/S/2002/00003] Funding Source: researchfish</t>
  </si>
  <si>
    <t>Natural Environment Research Council,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</si>
  <si>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Dougal Ranford, Andrew Barker and Neil Farnell, for invaluable assistance in the field. Thanks to all at British Antarctic Survey operations for logistic support, to Phil Anderson, Russ Ladkin and Cathy Moore for weather station support, to Keith Nicholls for logger software, Triona McGrath for ice core chemical analyses, and Gordon Hamilton for helpful advice. The research was funded under the Natural Environment Research Council, Antarctic Funding Initiative.</t>
  </si>
  <si>
    <t>JUL 29</t>
  </si>
  <si>
    <t>F03011</t>
  </si>
  <si>
    <t>10.1029/2009JF001306</t>
  </si>
  <si>
    <t>634ND</t>
  </si>
  <si>
    <t>WOS:000280588800001</t>
  </si>
  <si>
    <t>Hara, K; Osada, K; Yabuki, M; Hashida, G; Yamanouchi, T; Hayashi, M; Shiobara, M; Nishita, C; Wada, M</t>
  </si>
  <si>
    <t>Hara, K.; Osada, K.; Yabuki, M.; Hashida, G.; Yamanouchi, T.; Hayashi, M.; Shiobara, M.; Nishita, C.; Wada, M.</t>
  </si>
  <si>
    <t>Haze episodes at Syowa Station, coastal Antarctica: Where did they come from?</t>
  </si>
  <si>
    <t>ARCTIC HAZE; AIR-POLLUTION; OPTICAL-PROPERTIES; BOUNDARY-LAYER; SURFACE OZONE; ASTAR 2000; AEROSOL; DEPLETION; PARTICLES; CARBON</t>
  </si>
  <si>
    <t>During our aerosol measurement program at Syowa Station, Antarctica, in 2004-2007, some low-visibility (haze) phenomena were observed during winter-spring under conditions with low winds and without drifting snow and fog. During Antarctic haze phenomena, the number concentration of aerosol particles and black carbon concentration increased by 1 to 2 orders higher relative to background conditions at Syowa Station, whereas surface O-3 concentration dropped simultaneously, especially after polar sunrise. Chemical analysis showed that major aerosol constituents in the haze phenomena were sea salt (e.g., Na+, Cl-). Trajectory analysis and the Navy Aerosol Analysis and Prediction System model showed that plumes from biomass burning in South America and southern Africa were transported to Syowa Station, on the Antarctic coast, because of the eastward (occasionally westward) approach of cyclones in the Southern Ocean and subsequent poleward flow. This poleward flow from midlatitudes of the plume and injection of sea-salt particles during the transport might engender Antarctic haze phenomena at Syowa Station. Differences of O-3 concentration between the background and the haze conditions tended to be larger in spring (after polar sunrise) than in winter. Enhancement of sea-salt particles in the haze events can serve important roles in providing additional sources of reactive halogen species.</t>
  </si>
  <si>
    <t>[Hara, K.; Yabuki, M.; Hashida, G.; Yamanouchi, T.; Shiobara, M.; Wada, M.] Natl Inst Polar Res, Tokyo 1908518, Japan; [Osada, K.; Nishita, C.] Nagoya Univ, Grad Sch Environm Studies, Nagoya, Aichi 4648601, Japan; [Hayashi, M.] Fukuoka Univ, Dept Earth Syst Sci, Fac Sci, Fukuoka 8140180, Japan; [Yabuki, M.] Japan Soc Promot Sci, Tokyo, Japan</t>
  </si>
  <si>
    <t>Research Organization of Information &amp; Systems (ROIS); National Institute of Polar Research (NIPR) - Japan; Nagoya University; Fukuoka University; Japan Society for the Promotion of Science</t>
  </si>
  <si>
    <t>Hara, K (corresponding author), Fukuoka Univ, Dept Earth Syst Sci, Fac Sci, Fukuoka 8140180, Japan.</t>
  </si>
  <si>
    <t>harakei@fukuoka-u.ac.jp</t>
  </si>
  <si>
    <t>Yamanouchi, Takashi/P-2041-2015; Osada, Kazuo/I-6395-2014; Hara, Keiichiro/N-8264-2018</t>
  </si>
  <si>
    <t>Osada, Kazuo/0000-0003-3100-5835; Hara, Keiichiro/0000-0001-7440-7776</t>
  </si>
  <si>
    <t>Observation project of global atmospheric change in the Antarctic for JARE [43-47]; Ministry of Education, Culture, Sports, Science and Technology of Japan [16253001, 15310012]; Grants-in-Aid for Scientific Research [16253001, 22310013, 15310012] Funding Source: KAKEN</t>
  </si>
  <si>
    <t>Observation project of global atmospheric change in the Antarctic for JARE;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</si>
  <si>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45, 46, and 47th Japanese Antarctic Research Expedition for assistance with aerosol measurements at Syowa. We thank G. Shaw of the University of Alaska, Fairbanks, for useful and helpful discussion. The authors thank K. Suzuki for help drawing the plots of geopotential height. This study was supported by Observation project of global atmospheric change in the Antarctic for JARE 43-47. This work was also supported by a Grant-in-Aid (16253001, PI: T. Yamanouchi, and 15310012, PI: K. Osada) from the Ministry of Education, Culture, Sports, Science and Technology of Japan. The authors gratefully acknowledge the NOAA Air Resources Laboratory (ARL) for provision of the HYSPLIT transport and dispersion model and/or READY Web site (http://www.arl.noaa.gov/ready.html) used in this publication. High-resolution meteorological data (1 min) were provided from Japan Meteorological Agency.</t>
  </si>
  <si>
    <t>JUL 28</t>
  </si>
  <si>
    <t>D14205</t>
  </si>
  <si>
    <t>10.1029/2009JD012582</t>
  </si>
  <si>
    <t>634MS</t>
  </si>
  <si>
    <t>WOS:000280586900001</t>
  </si>
  <si>
    <t>de Laat, ATJ; van der A, RJ; Allaart, MAF; van Weele, M; Benitez, GC; Casiccia, C; Leme, NMP; Quel, E; Salvador, J; Wolfram, E</t>
  </si>
  <si>
    <t>de Laat, A. T. J.; van der A, R. J.; Allaart, M. A. F.; van Weele, M.; Benitez, G. C.; Casiccia, C.; Leme, N. M. Paes; Quel, E.; Salvador, J.; Wolfram, E.</t>
  </si>
  <si>
    <t>Extreme sunbathing: Three weeks of small total O3 columns and high UV radiation over the southern tip of South America during the 2009 Antarctic O3 hole season</t>
  </si>
  <si>
    <t>TOTAL-OZONE; MODEL</t>
  </si>
  <si>
    <t>This paper presents an analysis of satellite and ground-based measurements of total O-3 columns and the UV index of a unique event during the 2009 Antarctic O-3 hole season. From 11 to 30 November 2009 the Antarctic vortex was located just south of the southern tip of South America rather than at its climatological position over Antarctica. Analysis of 30 years of assimilated total O-3 column and UV index measurements shows that this 20-day event was unique in the history of the ozone hole for these latitudes. During this period, small total O-3 columns and large UV index values were observed over the southern tip of South America. Comparison of ground-based and satellite measurements of total O-3 columns and satellite based calculations of the UVI index - never designed nor validated for such extreme Southern Hemisphere conditions - show excellent agreement. Citation: de Laat, A. T. J., R. J. van der A, M. A. F. Allaart, M. van Weele, G. C. Benitez, C. Casiccia, N. M. Paes Leme, E. Quel, J. Salvador, and E. Wolfram (2010), Extreme sunbathing: Three weeks of small total O-3 columns and high UV radiation over the southern tip of South America during the 2009 Antarctic O-3 hole season, Geophys. Res. Lett., 37, L14805, doi:10.1029/2010GL043699.</t>
  </si>
  <si>
    <t>[de Laat, A. T. J.; van der A, R. J.; Allaart, M. A. F.; van Weele, M.] Royal Netherlands Meteorol Inst, NL-3730 AE De Bilt, Netherlands; [Benitez, G. C.] Observ Cent Buenos Aires, Serv Meteorol Nacl, Buenos Aires, DF, Argentina; [Casiccia, C.] Univ Magallanes, Lab Monitoreo Ozono &amp; Radiac Ultravioleta, Magallanes, Chile; [Leme, N. M. Paes] Natl Inst Space Res, Ozone Lab, BR-12227010 Sao Jose Dos Campos, SP, Brazil; [Quel, E.; Salvador, J.; Wolfram, E.] Consejo Nacl Invest Cient &amp; Tecn, Div Lidar, CEILAP, CITEFA, Rio Gallegos, Argentina; [Benitez, G. C.] Pontificia Univ Catolica Argentina, PEPACG, Buenos Aires, DF, Argentina</t>
  </si>
  <si>
    <t>Royal Netherlands Meteorological Institute; Universidad de Magallanes; Instituto Nacional de Pesquisas Espaciais (INPE); Consejo Nacional de Investigaciones Cientificas y Tecnicas (CONICET); Pontificia Universidad Catolica Argentina</t>
  </si>
  <si>
    <t>de Laat, ATJ (corresponding author), Royal Netherlands Meteorol Inst, POB 201, NL-3730 AE De Bilt, Netherlands.</t>
  </si>
  <si>
    <t>laatdej@knmi.nl</t>
  </si>
  <si>
    <t>Salvador, Jacobo/ISV-5414-2023</t>
  </si>
  <si>
    <t>de Laat, Jos/0000-0003-1078-5334</t>
  </si>
  <si>
    <t>Netherlands Space Office; Japan International Cooperation Agency (JICA); GAW Ushuaia</t>
  </si>
  <si>
    <t>The work performed was partly financed by Netherlands Space Office within the SCIAVISIE project. The authors thank the Japan International Cooperation Agency (JICA), for their support in the experimental site in Rio Gallegos. Special thanks also to Manuel Cupeiro, Chief of GAW Ushuaia and Maria Elena Barlasina for their support.</t>
  </si>
  <si>
    <t>JUL 27</t>
  </si>
  <si>
    <t>L14805</t>
  </si>
  <si>
    <t>10.1029/2010GL043699</t>
  </si>
  <si>
    <t>634LZ</t>
  </si>
  <si>
    <t>WOS:000280584700001</t>
  </si>
  <si>
    <t>Gagliardini, O; Durand, G; Zwinger, T; Hindmarsh, RCA; Le Meur, E</t>
  </si>
  <si>
    <t>Gagliardini, O.; Durand, G.; Zwinger, T.; Hindmarsh, R. C. A.; Le Meur, E.</t>
  </si>
  <si>
    <t>Coupling of ice-shelf melting and buttressing is a key process in ice-sheets dynamics</t>
  </si>
  <si>
    <t>Increase in ice-shelf melting is generally presumed to have triggered recent coastal ice-sheet thinning. Using a full-Stokes finite element model which includes a proper description of the grounding line dynamics, we investigate the impact of melting below ice shelves. We argue that the influence of ice-shelf melting on the ice-sheet dynamics induces a complex response, and the first naive view that melting inevitably leads to loss of grounded ice is erroneous. We demonstrate that melting acts directly on the magnitude of the buttressing force by modifying both the area experiencing lateral resistance and the ice-shelf velocity, indicating that the decrease of back stress imposed by the ice-shelf is the prevailing cause of inland dynamical thinning. We further show that feedback from melting and buttressing forces can lead to nontrivial results, as an increase in the average melt rate may lead to inland ice thickening and grounding line advance. Citation: Gagliardini, O., G. Durand, T. Zwinger, R. C. A. Hindmarsh, and E. Le Meur (2010), Coupling of ice-shelf melting and buttressing is a key process in ice-sheets dynamics, Geophys. Res. Lett., 37, L14501, doi:10.1029/2010GL043334.</t>
  </si>
  <si>
    <t>[Gagliardini, O.; Durand, G.; Le Meur, E.] Univ Grenoble 1, CNRS, LGGE, F-38402 St Martin Dheres, France; [Hindmarsh, R. C. A.] British Antarctic Survey, NERC, Sci Programmes, Cambridge CB3 0ET, England; [Zwinger, T.] IT Ctr Sci Ltd, CSC, FI-02101 Espoo, Finland</t>
  </si>
  <si>
    <t>Communaute Universite Grenoble Alpes; Universite Grenoble Alpes (UGA); Centre National de la Recherche Scientifique (CNRS); UK Research &amp; Innovation (UKRI); Natural Environment Research Council (NERC); NERC British Antarctic Survey; Finnish IT center for science</t>
  </si>
  <si>
    <t>Gagliardini, O (corresponding author), Univ Grenoble 1, CNRS, LGGE, BP 96, F-38402 St Martin Dheres, France.</t>
  </si>
  <si>
    <t>gagliar@lgge.obs-grenoble.fr; durand@lgge.obs-grenoble.fr; zwinger@csc.fi; rcah@bas.ac.uk; lemeur@lgge.obs-grenoble.fr</t>
  </si>
  <si>
    <t>Hindmarsh, Richard/N-1195-2019; Gagliardini, Olivier/GQQ-1222-2022; Zwinger, Thomas/H-5163-2018</t>
  </si>
  <si>
    <t>Hindmarsh, Richard/0000-0003-1633-2416; Gagliardini, Olivier/0000-0001-9162-3518; Durand, Gael/0000-0001-8979-2355; Zwinger, Thomas/0000-0003-3360-4401</t>
  </si>
  <si>
    <t>Agence National de la Recherche (ANR) [ANR-06-VULN-016-01]; European Commission [226375]; NERC [bas0100027] Funding Source: UKRI; Natural Environment Research Council [bas0100027] Funding Source: researchfish</t>
  </si>
  <si>
    <t>Agence National de la Recherche (ANR)(Agence Nationale de la Recherche (ANR)); European Commission(European Union (EU)European Commission Joint Research Centre); NERC(UK Research &amp; Innovation (UKRI)Natural Environment Research Council (NERC)); Natural Environment Research Council(UK Research &amp; Innovation (UKRI)Natural Environment Research Council (NERC))</t>
  </si>
  <si>
    <t>This work was supported by both the DACOTA project (ANR-06-VULN-016-01) funded by the Agence National de la Recherche (ANR) and the ice2sea project funded by the European Commission's 7th Framework Programme through grant 226375 (ice2sea publication 004). Computations presented in this paper were performed at the Service Commun de Calcul Intensif de l'Observatoire de Grenoble (SCCI). We appreciate helpful comments from A. Vieli, C. Schoof and two anonymous reviewers who considerably improved the final quality of our paper.</t>
  </si>
  <si>
    <t>JUL 24</t>
  </si>
  <si>
    <t>L14501</t>
  </si>
  <si>
    <t>10.1029/2010GL043334</t>
  </si>
  <si>
    <t>631DI</t>
  </si>
  <si>
    <t>WOS:000280326400001</t>
  </si>
  <si>
    <t>Hibbins, RE; Marsh, OJ; McDonald, AJ; Jarvis, MJ</t>
  </si>
  <si>
    <t>Hibbins, R. E.; Marsh, O. J.; McDonald, A. J.; Jarvis, M. J.</t>
  </si>
  <si>
    <t>A new perspective on the longitudinal variability of the semidiurnal tide</t>
  </si>
  <si>
    <t>LOWER THERMOSPHERE; 12-HOUR OSCILLATION; WIND MEASUREMENTS; UPPER MESOSPHERE; SOUTH-POLE; MEAN WINDS; MF RADAR; ANTARCTICA; WAVE; SUPERDARN</t>
  </si>
  <si>
    <t>The longitudinal variability of the semidiurnal tide in the Antarctic upper mesosphere is investigated by comparison of observations from two radars at approximately opposite sides of Antarctica. Under the assumption that the tide is composed of an S = 2 (migrating) and S = 1 (westward-propagating, non-migrating) component only, the relative phases of the components are shown to vary with season such that the waves are typically in constructive interference during the winter (summer) months at longitudes around 0 degrees E (180 degrees E). We show that this has profound effects on the seasonal behaviour of the semidiurnal tide around 78 degrees S dependent on the longitude, and that no single-station observations at this latitude can be considered representative of a zonal mean. The superposition of these two waves is used to interpret differences in previously-published ground-based climatologies of the tide. Citation: Hibbins, R. E., O. J. Marsh, A. J. McDonald, and M. J. Jarvis (2010), A new perspective on the longitudinal variability of the semidiurnal tide, Geophys. Res. Lett., 37, L14804, doi:10.1029/2010GL044015.</t>
  </si>
  <si>
    <t>[Hibbins, R. E.; Marsh, O. J.; Jarvis, M. J.] British Antarctic Survey, Cambridge CB3 0ET, England; [Marsh, O. J.; McDonald, A. J.] Univ Canterbury, Dept Phys &amp; Astron, Christchurch 8020, New Zealand</t>
  </si>
  <si>
    <t>UK Research &amp; Innovation (UKRI); Natural Environment Research Council (NERC); NERC British Antarctic Survey; University of Canterbury</t>
  </si>
  <si>
    <t>Hibbins, RE (corresponding author), British Antarctic Survey, Madingley Rd, Cambridge CB3 0ET, England.</t>
  </si>
  <si>
    <t>rehi@bas.ac.uk</t>
  </si>
  <si>
    <t>Marsh, Oliver J/K-7436-2014</t>
  </si>
  <si>
    <t>McDonald, Adrian/0000-0002-1456-6254; Marsh, Oliver/0000-0001-7874-514X; Hibbins, Robert/0000-0002-6867-2255</t>
  </si>
  <si>
    <t>UK Natural Environment Research Council; US National Science Foundation [DPP-8602975]; NERC [bas0100023] Funding Source: UKRI; Natural Environment Research Council [bas0100023] Funding Source: researchfish</t>
  </si>
  <si>
    <t>UK Natural Environment Research Council(UK Research &amp; Innovation (UKRI)Natural Environment Research Council (NERC)); US National Science Foundation(National Science Foundation (NSF)); NERC(UK Research &amp; Innovation (UKRI)Natural Environment Research Council (NERC)); Natural Environment Research Council(UK Research &amp; Innovation (UKRI)Natural Environment Research Council (NERC))</t>
  </si>
  <si>
    <t>We thank the Halley SuperDARN PI, M. Freeman, and the engineering and data management staff at the British Antarctic Survey for the maintenance and operation of the Halley SuperDARN radar over the years. The radar was developed under funding from the UK Natural Environment Research Council and US National Science Foundation (grant DPP-8602975). Logistic support for the Scott Base MF radar is provided by Antarctica New Zealand. We acknowledge the work by the Scott Base and University of Canterbury technical staff to ensure continuous operation.</t>
  </si>
  <si>
    <t>L14804</t>
  </si>
  <si>
    <t>10.1029/2010GL044015</t>
  </si>
  <si>
    <t>WOS:000280326400006</t>
  </si>
  <si>
    <t>Prabhu, A; Mahajan, PN; Khaladkar, RM; Chipade, MD</t>
  </si>
  <si>
    <t>Prabhu, Amita; Mahajan, P. N.; Khaladkar, R. M.; Chipade, M. D.</t>
  </si>
  <si>
    <t>Role of Antarctic circumpolar wave in modulating the extremes of Indian summer monsoon rainfall</t>
  </si>
  <si>
    <t>SEA-ICE EXTENT; VARIABILITY</t>
  </si>
  <si>
    <t>Sea ice extent (SIE) over different sectors of Antarctica displays intra-seasonal and inter-annual variability. It is reflected in different atmospheric and oceanic parameters, which are characterized as the manifestation of Antarctic circumpolar wave (ACW). Due to its large areal extent, ACW is linked to the global climate. Another global phenomenon, which is instrumental for the well being of vast population of the Asian sub-continent, is the Indian summer monsoon season (June-September). The quantum of all India summer monsoon rainfall (AISMR) received during the season decides the overall economic health of the country with the extremes causing disastrous situation, in either way. In the present study, the cases of the excess monsoon and drought years of the recent decades are considered to determine the possible role played by the ACW in influencing the monsoon rainfall. The correlation analyses, carried out for a period of 26 years from 1980 to 2005, show that the SIE over the Bellingshausen and Amundsen Sea Sector (BASS) during the austral summer (October-December) has an inverse relationship with the AISMR of the following year. Further, it is revealed that the sea surface temperature and the upper tropospheric meridional transport of heat over the southeast Pacific, during the period preceding the monsoon season, show contrasting behavior with respect to the extremes of AISMR. These parameters bring out the role of both the oceanic and the atmospheric modes of the ACW in modulating the AISMR. The study has a potential application in forecasting of the monsoon rainfall a few months in advance. Citation: Prabhu, A., P. N. Mahajan, R. M. Khaladkar, and M. D. Chipade (2010), Role of Antarctic circumpolar wave in modulating the extremes of Indian summer monsoon rainfall, Geophys. Res. Lett., 37, L14106, doi:10.1029/2010GL043760.</t>
  </si>
  <si>
    <t>[Prabhu, Amita; Mahajan, P. N.; Khaladkar, R. M.; Chipade, M. D.] Indian Inst Trop Meteorol, Pune 411008, Maharashtra, India</t>
  </si>
  <si>
    <t>Prabhu, A (corresponding author), Indian Inst Trop Meteorol, Dr Homi Bhabha Rd, Pune 411008, Maharashtra, India.</t>
  </si>
  <si>
    <t>amitaprabhu@tropmet.res.in</t>
  </si>
  <si>
    <t>Prabhu, Amita/0000-0002-2474-6195; Chipade, Mukund/0000-0001-7771-9492</t>
  </si>
  <si>
    <t>IITM</t>
  </si>
  <si>
    <t>The authors wish to acknowledge the support of B. N. Goswami, Director, IITM for undertaking this study. Authors are also grateful to the NSIDC team for making available the SMMR-SSM/I SIC data through the server: ftp.sidads.colorado.edu. Thanks are due to the anonymous reviewers for their useful suggestions to improve the text.</t>
  </si>
  <si>
    <t>JUL 23</t>
  </si>
  <si>
    <t>L14106</t>
  </si>
  <si>
    <t>10.1029/2010GL043760</t>
  </si>
  <si>
    <t>631DG</t>
  </si>
  <si>
    <t>WOS:000280326200001</t>
  </si>
  <si>
    <t>Geibert, W; Assmy, P; Bakker, DCE; Hanfland, C; Hoppema, M; Pichevin, LE; Schröder, M; Schwarz, JN; Stimac, I; Usbeck, R; Webb, A</t>
  </si>
  <si>
    <t>Geibert, W.; Assmy, P.; Bakker, D. C. E.; Hanfland, C.; Hoppema, M.; Pichevin, L. E.; Schroeder, M.; Schwarz, J. N.; Stimac, I.; Usbeck, R.; Webb, A.</t>
  </si>
  <si>
    <t>High productivity in an ice melting hot spot at the eastern boundary of the Weddell Gyre</t>
  </si>
  <si>
    <t>ANTARCTIC SEA-ICE; MESOSCALE IRON ENRICHMENT; SOUTHERN-OCEAN; CIRCUMPOLAR CURRENT; ATMOSPHERIC CO2; CARBON-DIOXIDE; TRACE-ELEMENTS; SURFACE-WATER; EXPORT FLUXES; PACK ICE</t>
  </si>
  <si>
    <t>The Southern Ocean (SO) plays a key role in modulating atmospheric CO(2) via physical and biological processes. However, over much of the SO, biological activity is iron-limited. New in situ data from the Antarctic zone south of Africa in a region centered at similar to 20 degrees E-25 degrees E reveal a previously overlooked region of high primary production, comparable in size to the northwest African upwelling region. Here, sea ice together with enclosed icebergs is channeled by prevailing winds to the eastern boundary of the Weddell Gyre, where a sharp transition to warmer waters causes melting. This cumulative melting provides a steady source of iron, fuelling an intense phytoplankton bloom that is not fully captured by monthly satellite production estimates. These findings imply that future changes in sea-ice cover and dynamics could have a significant effect on carbon sequestration in the SO.</t>
  </si>
  <si>
    <t>[Geibert, W.; Pichevin, L. E.] Univ Edinburgh, Grant Inst, Sch Geosci, Edinburgh EH9 3JW, Midlothian, Scotland; [Assmy, P.; Hanfland, C.; Hoppema, M.; Schroeder, M.; Schwarz, J. N.; Stimac, I.] Alfred Wegener Inst Polar &amp; Marine Res, D-27515 Bremerhaven, Germany; [Bakker, D. C. E.] Univ E Anglia, Sch Environm Sci, Norwich NR4 7TJ, Norfolk, England; [Usbeck, R.] FIELAX GmbH, D-27568 Bremerhaven, Germany; [Webb, A.] Univ Cape Town, Dept Oceanog, ZA-7701 Cape Town, South Africa</t>
  </si>
  <si>
    <t>University of Edinburgh; Helmholtz Association; Alfred Wegener Institute, Helmholtz Centre for Polar &amp; Marine Research; University of East Anglia; University of Cape Town</t>
  </si>
  <si>
    <t>Geibert, W (corresponding author), Univ Edinburgh, Grant Inst, Sch Geosci, W Mains Rd, Edinburgh EH9 3JW, Midlothian, Scotland.</t>
  </si>
  <si>
    <t>walter.geibert@ed.ac.uk</t>
  </si>
  <si>
    <t>Geibert, Walter/ABA-9785-2020; Geibert, Walter/C-3722-2011; Bakker, Dorothee/E-4951-2015; Hoppema, Mario/I-6286-2013</t>
  </si>
  <si>
    <t>Geibert, Walter/0000-0001-8646-2334; Stimac, Ingrid/0000-0001-6053-2330; Bakker, Dorothee/0000-0001-9234-5337; Pichevin, Laetitia/0000-0003-2685-6926; Hoppema, Mario/0000-0002-2326-619X</t>
  </si>
  <si>
    <t>DFG [RU712-4, GE1118/2-2]; Scottish Alliance for Geosciences, Environment and Society (SAGES); EU [511176]</t>
  </si>
  <si>
    <t>DFG(German Research Foundation (DFG)); Scottish Alliance for Geosciences, Environment and Society (SAGES); EU(European Union (EU))</t>
  </si>
  <si>
    <t>MODIS and SeaWiFS ocean color and sea surface temperature data were kindly provided by the MODIS Science Team, the Ocean Productivity Group, and by the NASA Ocean Color Team. SeaWiFS data were received in real time under scientific license courtesy of NASA and GeoEye. Isabelle Ansorge (team coordinator for UCT group), Sandy Thomalla, Rhys Gilliam, Nazeera Hargeyn, and the team of Gerhard Kattner contributed substantially to the nutrient and oxygen data set. Rita Froehlking assisted with the analysis of particulate samples. W. G. was supported by DFG projects RU712-4 and GE1118/2-2; he is currently supported by the Scottish Alliance for Geosciences, Environment and Society (SAGES). D. C. E. B. and M. H. were partly supported by the EU IP CARBOOCEAN (511176 (GOCE)). P. A. was supported by the Bremen International Graduate School for Marine Sciences (GLOMAR) funded by DFG (Excellence Initiative). We thank Ben Raymond, Corinne Le Quere (AE), and an anonymous reviewer for their useful remarks. This work would have been impossible without the continuous support of Dieter K. Futterer, chief scientist of the expedition, and the helpful crew of R/V Polarstern. In remembrance of Wolfgang Dinter.</t>
  </si>
  <si>
    <t>JUL 21</t>
  </si>
  <si>
    <t>GB3007</t>
  </si>
  <si>
    <t>10.1029/2009GB003657</t>
  </si>
  <si>
    <t>631DN</t>
  </si>
  <si>
    <t>WOS:000280326900001</t>
  </si>
  <si>
    <t>Schlosser, E; Manning, KW; Powers, JG; Duda, MG; Birnbaum, G; Fujita, K</t>
  </si>
  <si>
    <t>Schlosser, E.; Manning, K. W.; Powers, J. G.; Duda, M. G.; Birnbaum, G.; Fujita, K.</t>
  </si>
  <si>
    <t>Characteristics of high-precipitation events in Dronning Maud Land, Antarctica</t>
  </si>
  <si>
    <t>KOHNEN STATION; DOME-FUJI; ICE; ACCUMULATION; PREDICTION; CLIMATE; OSCILLATION; GREENLAND; RECORD; RATES</t>
  </si>
  <si>
    <t>High-resolution Antarctic Mesoscale Prediction System archive data were used to investigate high-precipitation events at the deep ice core drilling site Kohnen Station, Dronning Maud Land, Antarctica, during the period 2001-2006. The precipitation is found to be highly episodic, with, on average, approximately eight high-precipitation events per year that can bring more than half of the total annual accumulation. The duration of the events varies between 1 day and about 1 week. On most days in the remaining time of the year, however, daily precipitation sums are about one order of magnitude smaller than that for the high-precipitation events. Synoptic weather patterns causing these events were directly connected to frontal systems of cyclones in only 20% of the 51 investigated cases. The majority of the events occurred in connection with (blocking) anticyclones and correspondingly amplified Rossby waves, which lead to advection of warm, moist air from relatively low latitudes. Possible changes in the seasonality and frequency of these events in a different climate can lead to a bias in ice core properties and might also strongly influence the mass balance of the Antarctic continent and thus global sea level change.</t>
  </si>
  <si>
    <t>[Schlosser, E.] Univ Innsbruck, Inst Meteorol &amp; Geophys, A-6020 Innsbruck, Austria; [Manning, K. W.; Powers, J. G.; Duda, M. G.] Natl Ctr Atmospher Res, Earth Syst Lab, Mesoscale &amp; Microscale Meteorol Div, Boulder, CO 80307 USA; [Birnbaum, G.] Alfred Wegener Inst Polar &amp; Marine Res, D-27515 Bremerhaven, Germany; [Fujita, K.] Nagoya Univ, Grad Sch Environm Studies, Dept Hydrospher Atmospher Sci, Chikusa Ku, Nagoya, Aichi 4648601, Japan</t>
  </si>
  <si>
    <t>University of Innsbruck; National Center Atmospheric Research (NCAR) - USA; Helmholtz Association; Alfred Wegener Institute, Helmholtz Centre for Polar &amp; Marine Research; Nagoya University</t>
  </si>
  <si>
    <t>Schlosser, E (corresponding author), Univ Innsbruck, Inst Meteorol &amp; Geophys, Innrain 52, A-6020 Innsbruck, Austria.</t>
  </si>
  <si>
    <t>elisabeth.schlosser@uibk.ac.at</t>
  </si>
  <si>
    <t>Birnbaum, Gerit/D-4350-2014; Fujita, Koji/E-6104-2010</t>
  </si>
  <si>
    <t>Fujita, Koji/0000-0003-3753-4981; Birnbaum, Gerit/0000-0002-0252-6781</t>
  </si>
  <si>
    <t>Austrian Science Funds (FWF) [V31-N10]; U.S. National Science Foundation, Office of Polar Programs; UCAR and Lower Atmosphere Facilities Oversight Section</t>
  </si>
  <si>
    <t>Austrian Science Funds (FWF)(Austrian Science Fund (FWF)); U.S. National Science Foundation, Office of Polar Programs(National Science Foundation (NSF)); UCAR and Lower Atmosphere Facilities Oversight Section</t>
  </si>
  <si>
    <t>This study is financed by the Austrian Science Funds (FWF) under grant V31-N10. AMPS is supported by the U.S. National Science Foundation, Office of Polar Programs and the UCAR and Lower Atmosphere Facilities Oversight Section. We also thank our Editor, Steve Ghan, and two anonymous reviewers for their constructive comments.</t>
  </si>
  <si>
    <t>D14107</t>
  </si>
  <si>
    <t>10.1029/2009JD013410</t>
  </si>
  <si>
    <t>631EB</t>
  </si>
  <si>
    <t>WOS:000280328300011</t>
  </si>
  <si>
    <t>Izawa, MRM; King, PL; Flemming, RL; Peterson, RC; McCausland, PJA</t>
  </si>
  <si>
    <t>Izawa, M. R. M.; King, P. L.; Flemming, R. L.; Peterson, R. C.; McCausland, P. J. A.</t>
  </si>
  <si>
    <t>Mineralogical and spectroscopic investigation of enstatite chondrites by X-ray diffraction and infrared reflectance spectroscopy</t>
  </si>
  <si>
    <t>JOURNAL OF GEOPHYSICAL RESEARCH-PLANETS</t>
  </si>
  <si>
    <t>QUANTITATIVE PHASE-ANALYSIS; METEORITICAL BULLETIN; THERMAL EMISSION; CRYSTALLOGRAPHY COMMISSION; INTERNATIONAL UNION; PRESSURE BEHAVIOR; CRYSTAL-STRUCTURE; ROUND-ROBIN; IN-SITU; SPECTRA</t>
  </si>
  <si>
    <t>The mineralogy and infrared reflectance spectra of 13 Enstatite (E) chondrite meteorite finds spanning the full range of textural alteration grades in both EL and EH classes have been investigated. Rietveld refinement of high-resolution powder X-ray diffraction (XRD) data was used to determine quantitative major mineral abundances. Sample-correlated mid-infrared (2.0 to 25.0 mu m; 4500 cm(-1) to 400 cm(-1)) reflectance infrared spectra were collected for each meteorite. Spectral features due to the fundamental lattice vibrations of the silicates, primarily enstatite, dominate the spectra of these meteorites over most of the spectral range investigated. The spectral features related to primary (i.e., pre-terrestrial) mineralogy include fundamental stretching and bending lattice modes (similar to 8.3-25.0 mu m; 1200-400 cm(-1)), overtones and combinations of the fundamental modes (similar to 4.5-6.1 mu m; 2200-1650 cm(-1)), and the principle Christensen feature (similar to 8.3 mu m; 1200 cm(-1)). Terrestrial weathering products including Fe-oxyhydroxides, gypsum, and carbonates occur in most of these meteorites and contribute to some spectral features: particularly an asymmetric feature near similar to 2.6 to 3.8 mu m (3800 to 2600 cm(-1)) attributed to adsorbed, hydrogen-bonded, and/or structural OH and H2O, and a feature near similar to 6.2 mu m (1625 cm(-1)) attributed to adsorbed, hydrogen-bonded, and/or structural H2O. Modal mineral abundances determined by Rietveld refinement have been used to calculate model grain densities for each meteorite. Bulk magnetic susceptibility measurements combined with modal mineralogy and grain densities reveal a trend toward lower grain density and lower bulk susceptibility with increased terrestrial weathering.</t>
  </si>
  <si>
    <t>[Izawa, M. R. M.; Flemming, R. L.; McCausland, P. J. A.] Univ Western Ontario, Dept Earth Sci, London, ON N6A 5B7, Canada; [King, P. L.] Univ New Mexico, Inst Meteorit, Albuquerque, NM 87131 USA; [Peterson, R. C.] Queens Univ, Dept Geol Sci &amp; Geol Engn, Kingston, ON K7L 3N6, Canada</t>
  </si>
  <si>
    <t>Western University (University of Western Ontario); University of New Mexico; Queens University - Canada</t>
  </si>
  <si>
    <t>Izawa, MRM (corresponding author), Univ Western Ontario, Dept Earth Sci, 1151 Richmond St, London, ON N6A 5B7, Canada.</t>
  </si>
  <si>
    <t>matthew.izawa@gmail.com</t>
  </si>
  <si>
    <t>King, Penelope/A-1791-2011</t>
  </si>
  <si>
    <t>King, Penelope/0000-0002-8364-9168</t>
  </si>
  <si>
    <t>NASA; Natural Sciences and Engineering Research Council of Canada (NSERC); Mineralogical Association of Canada; Western Graduate Thesis Research fund</t>
  </si>
  <si>
    <t>NASA(National Aeronautics &amp; Space Administration (NASA)); Natural Sciences and Engineering Research Council of Canada (NSERC)(Natural Sciences and Engineering Research Council of Canada (NSERC)); Mineralogical Association of Canada; Western Graduate Thesis Research fund</t>
  </si>
  <si>
    <t>We gratefully acknowledge the editorial efforts and extremely insightful scientific comments of R. Carlson and thank two anonymous reviewers for their helpful comments and suggestions. The comments received during review greatly improved this study. The authors also wish to extend their thanks to the following organizations and individuals: K. Righter and the NASA JSC Antarctic meteorite working group for allocation of the Antarctic E chondrite samples; the U.S. Antarctic Search for Meteorites (ANSMET) meteorite collection teams and the many workers who have produced the preliminary descriptions in the various Meteoritical Bulletins; the Royal Ontario Museum and D. Gregory for allocation of the NWA samples; A. Grant (Queen's University) for instruction on the operation of the Panlytical diffractometer, B. C. Hyde (UWO) for assistance with DRIFTS setup, and J. Karner (UNM) for assistance with electron microprobe operation; and H. C. Palmer (UWO) for assistance in the use of the magnetic susceptibility meter. Thanks to E. Cloutis and M. A. Craig for numerous useful discussions. Major funding was provided to P. L. K. by a NASA Earmark to the Institute of Meteoritics at UNM and to R. L. F. and R. C. P. by the Natural Sciences and Engineering Research Council of Canada (NSERC). Student research funding to M. R. M. I. from NSERC, the Mineralogical Association of Canada, and the Western Graduate Thesis Research fund is gratefully acknowledged. This research utilizes spectra acquired by M. Gaffey with the NASA RELAB facility at Brown University. This research has made use of NASA's Astrophysics Data System.</t>
  </si>
  <si>
    <t>2169-9097</t>
  </si>
  <si>
    <t>2169-9100</t>
  </si>
  <si>
    <t>J GEOPHYS RES-PLANET</t>
  </si>
  <si>
    <t>J. Geophys. Res.-Planets</t>
  </si>
  <si>
    <t>JUL 20</t>
  </si>
  <si>
    <t>E07008</t>
  </si>
  <si>
    <t>10.1029/2009JE003452</t>
  </si>
  <si>
    <t>631GU</t>
  </si>
  <si>
    <t>WOS:000280335500002</t>
  </si>
  <si>
    <t>Wittmann, A; Swindle, TD; Cheek, LC; Frank, EA; Kring, DA</t>
  </si>
  <si>
    <t>Wittmann, Axel; Swindle, Timothy D.; Cheek, Leah C.; Frank, Elizabeth A.; Kring, David A.</t>
  </si>
  <si>
    <t>Impact cratering on the H chondrite parent asteroid</t>
  </si>
  <si>
    <t>MELT-ROCK FRAGMENT; THERMAL HISTORIES; IRON-METEORITES; PORTALES VALLEY; REHEATED CHONDRITES; COOLING HISTORY; ORIGIN; BODY; BODIES; METAL</t>
  </si>
  <si>
    <t>This paper reports petrological data for LaPaz Icefield 02240, 03922, 031125, 031173, 031308, 04462, and 04751, which are meteoritic samples of clast-rich impact melt rocks from the H chondrite parent asteroid. The size distribution and metallographic characteristics of Fe-Ni metal in the melts indicate very rapid 1 to 40 degrees C/s cooling in the temperature range between &gt;1500 and similar to 950 degrees C when the clast-melt mixtures were thermally equilibrating. Cooling slowed to values between 10(-3) and 10(-2)degrees C/s in the temperature range between 700 and 400 degrees C when the melt rocks were cooling to their surroundings. These data suggest that the rocks cooled near the surface of the H chondrite asteroid within suevitic impact deposits. Integrating these data with the petrologic characteristics of other H chondrite melt rocks and their radioisotopic ages indicates that the H chondrite asteroid suffered at least one large impact event while still cooling from endogenous metamorphism at similar to 4500 Ma; this impact must have degraded the asteroid's integrity but did not cause shattering. Impact events in the era between similar to 4100 and similar to 3600 Ma produced melt volumes large enough to allow segregation of metal and troilite from silicate melts, possibly within continuous impact melt sheets contained in craters. The impact record after 3600 Ma does not display such assemblages, which suggests a decrease in the rate of large impact events or a catastrophic size reduction of the H chondrite parent asteroid at around this time.</t>
  </si>
  <si>
    <t>[Wittmann, Axel; Kring, David A.] Lunar &amp; Planetary Inst, Houston, TX 77058 USA; [Cheek, Leah C.] Brown Univ, Dept Geol Sci, Providence, RI 02912 USA; [Frank, Elizabeth A.] Rensselaer Polytech Inst, Dept Earth &amp; Environm Sci, Troy, NY 12180 USA; [Swindle, Timothy D.] Univ Arizona, Lunar &amp; Planetary Lab, Tucson, AZ 85721 USA</t>
  </si>
  <si>
    <t>Brown University; Rensselaer Polytechnic Institute; University of Arizona</t>
  </si>
  <si>
    <t>Wittmann, A (corresponding author), Lunar &amp; Planetary Inst, 3600 Bay Area Blvd, Houston, TX 77058 USA.</t>
  </si>
  <si>
    <t>wittmann@lpi.usra.edu; tswindle@U.Arizona.edu; Leah_Cheek@brown.edu; elizabeth.frank@alum.rpi.edu; kring@lpi.usra.edu</t>
  </si>
  <si>
    <t>Kring, David A/D-5912-2011</t>
  </si>
  <si>
    <t>Wittmann, Axel/0000-0001-7572-0801</t>
  </si>
  <si>
    <t>NSF; NASA [NNX07AG55G, NNX08AG59G]; Smithsonian Institution; NASA [NNX08AG59G, 100883] Funding Source: Federal RePORTER</t>
  </si>
  <si>
    <t>NSF(National Science Foundation (NSF)); NASA(National Aeronautics &amp; Space Administration (NASA)); Smithsonian Institution(Smithsonian Institution); NASA(National Aeronautics &amp; Space Administration (NASA))</t>
  </si>
  <si>
    <t>We appreciate constructive reviews by D. Mittlefehldt, W. Bottke, and C. Corrigan and the editorial handling by R. Carlson and J. Plescia. The LaPaz Ice field samples investigated in this study were recovered by the Antarctic Search for Meteorites Program (ANSMET), which is funded and supported by NSF, NASA, and the Smithsonian Institution. Thin sections were provided by C. Satter-white, K. Righter, and R. Harrington of the Astromaterials Curation Facility at NASA Johnson Space Center in Houston. A. Peslier, J. Herrin, and G. A. Robinson assisted with microprobe procedures at the Johnson Space Center Electron-Beam Facility. E. Scott pointed out latest work on the evolution of the H chondrite asteroid. This study was funded by NASA cosmochemistry grants NNX07AG55G (DAK) and NNX08AG59G (TDS). LPI contribution 1531.</t>
  </si>
  <si>
    <t>E07009</t>
  </si>
  <si>
    <t>10.1029/2009JE003433</t>
  </si>
  <si>
    <t>WOS:000280335500001</t>
  </si>
  <si>
    <t>Farris, DW</t>
  </si>
  <si>
    <t>Farris, David W.</t>
  </si>
  <si>
    <t>Tectonic and petrologic evolution of the Kodiak batholith and the trenchward belt, Kodiak Island, AK: Contact fault juxtaposition?</t>
  </si>
  <si>
    <t>RIDGE SUBDUCTION; PARTITION-COEFFICIENTS; ACCRETIONARY PRISM; TRACE-ELEMENTS; PELITIC SYSTEM; ALASKA; PALEOMAGNETISM; COMPLEX; CONSEQUENCES; GEOCHEMISTRY</t>
  </si>
  <si>
    <t>Two fore-arc magmatic belts exist in Kodiak Island, the granitic Kodiak batholith and the basaltic trenchward belt. Both are part of the 2100 km long Sanak-Baranof belt, interpreted to result from trench-ridge-trench (T-R-T) triple-junction migration. In this hypothesis, trenchward belt basaltic rocks formed as the spreading ridge first entered the accretionary prism, and the larger Kodiak batholith resulted from a slab window at depth. However, radiometric dates between the two belts differ in age by up to 1-3 Ma. Kodiak batholith U/Pb zircon ages range from 59.2 to 58.4 +/- 0.2 Ma (SW-NE), whereas trenchward belt ages range from 62.6 +/- 0.6 (K-Ar) to 60.15 +/- 0.86 (Ar/Ar whole rock) SW-NE. This suggests that both fore-arc magmatic belts did not form from a single triple-junction passage, because at 60-62 Ma the triple junction was several hundred kilometers west of Kodiak Island. Multiple explanations exist for the age disparity between the two belts, including oblique ridge subduction, Contact fault tectonic juxtaposition, slab window thermal lag, multiple triple-junction passages, or off-axis ridge magmatism. Geochemical data such as rare earth metal (REE) curves and Zr/Nb of &gt; 30 indicate the trenchward belt rocks have a mid-ocean ridge basalt (MORB)-like character. Major and trace element modeling indicate that trenchward belt rocks resulted from assimilation-fractional-crystallization of MORB with Ghost Rocks Formation argillite, whereas the Kodiak batholith formed via partial melting and en masse mobilization of Kodiak Formation metasedimentary rocks with a small basaltic component and subsequent equilibrium-crystallization and restite separation. The petrologic origin of both belts is compatible with spreading ridge subduction. Fault zone structural data suggest the Kodiak batholith/trenchward belt age differential resulted from oblique ridge subduction and Contact fault displacement.</t>
  </si>
  <si>
    <t>Florida State Univ, Dept Earth Ocean &amp; Atmospher Sci, Tallahassee, FL 32306 USA</t>
  </si>
  <si>
    <t>State University System of Florida; Florida State University</t>
  </si>
  <si>
    <t>Farris, DW (corresponding author), Florida State Univ, Dept Earth Ocean &amp; Atmospher Sci, 909 Antarctic Way,Rm 108 CAR, Tallahassee, FL 32306 USA.</t>
  </si>
  <si>
    <t>farris@gly.fsu.edu</t>
  </si>
  <si>
    <t>Farris, David/AAK-5570-2020</t>
  </si>
  <si>
    <t>Farris, David/0000-0002-8728-2746</t>
  </si>
  <si>
    <t>U. S. Geological Survey</t>
  </si>
  <si>
    <t>U. S. Geological Survey(United States Geological Survey)</t>
  </si>
  <si>
    <t>Much of this work was supported by the Minerals Program of the U. S. Geological Survey. Without the field support and encouragement of Peter Haeussler, Dwight Bradley, and Robert Ayuso, this research would not have been possible. We also thank Scott Paterson and the rest of the folks at the USC Department of Earth Sciences. Finally, we thank Guil Gualda, John Ayers, and an anonymous reviewer for insightful editorial comments that greatly improved the final paper.</t>
  </si>
  <si>
    <t>B07208</t>
  </si>
  <si>
    <t>10.1029/2009JB006434</t>
  </si>
  <si>
    <t>631HE</t>
  </si>
  <si>
    <t>WOS:000280336500001</t>
  </si>
  <si>
    <t>Renssen, H; Goosse, H; Crosta, X; Roche, DM</t>
  </si>
  <si>
    <t>Renssen, H.; Goosse, H.; Crosta, X.; Roche, D. M.</t>
  </si>
  <si>
    <t>Early Holocene Laurentide Ice Sheet deglaciation causes cooling in the high-latitude Southern Hemisphere through oceanic teleconnection</t>
  </si>
  <si>
    <t>CLIMATE-CHANGE; ANTARCTIC PENINSULA; NORTH-ATLANTIC; THERMOHALINE CIRCULATION; LAST DEGLACIATION; ADELIE LAND; BP EVENT; VARIABILITY; DEEP; SEA</t>
  </si>
  <si>
    <t>The impact of the early Holocene Laurentide Ice Sheet (LIS) deglaciation on the climate at Southern Hemisphere high latitudes is studied in three transient simulations performed with a global climate model of the coupled atmosphere-ocean-vegetation system. Considering the LIS deglaciation, we quantify separately the impacts of the background meltwater fluxes and the changes in topography and surface albedo. In our model, the meltwater input into the North Atlantic results in a substantial weakening of the Atlantic meridional overturning circulation, associated with absence of deep convection in the Labrador Sea. Northward ocean heat transport by the Atlantic Ocean is reduced by 28%. This weakened ocean circulation leads to cooler North Atlantic Deep Water (NADW). Upwelling of this cool NADW in the Southern Ocean results in reduced surface temperatures (by 1 degrees C to 2 degrees C) here between 9 and 7 ka compared to an experiment without LIS deglaciation. Poleward of the polar front zone, this advective teleconnection between the Southern and Northern hemispheres overwhelms the effect of the classical bipolar seesaw mechanism. These results provide an explanation for the relatively cold climatic conditions between 9 and 7 ka reconstructed in several proxy records from Southern Hemisphere high latitudes, such as Antarctic ice cores.</t>
  </si>
  <si>
    <t>[Renssen, H.; Roche, D. M.] Vrije Univ Amsterdam, Fac Earth &amp; Life Sci, Dept Earth Sci, Sect Climate Change &amp; Landscape Dynam, NL-1081 HV Amsterdam, Netherlands; [Goosse, H.] Catholic Univ Louvain, Inst Astron &amp; Geophys Georges Lemaitre, B-1348 Louvain, Belgium; [Crosta, X.] Univ Bordeaux 1, EPOC, CNRS, UMR 5805, F-33405 Talence, France; [Roche, D. M.] UVSQ, Lab Sci Climat &amp; Environm, IPSL, Lab CEA,INSU,CNRS, Gif Sur Yvette, France</t>
  </si>
  <si>
    <t>Vrije Universiteit Amsterdam; Universite Catholique Louvain; Centre National de la Recherche Scientifique (CNRS); CNRS - National Institute for Earth Sciences &amp; Astronomy (INSU); Universite de Bordeaux; CEA; Centre National de la Recherche Scientifique (CNRS); Universite Paris Saclay; Universite Paris Cite; CNRS - National Institute for Earth Sciences &amp; Astronomy (INSU)</t>
  </si>
  <si>
    <t>Renssen, H (corresponding author), Vrije Univ Amsterdam, Fac Earth &amp; Life Sci, Dept Earth Sci, Sect Climate Change &amp; Landscape Dynam, De Boelelaan 1085, NL-1081 HV Amsterdam, Netherlands.</t>
  </si>
  <si>
    <t>hans.renssen@falw.vu.nl</t>
  </si>
  <si>
    <t>Roche, Didier M./C-9875-2010</t>
  </si>
  <si>
    <t>Roche, Didier M./0000-0001-6272-9428</t>
  </si>
  <si>
    <t>Belgian Federal Science Policy Office; Netherlands Organization for Scientific Research (NWO); INSU/CNRS</t>
  </si>
  <si>
    <t>Belgian Federal Science Policy Office(Belgian Federal Science Policy Office); Netherlands Organization for Scientific Research (NWO)(Netherlands Organization for Scientific Research (NWO)); INSU/CNRS(Centre National de la Recherche Scientifique (CNRS))</t>
  </si>
  <si>
    <t>H. G. is a research associate with the Fonds National de la Recherche Scientifique (Belgium) and is supported by the Belgian Federal Science Policy Office. D. M. R is supported by the Netherlands Organization for Scientific Research (NWO) in the framework of the RAPID project ORMEN and by INSU/CNRS.</t>
  </si>
  <si>
    <t>PA3204</t>
  </si>
  <si>
    <t>10.1029/2009PA001854</t>
  </si>
  <si>
    <t>631HX</t>
  </si>
  <si>
    <t>WOS:000280338500001</t>
  </si>
  <si>
    <t>Vachon, RW; Welker, JM; White, JWC; Vaughn, BH</t>
  </si>
  <si>
    <t>Vachon, R. W.; Welker, J. M.; White, J. W. C.; Vaughn, B. H.</t>
  </si>
  <si>
    <t>Moisture source temperatures and precipitation δ18O-temperature relationships across the United States</t>
  </si>
  <si>
    <t>WATER RESOURCES RESEARCH</t>
  </si>
  <si>
    <t>GLACIAL-INTERGLACIAL CHANGES; GENERAL-CIRCULATION MODEL; ABRUPT CLIMATE-CHANGE; ICE CORE; ISOTOPIC COMPOSITION; STABLE-ISOTOPES; ANTARCTIC PRECIPITATION; EUROPEAN PRECIPITATION; WATER ISOTOPES; TIME-VARIATION</t>
  </si>
  <si>
    <t>Understanding and modeling precipitation isotope (delta O-18 and delta D) patterns for large regions of the globe requires quantifying processes governing continental-scale climatology and hydrology. In this study, we have evaluated the extent to which inclusion of monthly moisture source temperature and moisture source locations in the Rayleigh distillation model aid in reproducing the relationships between monthly time series of precipitation isotope (delta O-18) values and temperature across the contiguous United States. The steepest isotope-temperature slopes (0.5%-0.6% delta O-18/degrees C) and greatest delta O-18 value correlations with temperature (r(2) = 0.5-0.8), derived from 5 continuous years of the data from the United States Network for Isotopes in Precipitation, occurred in the high altitudes of the Rocky Mountains and the upper Great Lakes region. The isotope-temperature slopes derived from the site-specific time series were consistently lower along the coastal regions of the United States as were the coefficients of determination. The low coastal isotope-temperature slopes are not easily explained by the simple Rayleigh model that uses condensation temperatures as the primary driver of precipitation isotopes. However, the Raleigh model equipped with moisture source temperatures defined by seasonal temperature oscillations and migrating moisture source locations provides a robust replication of the delta O-18-temperature slopes along coastal regions. These findings emphasize the importance of moisture sources conditions when interpreting palaeoclimate proxies (i.e., tree rings, ice cores, etc.), and argue that moisture source dynamics should always be included in models that use isotopes as diagnostic tools in testing hydrologic models.</t>
  </si>
  <si>
    <t>[Vachon, R. W.; White, J. W. C.; Vaughn, B. H.] Univ Colorado, Inst Arctic &amp; Alpine Res, Boulder, CO 80305 USA; [Welker, J. M.] Univ Alaska Anchorage, Environm &amp; Nat Resources Inst, Anchorage, AK 99501 USA; [Welker, J. M.] Univ Alaska Anchorage, Dept Biol, Anchorage, AK 99501 USA; [Vachon, R. W.; White, J. W. C.; Vaughn, B. H.] Univ Colorado, Dept Geol, Boulder, CO 80305 USA</t>
  </si>
  <si>
    <t>University of Colorado System; University of Colorado Boulder; University of Alaska System; University of Alaska Anchorage; University of Alaska System; University of Alaska Anchorage; University of Colorado System; University of Colorado Boulder</t>
  </si>
  <si>
    <t>Vachon, RW (corresponding author), Univ Colorado, Inst Arctic &amp; Alpine Res, Boulder, CO 80305 USA.</t>
  </si>
  <si>
    <t>ryan.vachon@colorado.edu</t>
  </si>
  <si>
    <t>White, James W.C./A-7845-2009; Welker, Jeffrey M/C-9493-2013; Vaughn, Bruce/AAO-8867-2020</t>
  </si>
  <si>
    <t>VAUGHN, BRUCE/0000-0001-6503-957X</t>
  </si>
  <si>
    <t>0043-1397</t>
  </si>
  <si>
    <t>1944-7973</t>
  </si>
  <si>
    <t>WATER RESOUR RES</t>
  </si>
  <si>
    <t>Water Resour. Res.</t>
  </si>
  <si>
    <t>W07523</t>
  </si>
  <si>
    <t>10.1029/2009WR008558</t>
  </si>
  <si>
    <t>Environmental Sciences; Limnology; Water Resources</t>
  </si>
  <si>
    <t>631IJ</t>
  </si>
  <si>
    <t>WOS:000280339700002</t>
  </si>
  <si>
    <t>Simpson, PJL; McKinzie, AA; Codd, R</t>
  </si>
  <si>
    <t>Simpson, Philippa J. L.; McKinzie, Audra A.; Codd, Rachel</t>
  </si>
  <si>
    <t>Resolution of two native monomeric 90 kDa nitrate reductase active proteins from Shewanella gelidimarina and the sequence of two napA genes</t>
  </si>
  <si>
    <t>BIOCHEMICAL AND BIOPHYSICAL RESEARCH COMMUNICATIONS</t>
  </si>
  <si>
    <t>Shewanella; Periplasmic nitrate reductase; NAP isoforms</t>
  </si>
  <si>
    <t>FRIGIDIMARINA; COORDINATION; PURIFICATION; CYTOCHROME; ENZYMES</t>
  </si>
  <si>
    <t>The reduction of nitrate to nitrite in the bacterial periplasm occurs in the 90 kDa NapA subunit of the periplasmic nitrate reductase (NAP) system. Most Shewanella genomes contain two nap operons: napE-DABC and napDAGHB, which is an unusual feature of this genus. Two native, monomeric, 90 kDa nitrate reductase active proteins were resolved by hydrophobic interaction chromatography from aerobic cultures of Shewanella gelidimarina replete with reduced nitrogen compounds. The 90 kDa protein obtained in higher yield was characterized as NapA by electronic absorption and electron paramagnetic resonance spectroscopies and was identified by LC/MS/MS and MALDI-TOF/TOF MS as NapA from the napEDABC-type operon. The other 90 kDa protein, which was unstable and produced in low yields, was posited as NapA from the napDAGHB-type operon. Two napA genes have been sequenced from the napEDABC-type and napDAGHB-type operons of S. gelidimarina. Native NAP from S. putrefaciens was resolved as one NapA monomer and one NapAB heterodimer. Two amino acid substitutions in NapA correlated with the isolation of NAP as a NapA monomer or a NapAB heterodimer. The resolution of native, redox-active NapA isoforms in Shewanella provides new insight into the respiratory versatility of this genus, which has implications in bioremediation and the assembly of microbial fuel cells. (C) 2010 Elsevier Inc. All rights reserved.</t>
  </si>
  <si>
    <t>[McKinzie, Audra A.; Codd, Rachel] Univ Sydney, Sch Med Sci Pharmacol, Sydney, NSW 2006, Australia; [Simpson, Philippa J. L.; Codd, Rachel] Univ Sydney, Sch Chem, Sydney, NSW 2006, Australia; [McKinzie, Audra A.; Codd, Rachel] Univ Sydney, Bosch Inst, Sydney, NSW 2006, Australia</t>
  </si>
  <si>
    <t>University of Sydney; University of Sydney; University of Sydney</t>
  </si>
  <si>
    <t>Codd, R (corresponding author), Univ Sydney, Sch Med Sci Pharmacol, Sydney, NSW 2006, Australia.</t>
  </si>
  <si>
    <t>rachel.codd@sydney.edu.au</t>
  </si>
  <si>
    <t>Codd, Rachel/C-1202-2012</t>
  </si>
  <si>
    <t>Codd, Rachel/0000-0002-2703-883X</t>
  </si>
  <si>
    <t>Hermon Slade Foundation; Australian Antarctic Division; University of Sydney</t>
  </si>
  <si>
    <t>Hermon Slade Foundation; Australian Antarctic Division; University of Sydney(University of Sydney)</t>
  </si>
  <si>
    <t>Dr. D.S. Nichols is kindly acknowledged for supplying the Shewanella strains. Financial support is acknowledged from the Hermon Slade Foundation, the Australian Antarctic Division and the University of Sydney. This research has been facilitated by access to the Australian Proteome Analysis Facility Ltd. established under the Australian Government's Major National Research Facilities Program.</t>
  </si>
  <si>
    <t>0006-291X</t>
  </si>
  <si>
    <t>1090-2104</t>
  </si>
  <si>
    <t>BIOCHEM BIOPH RES CO</t>
  </si>
  <si>
    <t>Biochem. Biophys. Res. Commun.</t>
  </si>
  <si>
    <t>JUL 16</t>
  </si>
  <si>
    <t>10.1016/j.bbrc.2010.06.002</t>
  </si>
  <si>
    <t>631VD</t>
  </si>
  <si>
    <t>WOS:000280377300003</t>
  </si>
  <si>
    <t>Gorham, PW; Allison, P; Baughman, BM; Beatty, JJ; Belov, K; Besson, DZ; Bevan, S; Binns, WR; Chen, C; Chen, P; Clem, JM; Connolly, A; Detrixhe, M; De Marco, D; Dowkontt, PF; Du Vernois, M; Grashorn, EW; Hill, B; Hoover, S; Huang, M; Israel, MH; Javaid, A; Liewer, KM; Matsuno, S; Mercurio, BC; Miki, C; Mottram, M; Nam, J; Nichol, RJ; Palladino, K; Romero-Wolf, A; Ruckman, L; Saltzberg, D; Seckel, D; Varner, GS; Vieregg, AG; Wang, Y</t>
  </si>
  <si>
    <t>Gorham, P. W.; Allison, P.; Baughman, B. M.; Beatty, J. J.; Belov, K.; Besson, D. Z.; Bevan, S.; Binns, W. R.; Chen, C.; Chen, P.; Clem, J. M.; Connolly, A.; Detrixhe, M.; De Marco, D.; Dowkontt, P. F.; Du Vernois, M.; Grashorn, E. W.; Hill, B.; Hoover, S.; Huang, M.; Israel, M. H.; Javaid, A.; Liewer, K. M.; Matsuno, S.; Mercurio, B. C.; Miki, C.; Mottram, M.; Nam, J.; Nichol, R. J.; Palladino, K.; Romero-Wolf, A.; Ruckman, L.; Saltzberg, D.; Seckel, D.; Varner, G. S.; Vieregg, A. G.; Wang, Y.</t>
  </si>
  <si>
    <t>Observational constraints on the ultrahigh energy cosmic neutrino flux from the second flight of the ANITA experiment</t>
  </si>
  <si>
    <t>PHYSICAL REVIEW D</t>
  </si>
  <si>
    <t>UPPER LIMIT; EMISSION; CHARGE; RAYS</t>
  </si>
  <si>
    <t>The Antarctic Impulsive Transient Antenna (ANITA) completed its second Long Duration Balloon flight in January 2009, with 31 days aloft (28.5 live days) over Antarctica. ANITA searches for impulsive coherent radio Cherenkov emission from 200 to 1200 MHz, arising from the Askaryan charge excess in ultrahigh energy neutrino-induced cascades within Antarctic ice. This flight included significant improvements over the first flight in payload sensitivity, efficiency, and flight trajectory. Analysis of in-flight calibration pulses from surface and subsurface locations verifies the expected sensitivity. In a blind analysis, we find 2 surviving events on a background, mostly anthropogenic, of 0.97 +/- 0.42 events. We set the strongest limit to date for 10(18)-10(21) eV cosmic neutrinos, excluding several current cosmogenic neutrino models.</t>
  </si>
  <si>
    <t>[Gorham, P. W.; Allison, P.; Du Vernois, M.; Hill, B.; Matsuno, S.; Miki, C.; Romero-Wolf, A.; Ruckman, L.; Varner, G. S.] Univ Hawaii Manoa, Dept Phys &amp; Astron, Honolulu, HI 96822 USA; [Baughman, B. M.; Beatty, J. J.; Grashorn, E. W.; Mercurio, B. C.; Palladino, K.] Ohio State Univ, Dept Phys, Columbus, OH 43210 USA; [Belov, K.; Hoover, S.; Saltzberg, D.; Vieregg, A. G.] Univ Calif Los Angeles, Dept Phys &amp; Astron, Los Angeles, CA 90095 USA; [Besson, D. Z.; Detrixhe, M.] Univ Kansas, Dept Phys &amp; Astron, Lawrence, KS 66045 USA; [Bevan, S.; Connolly, A.; Mottram, M.; Nichol, R. J.] UCL, Dept Phys &amp; Astron, London, England; [Binns, W. R.; Dowkontt, P. F.; Israel, M. H.] Washington Univ, Dept Phys, St Louis, MO 63130 USA; [Chen, C.; Chen, P.; Huang, M.; Nam, J.; Wang, Y.] Natl Taiwan Univ, Dept Phys, Taipei, Taiwan; [Clem, J. M.; De Marco, D.; Javaid, A.; Seckel, D.] Univ Delaware, Dept Phys, Newark, DE 19716 USA; [Liewer, K. M.] CALTECH, Jet Prop Lab, Pasadena, CA 91109 USA</t>
  </si>
  <si>
    <t>University of Hawaii System; University of Hawaii Manoa; University System of Ohio; Ohio State University; University of California System; University of California Los Angeles; University of Kansas; University of London; University College London; Washington University (WUSTL); National Taiwan University; University of Delaware; National Aeronautics &amp; Space Administration (NASA); NASA Jet Propulsion Laboratory (JPL); California Institute of Technology</t>
  </si>
  <si>
    <t>Gorham, PW (corresponding author), Univ Hawaii Manoa, Dept Phys &amp; Astron, Honolulu, HI 96822 USA.</t>
  </si>
  <si>
    <t>Chen, Pisin/IAO-8769-2023; Vieregg, Abigail/D-2287-2012; Nichol, Ryan/C-1645-2008; Connolly, Amy Lynn/J-3958-2013; Beatty, James/D-9310-2011; Belov, Konstantin V/D-2520-2013</t>
  </si>
  <si>
    <t>Chen, Pisin/0000-0001-5251-7210; Nichol, Ryan/0000-0003-0557-0443; Beatty, James/0000-0003-0481-4952; Belov, Konstantin V/0000-0002-8861-110X; Palladino, Kimberly/0000-0002-5175-5628; Gorham, Peter/0000-0002-0923-9363; Allison, Patrick/0000-0001-8141-2653; Huang, Minghuey/0000-0002-8325-6233</t>
  </si>
  <si>
    <t>1550-7998</t>
  </si>
  <si>
    <t>1550-2368</t>
  </si>
  <si>
    <t>PHYS REV D</t>
  </si>
  <si>
    <t>Phys. Rev. D</t>
  </si>
  <si>
    <t>10.1103/PhysRevD.82.022004</t>
  </si>
  <si>
    <t>Astronomy &amp; Astrophysics; Physics, Particles &amp; Fields</t>
  </si>
  <si>
    <t>Astronomy &amp; Astrophysics; Physics</t>
  </si>
  <si>
    <t>626ZO</t>
  </si>
  <si>
    <t>WOS:000280007500001</t>
  </si>
  <si>
    <t>Hall, BL; Henderson, GM; Baroni, C; Kellogg, TB</t>
  </si>
  <si>
    <t>Hall, Brenda L.; Henderson, Gideon M.; Baroni, Carlo; Kellogg, Thomas B.</t>
  </si>
  <si>
    <t>Constant Holocene Southern-Ocean 14C reservoir ages and ice-shelf flow rates</t>
  </si>
  <si>
    <t>marine reservoir effect; Southern Ocean; radiocarbon; U/Th dating; coral; McMurdo Ice Shelf</t>
  </si>
  <si>
    <t>NORTH-ATLANTIC; VICTORIA LAND; SEA; RADIOCARBON; CIRCULATION; CLIMATE; COLLAPSE; COAST</t>
  </si>
  <si>
    <t>Southern Ocean radiocarbon reservoir ages (i.e. non-zero radiocarbon ages in seawater) are the highest in the world's surface ocean. Constraining these reservoir ages at present and in the past is important not only because unknown reservoir ages limit the interpretation of Antarctic radiocarbon chronologies, but also because reservoir ages provide information about ocean circulation (as a recorder of past circulation and as an end member for major deep-water masses in today's ocean). In this study, we use paired U/Th and C-14 ages of an unusual set of solitary coral samples trapped by fringing ice shelves in the Ross Sea to provide the first detailed study of Holocene reservoir ages for the Southern Ocean. Our results indicate a relatively constant marine radiocarbon reservoir age of 1144 +/- 120 years for the past 6000 years. These results are consistent with extrapolation of the relationship between C-14 and alkalinity seen elsewhere, supporting the use of this empirical relationship in high latitudes. The results also suggest constant deep-ocean circulation and air-sea exchange during the Holocene and provide a good target for tuning ocean models of modern circulation. Combining the new ages for corals with their distance from the modern-day ice-shelf grounding line provides some of the first long-term records of ice-shelf velocities for any region and indicates constant flow of the McMurdo Ice Shelf during the Holocene, at a rate similar to that observed today. (C) 2010 Elsevier B.V. All rights reserved.</t>
  </si>
  <si>
    <t>[Henderson, Gideon M.] Univ Oxford, Dept Earth Sci, Oxford OX1 3PR, England; [Hall, Brenda L.; Kellogg, Thomas B.] Univ Maine, Dept Earth Sci, Climate Change Inst, Orono, ME 04469 USA; [Baroni, Carlo] Univ Pisa, Dipartimento Sci Terra, Pisa, Italy</t>
  </si>
  <si>
    <t>University of Oxford; University of Maine System; University of Maine Orono; University of Pisa</t>
  </si>
  <si>
    <t>Henderson, GM (corresponding author), Univ Oxford, Dept Earth Sci, Parks Rd, Oxford OX1 3PR, England.</t>
  </si>
  <si>
    <t>gideonh@earth.ox.ac.uk</t>
  </si>
  <si>
    <t>Baroni, Carlo/D-8184-2012</t>
  </si>
  <si>
    <t>Baroni, Carlo/0000-0001-5905-4650; Henderson, Gideon/0000-0002-6279-7137</t>
  </si>
  <si>
    <t>National Science Foundation; Italian Antarctic Research Program; National Environmental Research Council (NERC); NERC [NRCF010001] Funding Source: UKRI; Natural Environment Research Council [NRCF010001] Funding Source: researchfish</t>
  </si>
  <si>
    <t>National Science Foundation(National Science Foundation (NSF)); Italian Antarctic Research Program; National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</si>
  <si>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Office of Polar Programs of the National Science Foundation, the Italian Antarctic Research Program, and the National Environmental Research Council (NERC). Radiocarbon ages were provided by the NOSAMS facility at Woods Hole Oceanographic Institution and by the NERC Radiocarbon facility at East Kilbride. We especially would like to thank Dr. Paula Reimer, who answered numerous questions concerning the calculation of marine radiocarbon reservoir effects. Two reviewers and Editor P. Delaney provided very helpful comments.</t>
  </si>
  <si>
    <t>JUL 15</t>
  </si>
  <si>
    <t>10.1016/j.epsl.2010.04.054</t>
  </si>
  <si>
    <t>625OW</t>
  </si>
  <si>
    <t>WOS:000279905800011</t>
  </si>
  <si>
    <t>Manizza, M; Buitenhuis, ET; Le Quéré, C</t>
  </si>
  <si>
    <t>Manizza, Manfredi; Buitenhuis, Erik T.; Le Quere, Corinne</t>
  </si>
  <si>
    <t>Sensitivity of global ocean biogeochemical dynamics to ecosystem structure in a future climate</t>
  </si>
  <si>
    <t>SEA-ICE; CARBON-CYCLE; CO2; MODEL; FEEDBACK</t>
  </si>
  <si>
    <t>Terrestrial and oceanic ecosystem components of the Earth System models (ESMs) are key to predict the future behavior of the global carbon cycle. Ocean ecosystem models represent low complexity compared to terrestrial ecosystem models. In this study we use two ocean biogeochemical models based on the explicit representation of multiple planktonic functional types. We impose to the models the same future physical perturbation and compare the response of ecosystem dynamics, export production (EP) and ocean carbon uptake (OCU) to the same physical changes. Models comparison shows that: (1) EP changes directly translate into changes of OCU on decadal time scale, (2) the representation of ecosystem structure plays a pivotal role at linking OCU and EP, (3) OCU is highly sensitive to representation of ecosystem in the Equatorial Pacific and Southern Oceans. Citation: Manizza, M., E. T. Buitenhuis, and C. Le Quere (2010), Sensitivity of global ocean biogeochemical dynamics to ecosystem structure in a future climate, Geophys. Res. Lett., 37, L13607, doi: 10.1029/2010GL043360.</t>
  </si>
  <si>
    <t>[Manizza, Manfredi; Buitenhuis, Erik T.; Le Quere, Corinne] Univ E Anglia, Sch Environm Sci, Norwich NR4 7TJ, Norfolk, England; [Le Quere, Corinne] British Antarctic Survey, Cambridge CB3 0ET, England</t>
  </si>
  <si>
    <t>Manizza, M (corresponding author), Univ Calif San Diego, Scripps Inst Oceanog, Geosci Res Div, 9500 Gilman Dr, La Jolla, CA 92093 USA.</t>
  </si>
  <si>
    <t>mmanizza@ucsd.edu</t>
  </si>
  <si>
    <t>CARBOOCEAN [511176-GOCE]; UK NERC [NE/F005733/1]; Natural Environment Research Council [NE/F005733/1, bas0100028, NE/C516079/1] Funding Source: researchfish; NERC [bas0100028, NE/F005733/1] Funding Source: UKRI</t>
  </si>
  <si>
    <t>CARBOOCEAN; UK NERC(UK Research &amp; Innovation (UKRI)Natural Environment Research Council (NERC)); Natural Environment Research Council(UK Research &amp; Innovation (UKRI)Natural Environment Research Council (NERC)); NERC(UK Research &amp; Innovation (UKRI)Natural Environment Research Council (NERC))</t>
  </si>
  <si>
    <t>This paper benefited from the contributions of the participants of the Dynamic Green Ocean workshops. Plots were made by using Ferret. We thank Kerstin Sickel for assistance on climate change runs and the OPA team for the ocean model. MM acknowledges the financial support from the project CARBOOCEAN (contract 511176-GOCE). ETB and CLQ were supported by the UK NERC (Marquest and grant NE/F005733/1).</t>
  </si>
  <si>
    <t>L13607</t>
  </si>
  <si>
    <t>10.1029/2010GL043360</t>
  </si>
  <si>
    <t>627MN</t>
  </si>
  <si>
    <t>hybrid, Green Accepted</t>
  </si>
  <si>
    <t>WOS:000280043900002</t>
  </si>
  <si>
    <t>Pettex, E; Bonadonna, F; Enstipp, MR; Siorat, F; Grémillet, D</t>
  </si>
  <si>
    <t>Pettex, E.; Bonadonna, F.; Enstipp, M. R.; Siorat, F.; Gremillet, D.</t>
  </si>
  <si>
    <t>Northern gannets anticipate the spatio-temporal occurrence of their prey</t>
  </si>
  <si>
    <t>seabirds; Morus bassanus; GPS-tracking; orientation; optimal foraging</t>
  </si>
  <si>
    <t>ANTARCTIC FUR SEALS; FORAGING BEHAVIOR; CAPE GANNETS; FEEDING LOCATIONS; ENGLISH-CHANNEL; SEABIRDS; FORMICIDAE; ALBATROSS; TELEMETRY; RANGES</t>
  </si>
  <si>
    <t>Seabirds, as other marine top predators, are often assumed to forage in an unpredictable environment. We challenge this concept and test the hypothesis that breeding Northern gannets (Morus bassanus) anticipate the spatio-temporal occurrence of their prey in the English Channel. We analyzed 23 foraging tracks of Northern gannets breeding on Rouzic Island (Brittany) that were recorded using GPS loggers during 2 consecutive years. All birds commuted between the breeding colony and foraging areas located at a mean distance of 85. km and 72. km (in 2005 and 2006, respectively) from the colony. Mean linearity indices of the outbound and inbound trips were between 0.83 and 0.87, approaching a beeline path to and from the foraging area. Additional parameters (flight speed, and number and duration of stopovers at sea) for the outbound and inbound trip were not statistically different, indicating that birds are capable of locating these feeding areas in the absence of visual clues, and to pin-point their breeding site when returning from the sea. Our bearing choice analysis also revealed that gannets anticipate the general direction of their foraging area during the first 30min and the first 10km of the trip. These results strongly suggest that birds anticipate prey location, rather than head into a random direction until encountering a profitable area. Further investigations are necessary to identify the mechanisms involved in seabird resource localization, such as sensorial abilities, memory effects, public information or a combination of these factors.</t>
  </si>
  <si>
    <t>[Pettex, E.; Bonadonna, F.; Gremillet, D.] CEFE CNRS, F-34293 Montpellier 5, France; [Pettex, E.] CREA, F-74400 Chamonix Mt Blanc, France; [Enstipp, M. R.] DEPE IPHC CNRS, F-67087 Strasbourg 2, France; [Siorat, F.] LPO Maison Res Nat Sept Iles, F-22560 Pleumeur Bodou, France</t>
  </si>
  <si>
    <t>Universite de Montpellier; Centre National de la Recherche Scientifique (CNRS)</t>
  </si>
  <si>
    <t>Pettex, E (corresponding author), CEFE CNRS, 1919 Route Mende, F-34293 Montpellier 5, France.</t>
  </si>
  <si>
    <t>emeline.pettex@cefe.cnrs.fr</t>
  </si>
  <si>
    <t>Bonadonna, Francesco/A-7456-2008; Pettex, Emeline/AAD-1850-2021; Gremillet, David/W-1946-2018</t>
  </si>
  <si>
    <t>Bonadonna, Francesco/0000-0002-2702-5801; Pettex, Emeline/0000-0002-3395-8405; Gremillet, David/0000-0002-7711-9398</t>
  </si>
  <si>
    <t>CNRS; LPO</t>
  </si>
  <si>
    <t>CNRS(Centre National de la Recherche Scientifique (CNRS)); LPO</t>
  </si>
  <si>
    <t>This study was funded by CNRS and LPO. We benefited from substantial logistics support from the Station Ornithologique de l'Ile Grande, Ligue pour la Protection des Oiseaux. We are grateful to the staff at the Station Ornithologique de l'Ile Grande, in particular Armel Deniau, Olivier Auge, Elise Aumont, Sandra Dufreinex and Xavier Le Manach for their help and tolerance. We warmly thank Lorien Pichegru for her help with fieldwork and analysis, Luis De Sousa for the bearing analysis and Herve Bohbot at CEFE-CNRS Montpellier for his precious GIS help.</t>
  </si>
  <si>
    <t>COMPANY OF BIOLOGISTS LTD</t>
  </si>
  <si>
    <t>BIDDER BUILDING CAMBRIDGE COMMERCIAL PARK COWLEY RD, CAMBRIDGE CB4 4DL, CAMBS, ENGLAND</t>
  </si>
  <si>
    <t>10.1242/jeb.042267</t>
  </si>
  <si>
    <t>616AT</t>
  </si>
  <si>
    <t>WOS:000279180700007</t>
  </si>
  <si>
    <t>Morley, SA; Clark, MS; Peck, LS</t>
  </si>
  <si>
    <t>Morley, S. A.; Clark, M. S.; Peck, L. S.</t>
  </si>
  <si>
    <t>Depth gradients in shell morphology correlate with thermal limits for activity and ice disturbance in Antarctic limpets</t>
  </si>
  <si>
    <t>Antarctic limpet; Depth; Nacella concinna; Physiological limits; Thermal limits</t>
  </si>
  <si>
    <t>CLIMATE-CHANGE; NACELLA-CONCINNA; LOTTIA-GIGANTEA; INTERTIDAL ZONE; OWL LIMPET; TEMPERATURE; STRESS; SIZE; REPRODUCTION; TOLERANCE</t>
  </si>
  <si>
    <t>To fully understand how species distributions will respond to changing environments it is essential to understand the mechanisms underlying variation in animal performance and the relative importance of different ecological and environmental factors. A performance measure that has previously been used as an indicator of thermal capacity of the Antarctic limpet (Nacella concinna) to cope with regional warming is the ability to right if removed from the substratum and turned upside down. As part of an on-going study into limpet genetics and phenotypic plasticity, we tested the temperature limits for 50% righting of limpets from 6 and 30 m depth. The 50% threshold for limpets collected from 6 m (4.7 degrees C) was higher than for those collected from 30 m (0.7 degrees C). This compares with a previously published limit of 2.2 degrees C for limpets collected from 12-15 m at the same location. These thermal limits positively correlated with a depth gradient in shell height to length ratio; thickness and strength. Flatter limpets, had a reduced thermal limit for righting than taller limpets which we hypothesise is related to increased energy requirements of flat limpets, which have to turn through a greater angle to right than tall limpets. Of the factors that cause morphological plasticity of gastropod shells, iceberg disturbance is the most likely cause of the sub-tidal gradient in N. concinna shell shape, and therefore the thermal limit for righting of limpets from 6 to 30 m depth, rather than environmental temperature. Crown Copyright (C) 2010 Published by Elsevier B.V. All rights reserved.</t>
  </si>
  <si>
    <t>[Morley, S. A.; Clark, M. S.; Peck, L. S.] British Antarctic Survey, Nat Environm Res Council, Cambridge CB3 0ET, England</t>
  </si>
  <si>
    <t>Morley, SA (corresponding author), British Antarctic Survey, Nat Environm Res Council, Madingley Rd, Cambridge CB3 0ET, England.</t>
  </si>
  <si>
    <t>smor@bas.ac.uk</t>
  </si>
  <si>
    <t>National Facility for Scientific Diving at SAMS; Natural Environment Research Council; NERC [bas0100025, dml011000] Funding Source: UKRI; Natural Environment Research Council [dml011000, bas0100025] Funding Source: researchfish</t>
  </si>
  <si>
    <t>National Facility for Scientific Diving at SAMS;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</si>
  <si>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Thanks go to Alison Massey and the Rothera dive team. SCUBA diving was supported by the National Facility for Scientific Diving at SAMS. Oceanographic data was provided by the RaTS program, Mike Meredith. We thank an anonymous referee for providing comments that improved this manuscript. This study is part of the British Antarctic Survey Polar Science for Planet Earth Programme (Ecosystems/Adaptations and physiology). It was funded by the Natural Environment Research Council. These experiments comply with current UK legislation. [SS]</t>
  </si>
  <si>
    <t>10.1016/j.jembe.2010.04.040</t>
  </si>
  <si>
    <t>620ES</t>
  </si>
  <si>
    <t>WOS:000279482400001</t>
  </si>
  <si>
    <t>Detrich, HW; Stuart, A; Schoenborn, M; Parker, SK; Methé, BA; Amemiya, CT</t>
  </si>
  <si>
    <t>Detrich, H. William; Stuart, Andrew; Schoenborn, Michael; Parker, Sandra K.; Methe, Barbara A.; Amemiya, Chris T.</t>
  </si>
  <si>
    <t>Genome Enablement of the Notothenioidei: Genome Size Estimates from 11 Species and BAC Libraries from 2 Representative Taxa</t>
  </si>
  <si>
    <t>JOURNAL OF EXPERIMENTAL ZOOLOGY PART B-MOLECULAR AND DEVELOPMENTAL EVOLUTION</t>
  </si>
  <si>
    <t>CELLULAR-DNA CONTENT; ANTARCTIC FISH; GLOBIN GENES; ROSS SEA; EVOLUTION; EXPRESSION; COLD; HEMOGLOBIN; BUOYANCY; TEMPERATURE</t>
  </si>
  <si>
    <t>The perciform suborder Notothenoidei provides a compelling opportunity to study the adaptive radiation of a marine species flock in the cold Southern Ocean surrounding Antarctica. To enable genome-level studies of these psychrophilic fishes, we estimated the sizes of the genomes of 11 Antarctic species and generated high-quality BAC libraries for 2, the notothen Notothenia coriiceps and the icefish Chaenocepholus aceratus. Our results indicate that evolution of phylogenetically derived notothenioid families, [e.g., the icefishes (Channichthyidae)], was accompanied by genome expansion. Species (n = 6) of the basal family Nototheniidae had C values that ranged between 0.98 and 1.20 pg, whereas those of the icefishes, the notothenioid crown group, were 1.66-1.83 pg (n = 4 species). The BAC libraries VMRC-19 (N. coriiceps) and VMRC-21 (C. aceratus) comprised 12X and 10X coverage of the respective genomes and had average insert sizes of 138 and 168 kb. Greater than 60% of paired BAC ends sampled from each library (similar to 0.1% of each genome) contained repetitive sequences, and the repetitive element landscapes of the 2 genomes (13.4% of the N. coriiceps genome and 14.5% for C. aceratus) were similar. The representation and depth of coverage of the libraries were verified by identification of multiple Hox gene contigs: six discrete Hox clusters were found in N. coriiceps and at least five Hox clusters were found in C. aceratus. Given the unusual anatomical and physiological adaptations of the notothenioids, the availability of these BAC libraries sets the stage for expanded analysis of the psychrophilic mode of life. J. Exp. Zool. (Mol. Dev. Evol.) 314B:369-381, 2010. (C) 2010 Wiley-Liss, Inc.</t>
  </si>
  <si>
    <t>[Detrich, H. William; Parker, Sandra K.] Northeastern Univ, Dept Biol, Boston, MA 02115 USA; [Stuart, Andrew; Schoenborn, Michael; Amemiya, Chris T.] Virginia Mason, Benaroya Res Inst, Seattle, WA 98101 USA; [Methe, Barbara A.] J Craig Venter Inst, Rockville, MD USA; [Amemiya, Chris T.] Univ Washington, Dept Biol, Seattle, WA 98195 USA</t>
  </si>
  <si>
    <t>Northeastern University; Benaroya Research Institute; Virginia Mason Medical Center; J. Craig Venter Institute; University of Washington; University of Washington Seattle</t>
  </si>
  <si>
    <t>Detrich, HW (corresponding author), Northeastern Univ, Dept Biol, 134 Mugar Hall,360 Huntington Ave, Boston, MA 02115 USA.</t>
  </si>
  <si>
    <t>iceman@neu.edu; camemiya@benaroyaresearch.org</t>
  </si>
  <si>
    <t>National Science Foundation [ANT-0632527, OPP-0336932, ANT-0635470]; National Institutes of Health [HG02526, NIH-U01-HG02526]</t>
  </si>
  <si>
    <t>National Science Foundation(National Science Foundation (NSF)); National Institutes of Health(United States Department of Health &amp; Human ServicesNational Institutes of Health (NIH) - USA)</t>
  </si>
  <si>
    <t>Grant Sponsor: National Science Foundation; Grant numbers: ANT-0632527; OPP-0336932; ANT-0635470; Grant Sponsor: National Institutes of Health; Grant number: HG02526.; We thank the personnel of the Office of Polar Programs of the National Science Foundation, of Raytheon Polar Services Company, and of the ARSV Laurence M. Gould, without whose support this work could not have been accomplished. Guillaume Lecointre (Museum National d'Histoire Naturelle, Paris) and Andrew Shedlock (Museum of Comparative Zoology, Harvard University) provided valuable advice on the phylogeny of the notothenioids and on analysis of the repetitive sequence data, respectively. Deborah Tinnemore, Joshua Danke, Am K. Arumuganathan, Michael Rego, and Jeramiah Smith provided technical assistance. BAC fingerprinting was performed by Jacquie Schein's group at the Michael Smith Genome Sciences Centre, Vancouver, Canada. For inquiries regarding access to the BAC libraries please contact Pieter de Jong (pdejong@chori.org). Research funding was provided by the National Institutes of Health to C. T. A. (NIH-U01-HG02526) and by the National Science Foundation to C. T. A. (ANT-0632527) and to H. W. D. (OPP-0336932 and ANT-0635470).</t>
  </si>
  <si>
    <t>1552-5007</t>
  </si>
  <si>
    <t>1552-5015</t>
  </si>
  <si>
    <t>J EXP ZOOL PART B</t>
  </si>
  <si>
    <t>J. Exp. Zool. Part B</t>
  </si>
  <si>
    <t>314B</t>
  </si>
  <si>
    <t>10.1002/jez.b.21341</t>
  </si>
  <si>
    <t>Evolutionary Biology; Developmental Biology; Zoology</t>
  </si>
  <si>
    <t>613ZM</t>
  </si>
  <si>
    <t>WOS:000279024100004</t>
  </si>
  <si>
    <t>Chen, LJ; Thorne, RM; Jordanova, VK; Wang, CP; Gkioulidou, M; Lyons, L; Horne, RB</t>
  </si>
  <si>
    <t>Chen, Lunjin; Thorne, Richard M.; Jordanova, Vania K.; Wang, Chih-Ping; Gkioulidou, Matina; Lyons, Larry; Horne, Richard B.</t>
  </si>
  <si>
    <t>Global simulation of EMIC wave excitation during the 21 April 2001 storm from coupled RCM-RAM-HOTRAY modeling</t>
  </si>
  <si>
    <t>ION-CYCLOTRON WAVES; PITCH-ANGLE SCATTERING; GEOMAGNETIC STORMS; PLASMA; INSTABILITIES; FREQUENCY; RADIATION; MAGNETOSPHERE; PRECIPITATION; GENERATION</t>
  </si>
  <si>
    <t>The global distribution and spectral properties of electromagnetic ion cyclotron (EMIC) waves in the He+ band are simulated for the 21 April 2001 storm using a combination of three different codes: the Rice Convection Model, the Ring current-Atmospheric interactions Model, and the HOTRAY ray tracing code (incorporated with growth rate solver). During the storm main phase, injected ions exhibit a non-Maxwellian distribution with pronounced phase space density minima at energies around a few keV. Ring current H+-injected from the plasma sheet provides the source of free energy for EMIC excitation during the storm. Significant wave gain is confined to a limited spatial region inside the storm time plume and maximizes at the eastward edge of the plume in the dusk and premidnight sector. The excited waves are also able to resonate and scatter relativistic electrons, but the minimum electron resonant energy is generally above 3 MeV.</t>
  </si>
  <si>
    <t>[Chen, Lunjin; Thorne, Richard M.; Wang, Chih-Ping; Gkioulidou, Matina; Lyons, Larry] Univ Calif Los Angeles, Dept Atmospher Sci, Los Angeles, CA 90024 USA; [Jordanova, Vania K.] Los Alamos Natl Lab, Los Alamos, NM 87545 USA; [Horne, Richard B.] British Antarctic Survey, NERC, Cambridge CB3 0ET, England</t>
  </si>
  <si>
    <t>University of California System; University of California Los Angeles; United States Department of Energy (DOE); Los Alamos National Laboratory; UK Research &amp; Innovation (UKRI); Natural Environment Research Council (NERC); NERC British Antarctic Survey</t>
  </si>
  <si>
    <t>Chen, LJ (corresponding author), Univ Calif Los Angeles, Dept Atmospher Sci, Los Angeles, CA 90024 USA.</t>
  </si>
  <si>
    <t>clj@atmos.ucla.edu</t>
  </si>
  <si>
    <t>Jordanova, Vania/AAE-9907-2020; Horne, Richard B/U-3764-2019; Gkioulidou, Matina/G-9009-2015; Jordanova, Vania/E-3667-2018; Chen, Lunjin/L-1250-2013</t>
  </si>
  <si>
    <t>Horne, Richard B/0000-0002-0412-6407; Gkioulidou, Matina/0000-0001-9979-2164; Jordanova, Vania/0000-0003-0475-8743; Chen, Lunjin/0000-0003-2489-3571</t>
  </si>
  <si>
    <t>NASA [NNH08AJ01I, NNG08EK60I, NNX07AF66G, NNX07AG42G, NNX08A135G, NNX09AQ41H]; NSF [ATM-0819864]; NERC [bas0100023] Funding Source: UKRI; Natural Environment Research Council [bas0100023] Funding Source: researchfish; NASA [110778, NNX09AQ41H] Funding Source: Federal RePORTER</t>
  </si>
  <si>
    <t>NASA(National Aeronautics &amp; Space Administration (NASA)); NSF(National Science Foundation (NSF)); NERC(UK Research &amp; Innovation (UKRI)Natural Environment Research Council (NERC)); Natural Environment Research Council(UK Research &amp; Innovation (UKRI)Natural Environment Research Council (NERC)); NASA(National Aeronautics &amp; Space Administration (NASA))</t>
  </si>
  <si>
    <t>This research was supported by NASA grants NNX08A135G, NNH08AJ01I, NNG08EK60I, and NNH08AJ01I. The work by C.-P. Wang, M. Gkioulidou, and L. R. Lyons has been supported by NASA grants NNX07AF66G, NNX07AG42G, NNX08A135G, and NNX09AQ41H, and NSF grant ATM-0819864. We thank Richard Wolf at Rice University, who has generously provided us the RCM code, and Robert Spiro at Rice University for helping us get the RCM running at UCLA.</t>
  </si>
  <si>
    <t>A07209</t>
  </si>
  <si>
    <t>10.1029/2009JA015075</t>
  </si>
  <si>
    <t>627PD</t>
  </si>
  <si>
    <t>WOS:000280051200009</t>
  </si>
  <si>
    <t>Zahid, KM; Barbeau, DL</t>
  </si>
  <si>
    <t>Zahid, Khandaker M.; Barbeau, David L., Jr.</t>
  </si>
  <si>
    <t>Provenance of eastern Magallanes foreland basin sediments: Heavy mineral analysis reveals Paleogene tectonic unroofing of the Fuegian Andes hinterland</t>
  </si>
  <si>
    <t>SEDIMENTARY GEOLOGY</t>
  </si>
  <si>
    <t>South America; Scotia arc; Sediment provenance; SEM-EDS; Drake passage</t>
  </si>
  <si>
    <t>TIERRA-DEL-FUEGO; DARWIN METAMORPHIC COMPLEX; PROTO-PACIFIC MARGIN; CORDILLERA-DARWIN; ANTARCTIC PENINSULA; SOUTHERNMOST ANDES; BACK-ARC; PATAGONIAN BATHOLITH; STRATIGRAPHIC RECORD; SILICIC VOLCANISM</t>
  </si>
  <si>
    <t>Documenting variations in the composition of foreland basin detrital sediments is a useful tool for reconstructing the kinematic history of associated orogenic systems Herein we report the results of our SEM-EDS heavy mineral analysis of the Late Cretaceous to early Miocene eastern Magallanes basin of southernmost Argentina Our data indicate that Campanian to middle Eocene sediments had a mafic/ophiolitic provenance, which we Interpret as being derived from the Patagonian-Fuegian magmatic arc and the mafic floor of the preceding Rocas Verdes marginal basin Upper middle Eocene to lower Miocene heavy minerals, on the other hand, indicate a metamorphic/metasedimentary provenance, which we interpret as being derived from the Cordillera Darwin metamorphic complex Together, these data indicate an abrupt shift in sediment provenance in middle to late Eocene time, thereby corroborating recent interpretations of the basin's detrital-zircon geochrononology, and providing further support for temporal and possibly genetic relationships between development of the Patagonian orocline, the opening of Drake Passage and the O-1-1 glaciation of Antarctica. (C) 2010 Elsevier B V. All rights reserved</t>
  </si>
  <si>
    <t>[Zahid, Khandaker M.; Barbeau, David L., Jr.] Univ S Carolina, Dept Earth &amp; Ocean Sci, Columbia, SC 29208 USA</t>
  </si>
  <si>
    <t>University of South Carolina System; University of South Carolina Columbia</t>
  </si>
  <si>
    <t>Zahid, KM (corresponding author), 701 Sumter St EWS 617, Columbia, SC 29208 USA.</t>
  </si>
  <si>
    <t>Zahid, Khandaker M/B-3800-2011</t>
  </si>
  <si>
    <t>National Science Foundation [ANT-0732995]; University of South Carolina; Geological Society; Division Of Earth Sciences; Directorate For Geosciences [1032156] Funding Source: National Science Foundation</t>
  </si>
  <si>
    <t>National Science Foundation(National Science Foundation (NSF)); University of South Carolina; Geological Society; Division Of Earth Sciences; Directorate For Geosciences(National Science Foundation (NSF)NSF - Directorate for Geosciences (GEO))</t>
  </si>
  <si>
    <t>Funding for this research primarily comes from National Science Foundation Office of Polar Programs grant (ANT-0732995) awarded to DLB for the International Polar Year Additional funding came from the University of South Carolina Research and Productive Scholarship program awarded to DLB and a Geological Society of America Research Grant awarded to KMZ. N. Swanson-Hysell, D. Gombosi, K. Murray, and A. Moragues helped with sample collection. The authors would like to acknowledge the University of South Carolina Electron Microscopy Center for instrument use, scientific and technical assistance. We thank Brian Romans and an anonymous reviewer for improving the manuscript with their comments and suggestions.</t>
  </si>
  <si>
    <t>0037-0738</t>
  </si>
  <si>
    <t>1879-0968</t>
  </si>
  <si>
    <t>SEDIMENT GEOL</t>
  </si>
  <si>
    <t>Sediment. Geol.</t>
  </si>
  <si>
    <t>10.1016/j.sedgeo.2010.06.006</t>
  </si>
  <si>
    <t>639PY</t>
  </si>
  <si>
    <t>WOS:000280987900005</t>
  </si>
  <si>
    <t>Shepherd, A; Wingham, D; Wallis, D; Giles, K; Laxon, S; Sundal, AV</t>
  </si>
  <si>
    <t>Shepherd, Andrew; Wingham, Duncan; Wallis, David; Giles, Katharine; Laxon, Seymour; Sundal, Aud Venke</t>
  </si>
  <si>
    <t>Recent loss of floating ice and the consequent sea level contribution</t>
  </si>
  <si>
    <t>SHELF; THICKNESS; CLIMATE</t>
  </si>
  <si>
    <t>We combine new and published satellite observations and the results of a coupled ice-ocean model to provide the first estimate of changes in the quantity of ice floating in the global oceans and the consequent sea level contribution. Rapid losses of Arctic sea ice and small Antarctic ice shelves are partially offset by thickening of Antarctic sea ice and large Antarctic ice shelves. Altogether, 746 +/- 127 km(3) yr(-1) of floating ice was lost between 1994 and 2004, a value that exceeds considerably the reduction in grounded ice over the same period. Although the losses are equivalent to a small (49 +/- 8 mm yr(-1)) rise in mean sea level, there may be large regional variations in the degree of ocean freshening and mixing. Ice shelves at the Antarctic Peninsula and in the Amundsen Sea, for example, have lost 481 +/- 38 km(3) yr(-1). Citation: Shepherd, A., D. Wingham, D. Wallis, K. Giles, S. Laxon, and A. V. Sundal (2010), Recent loss of floating ice and the consequent sea level contribution, Geophys. Res. Lett., 37, L13503, doi:10.1029/2010GL042496.</t>
  </si>
  <si>
    <t>[Shepherd, Andrew; Sundal, Aud Venke] Univ Leeds, Sch Earth &amp; Environm, Leeds LS2 9JT, W Yorkshire, England; [Wingham, Duncan; Wallis, David; Giles, Katharine; Laxon, Seymour] UCL, Dept Earth Sci, London WC1E 6BT, England</t>
  </si>
  <si>
    <t>University of Leeds; University of London; University College London</t>
  </si>
  <si>
    <t>Shepherd, A (corresponding author), Univ Leeds, Sch Earth &amp; Environm, Leeds LS2 9JT, W Yorkshire, England.</t>
  </si>
  <si>
    <t>a.shepherd@leeds.ac.uk</t>
  </si>
  <si>
    <t>Laxon, Seymour/C-1644-2008; Giles, Katharine A/G-3837-2010</t>
  </si>
  <si>
    <t>Wallis, David/0000-0002-0812-883X; Shepherd, Andrew/0000-0002-4914-1299</t>
  </si>
  <si>
    <t>UK National Centre for Earth Observation; Philip Leverhulme Prize; NERC [NE/E014089/2, cpom20001] Funding Source: UKRI; Natural Environment Research Council [cpom20001, NE/E014089/2, earth010006] Funding Source: researchfish</t>
  </si>
  <si>
    <t>UK National Centre for Earth Observation; Philip Leverhulme Prize(Leverhulme Trust); NERC(UK Research &amp; Innovation (UKRI)Natural Environment Research Council (NERC)); Natural Environment Research Council(UK Research &amp; Innovation (UKRI)Natural Environment Research Council (NERC))</t>
  </si>
  <si>
    <t>This work was supported by the UK National Centre for Earth Observation and a Philip Leverhulme Prize to AS. We thank an anonymous reviewer for helpful comments on the manuscript.</t>
  </si>
  <si>
    <t>JUL 13</t>
  </si>
  <si>
    <t>L13503</t>
  </si>
  <si>
    <t>10.1029/2010GL042496</t>
  </si>
  <si>
    <t>627ML</t>
  </si>
  <si>
    <t>WOS:000280043700001</t>
  </si>
  <si>
    <t>Edwards, HGM</t>
  </si>
  <si>
    <t>Edwards, Howell G. M.</t>
  </si>
  <si>
    <t>Raman spectroscopic approach to analytical astrobiology: the detection of key geological and biomolecular markers in the search for life</t>
  </si>
  <si>
    <t>PHILOSOPHICAL TRANSACTIONS OF THE ROYAL SOCIETY A-MATHEMATICAL PHYSICAL AND ENGINEERING SCIENCES</t>
  </si>
  <si>
    <t>ANTARCTIC HABITATS; IN-SITU; MARS; FOSSILS; ORIGIN</t>
  </si>
  <si>
    <t>Univ Bradford, Sch Life Sci, Ctr Astrobiol &amp; Extremophiles Res, Bradford BD7 1DP, W Yorkshire, England</t>
  </si>
  <si>
    <t>University of Bradford</t>
  </si>
  <si>
    <t>Edwards, HGM (corresponding author), Univ Bradford, Sch Life Sci, Ctr Astrobiol &amp; Extremophiles Res, Bradford BD7 1DP, W Yorkshire, England.</t>
  </si>
  <si>
    <t>h.g.m.edwards@bradford.ac.uk</t>
  </si>
  <si>
    <t>1364-503X</t>
  </si>
  <si>
    <t>PHILOS T R SOC A</t>
  </si>
  <si>
    <t>Philos. Trans. R. Soc. A-Math. Phys. Eng. Sci.</t>
  </si>
  <si>
    <t>10.1098/rsta.2010.0100</t>
  </si>
  <si>
    <t>605ZV</t>
  </si>
  <si>
    <t>WOS:000278390500001</t>
  </si>
  <si>
    <t>Jehlicka, J; Edwards, HGM; Culka, A</t>
  </si>
  <si>
    <t>Jehlicka, J.; Edwards, H. G. M.; Culka, A.</t>
  </si>
  <si>
    <t>Using portable Raman spectrometers for the identification of organic compounds at low temperatures and high altitudes: exobiological applications</t>
  </si>
  <si>
    <t>Raman spectrometry; outdoors measurements; exobiology; organics</t>
  </si>
  <si>
    <t>SPECTROSCOPIC DETECTION; ANTARCTIC HABITATS; REFERENCE DATABASE; BETA-CAROTENE; ACETIC-ACID; DEEP-OCEAN; FT-RAMAN; SPECTRA; MINERALS; LIFE</t>
  </si>
  <si>
    <t>Organic minerals, organic acids and NH-containing organic molecules represent important target molecules for astrobiology. Here, we present the results of the evaluation of a portable hand-held Raman spectrometer to detect these organic compounds outdoors under field conditions. These measurements were carried out during the February-March 2009 winter period in Austrian Alpine sites at temperatures ranging between -5 and -25 degrees C. The compounds investigated were detected under field conditions and their main Raman spectral features were observed unambiguously at their correct reference wavenumber positions. The results obtained demonstrate that a miniaturized Raman spectrometer equipped with 785 nm excitation could be applied with advantage as a key instrument for investigating the presence of organic minerals, organic acids and nitrogen-containing organic compounds outdoors under terrestrial low-temperature conditions. Within the payload designed by ESA and NASA for several missions focusing on Mars, Titan, Europa and other extraterrestrial bodies, Raman spectroscopy can be proposed as an important non-destructive analytical tool for the in situ identification of organic compounds relevant to life detection on planetary and moon surfaces or near subsurfaces.</t>
  </si>
  <si>
    <t>[Jehlicka, J.; Culka, A.] Charles Univ Prague, Inst Geochem Mineral &amp; Mineral Resources, Prague 12843 2, Czech Republic; [Edwards, H. G. M.] Univ Bradford, Sch Life Sci, Ctr Astrobiol &amp; Extremophiles Res, Bradford BD7 1DP, W Yorkshire, England</t>
  </si>
  <si>
    <t>Charles University Prague; University of Bradford</t>
  </si>
  <si>
    <t>Jehlicka, J (corresponding author), Charles Univ Prague, Inst Geochem Mineral &amp; Mineral Resources, Albertov 6, Prague 12843 2, Czech Republic.</t>
  </si>
  <si>
    <t>jehlicka@natur.cuni.cz</t>
  </si>
  <si>
    <t>Culka, Adam/H-9272-2016; Jehlicka, Jan/H-9357-2016</t>
  </si>
  <si>
    <t>Culka, Adam/0000-0002-1861-070X; Jehlicka, Jan/0000-0002-4294-876X</t>
  </si>
  <si>
    <t>Ministry of Education of the Czech Republic [MSM0021620855]; Grant Agency of Charles University [133107]</t>
  </si>
  <si>
    <t>Ministry of Education of the Czech Republic(Ministry of Education, Youth &amp; Sports - Czech Republic); Grant Agency of Charles University</t>
  </si>
  <si>
    <t>This work was supported by a grant (MSM0021620855) from the Ministry of Education of the Czech Republic and partly by the Grant Agency of Charles University ( grant no. 133107). This support is gratefully acknowledged.</t>
  </si>
  <si>
    <t>1471-2962</t>
  </si>
  <si>
    <t>10.1098/rsta.2010.0075</t>
  </si>
  <si>
    <t>WOS:000278390500005</t>
  </si>
  <si>
    <t>Marshall, CP; Marshall, AO</t>
  </si>
  <si>
    <t>Marshall, Craig P.; Marshall, Alison Olcott</t>
  </si>
  <si>
    <t>The potential of Raman spectroscopy for the analysis of diagenetically transformed carotenoids</t>
  </si>
  <si>
    <t>Raman spectroscopy; carotenoids; diagenetically altered carotenoids; astrobiology; Mars</t>
  </si>
  <si>
    <t>ANTARCTIC HABITATS; MERIDIANI-PLANUM; IN-SITU; MARS; ENVIRONMENT; BIOMARKER; ANALOGS; LIFE</t>
  </si>
  <si>
    <t>Recently, carotenoids have received much attention as target compounds for astrobiological prospecting principally because they are a group of molecules that display unique diagnostic Raman spectra that can be assigned to organic material of unequivocal biological origin. However, no work has been performed on assessing the potential of Raman spectroscopic detection of carotenoids from fossilized microbes. Here, we report the first Raman spectra acquired from 'perhydro' derivatives of beta-carotene and lycopene formed by hydrogenation of the polyene chain during diagenesis, resulting in much less specific fossil hydrocarbons such as beta-carotane and lycopane, respectively. We propose here that diagenetically altered carotenoids formed by hydrogenation reactions during the fossilization processes also provide unique diagnostic spectra that can be interpreted as a biological signature.</t>
  </si>
  <si>
    <t>[Marshall, Craig P.; Marshall, Alison Olcott] Univ Kansas, Dept Geol, Lawrence, KS 66045 USA</t>
  </si>
  <si>
    <t>University of Kansas</t>
  </si>
  <si>
    <t>Marshall, CP (corresponding author), Univ Kansas, Dept Geol, Lawrence, KS 66045 USA.</t>
  </si>
  <si>
    <t>cpmarshall@ku.edu</t>
  </si>
  <si>
    <t>Olcott, Alison N./AAL-2020-2021</t>
  </si>
  <si>
    <t>Australian Research Council (ARC)</t>
  </si>
  <si>
    <t>Australian Research Council (ARC)(Australian Research Council)</t>
  </si>
  <si>
    <t>C. P. M. would like to thank the Australian Research Council (ARC) for funding.</t>
  </si>
  <si>
    <t>10.1098/rsta.2010.0016</t>
  </si>
  <si>
    <t>WOS:000278390500007</t>
  </si>
  <si>
    <t>Vítek, P; Edwards, HGM; Jehlicka, J; Ascaso, C; De los Ríos, A; Valea, S; Jorge-Villar, SE; Davila, AF; Wierzchos, J</t>
  </si>
  <si>
    <t>Vitek, P.; Edwards, H. G. M.; Jehlicka, J.; Ascaso, C.; De los Rios, A.; Valea, S.; Jorge-Villar, S. E.; Davila, A. F.; Wierzchos, J.</t>
  </si>
  <si>
    <t>Microbial colonization of halite from the hyper-arid Atacama Desert studied by Raman spectroscopy</t>
  </si>
  <si>
    <t>Atacama; extremophiles; Mars; biomarkers; cyanobacteria; pigments</t>
  </si>
  <si>
    <t>CYANOBACTERIAL SHEATH PIGMENT; HALOTOLERANT BACTERIUM; ANTARCTIC HABITATS; BETA-CAROTENE; SALT CRYSTAL; MARTIAN LIFE; MARS; SCYTONEMIN; ANALOGS; IDENTIFICATION</t>
  </si>
  <si>
    <t>The hyper-arid core of the Atacama Desert (Chile) is the driest place on Earth and is considered a close analogue to the extremely arid conditions on the surface of Mars. Microbial life is very rare in soils of this hyper-arid region, and autotrophic microorganisms are virtually absent. Instead, photosynthetic micro-organisms have successfully colonized the interior of halite crusts, which are widespread in the Atacama Desert. These endoevaporitic colonies are an example of life that has adapted to the extreme dryness by colonizing the interior of rocks that provide enhanced moisture conditions. As such, these colonies represent a novel example of potential life on Mars. Here, we present non-destructive Raman spectroscopical identification of these colonies and their organic remnants. Spectral signatures revealed the presence of UV-protective biomolecules as well as light-harvesting pigments pointing to photosynthetic activity. Compounds of biogenic origin identified within these rocks differed depending on the origins of specimens from particular areas in the desert, with differing environmental conditions. Our results also demonstrate the capability of Raman spectroscopy to identify biomarkers within rocks that have a strong astrobiological potential.</t>
  </si>
  <si>
    <t>[Vitek, P.; Jehlicka, J.] Charles Univ Prague, Inst Geochem Mineral &amp; Mineral Resources, Prague 12843 2, Czech Republic; [Edwards, H. G. M.] Univ Bradford, Sch Life Sci, Ctr Astrobiol &amp; Extremophiles Res, Bradford BD7 1DP, W Yorkshire, England; [Ascaso, C.; De los Rios, A.; Valea, S.; Wierzchos, J.] CSIC, Inst Recursos Nat, CCMA, E-28006 Madrid, Spain; [Jorge-Villar, S. E.] Univ Burgos, Fac Humanidades &amp; Educ, Area Geodinam Interna, Burgos 09001, Spain; [Davila, A. F.] NASA, Ames Res Ctr, SETI Inst, Moffett Field, CA 94035 USA</t>
  </si>
  <si>
    <t>Charles University Prague; University of Bradford; Consejo Superior de Investigaciones Cientificas (CSIC); CSIC - Centro de Ciencias Medioambientales (CCMA); CSIC - Instituto de Recursos Naturales (IRN); Universidad de Burgos; National Aeronautics &amp; Space Administration (NASA); NASA Ames Research Center</t>
  </si>
  <si>
    <t>Vítek, P (corresponding author), Charles Univ Prague, Inst Geochem Mineral &amp; Mineral Resources, Albertov 6, Prague 12843 2, Czech Republic.</t>
  </si>
  <si>
    <t>vitek2@natur.cuni.cz</t>
  </si>
  <si>
    <t>de los Rios, Asuncion/L-3694-2014; Davila, Alfonso F/A-2198-2013; Jorge-Villar, Susana E./A-8927-2011; Vitek, Petr/R-8022-2016; Ascaso, Carmen/F-5369-2011; Jehlicka, Jan/H-9357-2016; Wierzchos, Jacek/F-7036-2011</t>
  </si>
  <si>
    <t>de los Rios, Asuncion/0000-0002-0266-3516; Jorge-Villar, Susana E./0000-0003-1676-4438; Ascaso, Carmen/0000-0001-9665-193X; Jehlicka, Jan/0000-0002-4294-876X; Wierzchos, Jacek/0000-0003-3084-3837</t>
  </si>
  <si>
    <t>Grant Agency of Charles University in Prague [83007]; Ministry of Education of the Czech Republic [MSM0021620855]; Ministry of Science and Innovation [CGL2006-04658, CGL2007-62875/BOS]; CSIC (Spanish Research Council) [PIE-631A]</t>
  </si>
  <si>
    <t>Grant Agency of Charles University in Prague; Ministry of Education of the Czech Republic(Ministry of Education, Youth &amp; Sports - Czech Republic); Ministry of Science and Innovation(Spanish Government); CSIC (Spanish Research Council)</t>
  </si>
  <si>
    <t>This work was supported by the Grant Agency of Charles University in Prague, grant no. 83007, and by grant MSM0021620855 from the Ministry of Education of the Czech Republic. This work was also supported by grants CGL2006-04658 and CGL2007-62875/BOS from the Ministry of Science and Innovation and grant PIE-631A from the CSIC (Spanish Research Council).</t>
  </si>
  <si>
    <t>10.1098/rsta.2010.0059</t>
  </si>
  <si>
    <t>WOS:000278390500012</t>
  </si>
  <si>
    <t>Hung, CC; Gong, GC</t>
  </si>
  <si>
    <t>Hung, Chin-Chang; Gong, Gwo-Ching</t>
  </si>
  <si>
    <t>POC/234Th ratios in particles collected in sediment traps in the northern South China Sea</t>
  </si>
  <si>
    <t>ESTUARINE COASTAL AND SHELF SCIENCE</t>
  </si>
  <si>
    <t>particulate organic carbon; flux; Th-234; POC/Th-234; sediment trap; South China Sea; East China Sea</t>
  </si>
  <si>
    <t>PARTICULATE ORGANIC-CARBON; ANTARCTIC POLAR FRONT; UPPER OCEAN EXPORT; TH-234/U-238 DISEQUILIBRIUM; TIME-SERIES; POC EXPORT; NEUTRALLY BUOYANT; MESOSCALE EDDIES; WATER COLUMN; CANADA BASIN</t>
  </si>
  <si>
    <t>Th-234 has been increasingly used as a tracer to estimate particulate organic carbon (POC) flux, based on calculation of the product of the POC/Th-234 ratio in sinking particles and the Th-234 flux. Large (&gt;50 mu m) pump-collected particles are assumed to be representative of sinking particles for determining POC/Th-234 ratios, but the basis of this assumption has not been extensively investigated. Here we present POC and Th-234 data for various particle size classes (1-10, 10-50, 50-150 and &gt;150 mu m) from trap-collected particles in the northern South China Sea (SCS, a subtropical region). Within the trap-collected POC pool the 1-10 mu m fraction contained the largest proportion of POC (26-35%), followed by the 10-50 mu m (25-29%), 50-150 mu m (19-24%), and &gt;150 mu m (17-23%) fractions. The distribution pattern of Th-234 in the trap-collected particles was analogous to that of POC, with the smallest (1-10 mu m) particles representing the largest proportion (37-54%) of the Th-234 flux. Our preliminary results indicate that trap-collected particles &lt;50 mu m carry most of the POC and Th-234 flux in the northern SCS, suggesting that the contribution of particles smaller than &lt;50 mu m to the settling flux is larger than previously thought. The results indicate that it may be necessary to simultaneously measure POC/Th-234 ratios on size-fractionated trap- and pump-collected materials from different marine regions, including tropical and high latitude locations. (C) 2010 Elsevier Ltd. All rights reserved.</t>
  </si>
  <si>
    <t>[Hung, Chin-Chang; Gong, Gwo-Ching] Natl Taiwan Ocean Univ, Inst Marine Environm Chem &amp; Ecol, Chilung 20224, Taiwan</t>
  </si>
  <si>
    <t>National Taiwan Ocean University</t>
  </si>
  <si>
    <t>Hung, CC (corresponding author), Natl Taiwan Ocean Univ, Inst Marine Environm Chem &amp; Ecol, Chilung 20224, Taiwan.</t>
  </si>
  <si>
    <t>cchung@mail.ntou.edu.tw</t>
  </si>
  <si>
    <t>Gong, Gwo-Ching/B-4877-2009</t>
  </si>
  <si>
    <t>National Science Council [NSC97-2745-M-019-001, NSC98-2628-M-019-011, NSC98-2611-M-019-014-MY3]; Center for Marine Bioenvironment and Biotechnology (CMBB) at NTOU</t>
  </si>
  <si>
    <t>National Science Council(Ministry of Science and Technology, Taiwan); Center for Marine Bioenvironment and Biotechnology (CMBB) at NTOU</t>
  </si>
  <si>
    <t>We are grateful to W.C. Chung, W.T. Kuo, M.L. Sheu, S.L. Lee, J.M. Wu, C.W. Tseng and J.S. Sieh for their assistance in sample collection and data processing. We also thank two anonymous reviewers for comments that have substantially improved the manuscript. This research was funded by grants from the National Science Council (NSC97-2745-M-019-001, NSC98-2628-M-019-011, NSC98-2611-M-019-014-MY3) and the Center for Marine Bioenvironment and Biotechnology (CMBB) at NTOU.</t>
  </si>
  <si>
    <t>0272-7714</t>
  </si>
  <si>
    <t>1096-0015</t>
  </si>
  <si>
    <t>ESTUAR COAST SHELF S</t>
  </si>
  <si>
    <t>Estuar. Coast. Shelf Sci.</t>
  </si>
  <si>
    <t>JUL 10</t>
  </si>
  <si>
    <t>10.1016/j.ecss.2010.04.008</t>
  </si>
  <si>
    <t>620XW</t>
  </si>
  <si>
    <t>WOS:000279537500001</t>
  </si>
  <si>
    <t>Stone, RS; Herber, A; Vitale, V; Mazzola, M; Lupi, A; Schnell, RC; Dutton, EG; Liu, PSK; Li, SM; Dethloff, K; Lampert, A; Ritter, C; Stock, M; Neuber, R; Maturilli, M</t>
  </si>
  <si>
    <t>Stone, R. S.; Herber, A.; Vitale, V.; Mazzola, M.; Lupi, A.; Schnell, R. C.; Dutton, E. G.; Liu, P. S. K.; Li, S. -M.; Dethloff, K.; Lampert, A.; Ritter, C.; Stock, M.; Neuber, R.; Maturilli, M.</t>
  </si>
  <si>
    <t>A three-dimensional characterization of Arctic aerosols from airborne Sun photometer observations: PAM-ARCMIP, April 2009</t>
  </si>
  <si>
    <t>LONG-TERM DECREASE; BLACK CARBON; OPTICAL DEPTH; TROPOSPHERIC AEROSOL; SIZE DISTRIBUTION; NOAA WP-3D; EL-CHICHON; HAZE; PARTICLES; RADIATION</t>
  </si>
  <si>
    <t>The Arctic climate is modulated, in part, by atmospheric aerosols that affect the distribution of radiant energy passing through the atmosphere. Aerosols affect the surface-atmosphere radiation balance directly through interactions with solar and terrestrial radiation and indirectly through interactions with cloud particles. Better quantification of the radiative forcing by different types of aerosol is needed to improve predictions of future climate. During April 2009, the airborne campaign Pan-Arctic Measurements and Arctic Regional Climate Model Inter-comparison Project (PAM-ARCMIP) was conducted. The mission was organized by Alfred Wegener Institute for Polar and Marine Research of Germany and utilized their research aircraft, Polar-5. The goal was to obtain a snapshot of surface and atmospheric conditions over the central Arctic prior to the onset of the melt season. Characterizing aerosols was one objective of the campaign. Standard Sun photometric procedures were adopted to quantify aerosol optical depth AOD, providing a three-dimensional view of the aerosol, which was primarily haze from anthropogenic sources. Independent, in situ measurements of particle size distribution and light extinction, derived from airborne lidar, are used to corroborate inferences made using the AOD results. During April 2009, from the European to the Alaskan Arctic, from sub-Arctic latitudes to near the pole, the atmosphere was variably hazy with total column AOD at 500 nm ranging from similar to 0.12 to &gt;0.35, values that are anomalously high compared with previous years. The haze, transported primarily from Eurasian industrial regions, was concentrated within and just above the surface-based temperature inversion layer. Extinction, as measured using an onboard lidar system, was also greatest at low levels, where particles tended to be slightly larger than at upper levels. Black carbon (BC) (soot) was observed at all levels sampled, but at moderate to low concentrations compared with historical records. BC was highest near the North Pole, suggesting there had been an accumulation of soot within the Arctic vortex. Few, optically thick elevated aerosol layers were observed along the flight track, although independent lidar observations reveal evidence of the passage of volcanic plumes, which may have contributed to abnormally high values of AOD above 4 km. Enhanced opacity at higher altitudes during the campaign is attributed to an accumulation of industrial pollutants in the upper troposphere in combination with volcanic aerosol resulting from the March-April 2009 eruptions of Mount Redoubt in Alaska. The presence of Arctic haze during April 2009 is estimated to have reduced the net shortwave irradiance by similar to 2-5 W m(-2), resulting in a slight cooling of the surface.</t>
  </si>
  <si>
    <t>[Stone, R. S.] Univ Colorado, Cooperat Inst Res Environm Sci, Boulder, CO 80309 USA; [Stone, R. S.; Schnell, R. C.; Dutton, E. G.] Natl Ocean &amp; Atmospher Adm, Global Monitoring Div, Earth Syst Res Lab, Boulder, CO 80305 USA; [Herber, A.] Alfred Wegener Inst Polar &amp; Marine Res, D-27568 Bremerhaven, Germany; [Vitale, V.; Mazzola, M.; Lupi, A.] CNR, Inst Atmospher Sci &amp; Climate, I-40129 Bologna, Italy; [Liu, P. S. K.] Environm Canada, Meteorol Res Div, Toronto, ON M3H 5T4, Canada; [Li, S. -M.] Environm Canada, Air Qual Res Div, Sci &amp; Technol Branch, Toronto, ON M3H 5T4, Canada; [Dethloff, K.; Lampert, A.; Ritter, C.; Stock, M.; Neuber, R.; Maturilli, M.] Alfred Wegener Inst Polar &amp; Marine Res, Res Unit Potsdam, D-14473 Potsdam, Germany</t>
  </si>
  <si>
    <t>University of Colorado System; University of Colorado Boulder; National Oceanic Atmospheric Admin (NOAA) - USA; Helmholtz Association; Alfred Wegener Institute, Helmholtz Centre for Polar &amp; Marine Research; Consiglio Nazionale delle Ricerche (CNR); Istituto di Scienze dell'Atmosfera e del Clima (ISAC-CNR); Environment &amp; Climate Change Canada; Environment &amp; Climate Change Canada; Helmholtz Association; Alfred Wegener Institute, Helmholtz Centre for Polar &amp; Marine Research</t>
  </si>
  <si>
    <t>Stone, RS (corresponding author), Univ Colorado, Cooperat Inst Res Environm Sci, Boulder, CO 80309 USA.</t>
  </si>
  <si>
    <t>Robert.Stone@noaa.gov</t>
  </si>
  <si>
    <t>vitale, vito/AAW-8441-2021; Dethloff, Klaus/B-4879-2014; Mazzola, Mauro/K-9376-2016; Maturilli, Marion/A-4344-2017; Schnell, Russell/N-6100-2014; Neuber, Roland/B-4923-2014</t>
  </si>
  <si>
    <t>Mazzola, Mauro/0000-0002-8394-2292; lupi, angelo/0000-0002-5009-9876; Maturilli, Marion/0000-0001-6818-7383; vitale, vito/0000-0003-0978-8976; Li, Shao-Meng/0000-0002-7628-6581; Schnell, Russell/0000-0002-5792-6205; Neuber, Roland/0000-0001-7382-7832</t>
  </si>
  <si>
    <t>Italian National Research Council (CNR)</t>
  </si>
  <si>
    <t>Italian National Research Council (CNR)(Consiglio Nazionale delle Ricerche (CNR))</t>
  </si>
  <si>
    <t>PAM-ARCMIP was a success thanks to behind-the-scenes efforts by many individuals from the participating institutes and affiliates. Those of us who flew the mission wish to express special thanks to B. Burchartz and his crew for piloting Polar-5, flight engineers M. Gehrmann and M. Sellmann, and others at AWI responsible for integrating the systems into the aircraft. W. Strapp operated the EC suite of instruments on the final legs of the mission. R. Brauner provided accurate weather forecasts. S. Henkel handled administrative matters. We thank the crew of the Russian North-Pole drifting station NP-36 and logistic head, V. T. Sokolov of the Arctic and Antarctic Research Institute (AARI), St. Petersburg for assuring our safe landing there and their hospitality. Personnel at ground stations across the Arctic provided for our needs, especially A. Platt and J. Johns. Logistical support was also provided by the U.S. DOE/ARM program, the Barrow Arctic Science Consortium (BASC) and Arctic Kingdom. Assistance with data processing and access to data were provided by D. Longenecker, J. Harris, S. Debatin, J. Graeser, and the crew of NP-35. B. Holben, C. Toledano, and K. Stebel provided the ancillary AOD data used in Figure 5. S. Sharma and K. Eleftheriadis provided the station BC results used in Figure 7f. J. Wendell assisted with the fabrication of the photometer system. K.-H. Schulz provided the solar tracker. P. Disterhoft assisted with characterization of the special glass window. N. O'Neill and E. Eloranta provided ancillary analyses used in the interpretation of lidar data. T. Grenfell provided insights about BC trends in the Arctic. NCEP gridded data was made available through the NOAA ESRL Physical Sciences Division. C. Tomasi provided support and encouragement through the Polar-AOD IPY project, and also sponsored the development of the NOAA ISAC Sun photometer used during PAM-ARMIP. In part, this study was supported by the Italian National Research Council (CNR) through its Short-term Mobility Programme and with funds provided by NOAA/ESRL. R. Stone dedicates his contribution to this study to the late David Hofmann, who, during his tenure at NOAA, provided critical support and enduring inspiration. Dave was keenly interested in PAM-ARCMIP, having earlier cosponsored the development of the Sun photometer system used during the campaign.</t>
  </si>
  <si>
    <t>D13203</t>
  </si>
  <si>
    <t>10.1029/2009JD013605</t>
  </si>
  <si>
    <t>624NC</t>
  </si>
  <si>
    <t>WOS:000279824800004</t>
  </si>
  <si>
    <t>Yu, ZC; Loisel, J; Brosseau, DP; Beilman, DW; Hunt, SJ</t>
  </si>
  <si>
    <t>Yu, Zicheng; Loisel, Julie; Brosseau, Daniel P.; Beilman, David W.; Hunt, Stephanie J.</t>
  </si>
  <si>
    <t>Global peatland dynamics since the Last Glacial Maximum</t>
  </si>
  <si>
    <t>CARBON ACCUMULATION; NORTHERN PEATLANDS; HOLOCENE CLIMATE; LATE PLEISTOCENE; ATMOSPHERIC CH4; METHANE; CYCLE; VARIABILITY; ANTARCTICA; RAINFALL</t>
  </si>
  <si>
    <t>Here we present a new data synthesis of global peatland ages, area changes, and carbon (C) pool changes since the Last Glacial Maximum, along with a new peatland map and total C pool estimates. The data show different controls of peatland expansion and C accumulation in different regions. We estimate that northern peatlands have accumulated 547 (473-621) GtC, showing maximum accumulation in the early Holocene in response to high summer insolation and strong summer - winter climate seasonality. Tropical peatlands have accumulated 50 (44-55) GtC, with rapid rates about 8000-4000 years ago affected by a high and more stable sea level, a strong summer monsoon, and before the intensification of El Nino. Southern peatlands, mostly in Patagonia, South America, have accumulated 15 (13-18) GtC, with rapid accumulation during the Antarctic Thermal Maximum in the late glacial, and during the mid-Holocene thermal maximum. This is the first comparison of peatland dynamics among these global regions. Our analysis shows that a diversity of drivers at different times have significantly impacted the global C cycle, through the contribution of peatlands to atmospheric CH4 budgets and the history of peatland CO2 exchange with the atmosphere. Citation: Yu, Z., J. Loisel, D. P. Brosseau, D. W. Beilman, and S. J. Hunt (2010), Global peatland dynamics since the Last Glacial Maximum, Geophys. Res. Lett., 37, L13402, doi: 10.1029/2010GL043584.</t>
  </si>
  <si>
    <t>[Yu, Zicheng; Loisel, Julie; Brosseau, Daniel P.; Hunt, Stephanie J.] Lehigh Univ, Dept Earth &amp; Environm Sci, Bethlehem, PA 18015 USA; [Beilman, David W.] Univ Hawaii Manoa, Dept Geog, Honolulu, HI 96822 USA</t>
  </si>
  <si>
    <t>Lehigh University; University of Hawaii System; University of Hawaii Manoa</t>
  </si>
  <si>
    <t>Yu, ZC (corresponding author), Lehigh Univ, Dept Earth &amp; Environm Sci, 31 Williams Dr, Bethlehem, PA 18015 USA.</t>
  </si>
  <si>
    <t>ziy2@lehigh.edu</t>
  </si>
  <si>
    <t>Yu, Zicheng/D-4108-2012</t>
  </si>
  <si>
    <t>Yu, Zicheng/0000-0003-2358-2712</t>
  </si>
  <si>
    <t>National Science Foundation [ATM 0628455]</t>
  </si>
  <si>
    <t>We thank Andy Baird and another reviewer for useful comments. This research was supported by National Science Foundation grant ATM 0628455.</t>
  </si>
  <si>
    <t>JUL 9</t>
  </si>
  <si>
    <t>L13402</t>
  </si>
  <si>
    <t>10.1029/2010GL043584</t>
  </si>
  <si>
    <t>624MT</t>
  </si>
  <si>
    <t>WOS:000279823900003</t>
  </si>
  <si>
    <t>Vilvens, C; Sellanes, J</t>
  </si>
  <si>
    <t>Vilvens, Claude; Sellanes, Javier</t>
  </si>
  <si>
    <t>Description of Calliotropis ceciliae new species (Gastropoda: Chilodontidae: Calliotropinae) from off Chile</t>
  </si>
  <si>
    <t>NAUTILUS</t>
  </si>
  <si>
    <t>Seguenzioidea; deep-sea; methane seeps</t>
  </si>
  <si>
    <t>METHANE SEEP AREA; MADAGASCAR; TROCHIDAE; RECORDS</t>
  </si>
  <si>
    <t>A new species of Calliotropis is described from the vicinities of the Concepcion Methane Seep Area (similar to 36 degrees S) and from additional material from off Antofagasta (northern Chile, similar to 22 degrees S). It is compared to C. pelseneeri pelseneeri Cernohorsky, 1977, and C. pelseneeri rossiana Dell, 1990, from the adjacent Antarctic area, which differ notably from the new species by having a thicker supra-peripheral spiral cord, more angulate whorls, and a more lamellose sculpture present in the subspecies pelseneeri. The new species is also separated from the widespread C. infundibulum (Watson, 1879) by having a weaker P1 spiral cord and narrower umbilicus with spiral cords inside. The radula of the new species is also typically calliotropine.</t>
  </si>
  <si>
    <t>[Vilvens, Claude] Sci Collaborator Museum Natl Hist Nat Paris, B-4680 Oupeye, Belgium; [Sellanes, Javier] Univ Catolica Norte, Fac Ciencias Mar, Larrondo 1281, Coquimbo, Chile; [Sellanes, Javier] Univ Concepcion, Ctr Invest Oceanog El Pacif SuroRIENTAL COPAS, Concepcion, Chile</t>
  </si>
  <si>
    <t>Universidad Catolica del Norte; Universidad de Concepcion</t>
  </si>
  <si>
    <t>Vilvens, C (corresponding author), Sci Collaborator Museum Natl Hist Nat Paris, Rue Hermalle 113, B-4680 Oupeye, Belgium.</t>
  </si>
  <si>
    <t>vilvens.claude@skynet.be; sellanes@ucn.cl</t>
  </si>
  <si>
    <t>Sellanes, Javier/I-5722-2012; Sellanes, Javier/P-4699-2019</t>
  </si>
  <si>
    <t>Sellanes, Javier/0000-0002-6942-0762; Sellanes, Javier/0000-0002-6942-0762</t>
  </si>
  <si>
    <t>FONDECYT [1061217]; Center for Oceanographic Research in the Eastern South Pacific (COPAS), FONDECYT [1061214]; NOAA [NOAA NA17RJ1231]</t>
  </si>
  <si>
    <t>FONDECYT(Comision Nacional de Investigacion Cientifica y Tecnologica (CONICYT)CONICYT FONDECYT); Center for Oceanographic Research in the Eastern South Pacific (COPAS), FONDECYT(Comision Nacional de Investigacion Cientifica y Tecnologica (CONICYT)CONICYT FONDECYT); NOAA(National Oceanic Atmospheric Admin (NOAA) - USA)</t>
  </si>
  <si>
    <t>This work was funded in part through FONDECYT project No. 1061217 to J.S. and the Center for Oceanographic Research in the Eastern South Pacific (COPAS), FONDECYT project No. 1061214 to Praxedes Munoz. NOAA Ocean Exploration Program, via Scripps Institution of Oceanography, contract nr. NOAA NA17RJ1231 provided additional funding for shiptime.</t>
  </si>
  <si>
    <t>BAILEY-MATTHEWS SHELL MUSEUM</t>
  </si>
  <si>
    <t>SANIBEL</t>
  </si>
  <si>
    <t>C/O DR JOSE H LEAL, ASSOCIATE/MANAGING EDITOR, 3075 SANIBEL-CAPTIVA RD, SANIBEL, FL 33957 USA</t>
  </si>
  <si>
    <t>0028-1344</t>
  </si>
  <si>
    <t>Nautilus</t>
  </si>
  <si>
    <t>JUL 7</t>
  </si>
  <si>
    <t>Marine &amp; Freshwater Biology; Zoology</t>
  </si>
  <si>
    <t>628AK</t>
  </si>
  <si>
    <t>WOS:000280086200005</t>
  </si>
  <si>
    <t>Masson-Delmotte, V; Stenni, B; Blunier, T; Cattani, O; Chappellaz, J; Cheng, H; Dreyfus, G; Edwards, RL; Falourd, S; Govin, A; Kawamura, K; Johnsen, SJ; Jouzel, J; Landais, A; Lemieux-Dudon, B; Lourantou, A; Marshall, G; Minster, B; Mudelsee, M; Pol, K; Röthlisberger, R; Selmo, E; Waelbroeck, C</t>
  </si>
  <si>
    <t>Masson-Delmotte, V.; Stenni, B.; Blunier, T.; Cattani, O.; Chappellaz, J.; Cheng, H.; Dreyfus, G.; Edwards, R. L.; Falourd, S.; Govin, A.; Kawamura, K.; Johnsen, S. J.; Jouzel, J.; Landais, A.; Lemieux-Dudon, B.; Lourantou, A.; Marshall, G.; Minster, B.; Mudelsee, M.; Pol, K.; Roethlisberger, R.; Selmo, E.; Waelbroeck, C.</t>
  </si>
  <si>
    <t>Abrupt change of Antarctic moisture origin at the end of Termination II</t>
  </si>
  <si>
    <t>last interglacial; paleoclimate; westerlies</t>
  </si>
  <si>
    <t>EPICA DOME-C; SOUTHERN-HEMISPHERE; MILLENNIAL-SCALE; OCEAN; CIRCULATION; REVERSAL</t>
  </si>
  <si>
    <t>The deuterium excess of polar ice cores documents past changes in evaporation conditions and moisture origin. New data obtained from the European Project for Ice Coring in Antarctica Dome C East Antarctic ice core provide new insights on the sequence of events involved in Termination II, the transition between the penultimate glacial and interglacial periods. This termination is marked by a north-south seesaw behavior, with first a slow methane concentration rise associated with a strong Antarctic temperature warming and a slow deuterium excess rise. This first step is followed by an abrupt north Atlantic warming, an abrupt resumption of the East Asian summer monsoon, a sharp methane rise, and a CO2 overshoot, which coincide within dating uncertainties with the end of Antarctic optimum. Here, we show that this second phase is marked by a very sharp Dome C centennial deuterium excess rise, revealing abrupt reorganization of atmospheric circulation in the southern Indian Ocean sector.</t>
  </si>
  <si>
    <t>[Masson-Delmotte, V.; Cattani, O.; Dreyfus, G.; Falourd, S.; Govin, A.; Jouzel, J.; Landais, A.; Minster, B.; Pol, K.; Waelbroeck, C.] Univ Versailles, CNRS,CEA Saclay,Lab Sci Climat &amp; Environm, St Quentin Unite Mixte Rech 8212, Inst Pierre Simon Laplace Commissariat Energie At, F-91191 Gif Sur Yvette, France; [Stenni, B.] Univ Trieste, Dept Geosci, I-34127 Trieste, Italy; [Blunier, T.; Johnsen, S. J.] Univ Copenhagen, Ctr Ice &amp; Climate, Niels Bohr Inst, DK-2100 Copenhagen, Denmark; [Chappellaz, J.; Lemieux-Dudon, B.; Lourantou, A.] Univ Joseph Fourier 5183, CNRS, Lab Glaciol &amp; Geophys Environm, F-38402 St Martin Dheres, France; [Cheng, H.; Edwards, R. L.] Univ Minnesota, Dept Geol &amp; Geophys, Minneapolis, MN 55455 USA; [Kawamura, K.] Res Org Informat &amp; Syst, Natl Inst Polar Res, Tokyo 1908518, Japan; [Marshall, G.; Roethlisberger, R.] NERC, British Antarctic Survey, Cambridge CB3 0ET, England; [Mudelsee, M.] Climate Risk Anal, D-30167 Hannover, Germany; [Mudelsee, M.] Alfred Wegener Inst Polar &amp; Marine Res, Climate Sci Div, D-25570 Bremerhaven, Germany; [Selmo, E.] Univ Parma, Dept Earth Sci, I-43100 Parma, Italy</t>
  </si>
  <si>
    <t>Universite Paris Saclay; Universite Paris Cite; CEA; Centre National de la Recherche Scientifique (CNRS); University of Trieste; University of Copenhagen; Niels Bohr Institute; Communaute Universite Grenoble Alpes; Universite Grenoble Alpes (UGA); Centre National de la Recherche Scientifique (CNRS); University of Minnesota System; University of Minnesota Twin Cities; Research Organization of Information &amp; Systems (ROIS); National Institute of Polar Research (NIPR) - Japan; UK Research &amp; Innovation (UKRI); Natural Environment Research Council (NERC); NERC British Antarctic Survey; Helmholtz Association; Alfred Wegener Institute, Helmholtz Centre for Polar &amp; Marine Research; University of Parma</t>
  </si>
  <si>
    <t>Masson-Delmotte, V (corresponding author), Univ Versailles, CNRS,CEA Saclay,Lab Sci Climat &amp; Environm, St Quentin Unite Mixte Rech 8212, Inst Pierre Simon Laplace Commissariat Energie At, F-91191 Gif Sur Yvette, France.</t>
  </si>
  <si>
    <t>valerie.masson@cea.fr</t>
  </si>
  <si>
    <t>Masson-Delmotte, Valerie L/G-1995-2011; CHENG, HAI/H-3413-2017; Edwards, Richard/JAX-3732-2023; Edwards, R. Lawrence/I-3124-2014; Chappellaz, Jérôme A./A-4872-2011; Govin, Aline/E-6354-2013; Kawamura, Kenji/C-7660-2011; Mudelsee, Manfred/C-6063-2018; Blunier, Thomas/M-4609-2014</t>
  </si>
  <si>
    <t>Masson-Delmotte, Valerie L/0000-0001-8296-381X; CHENG, HAI/0000-0002-5305-9458; Stenni, Barbara/0000-0003-4950-3664; Govin, Aline/0000-0001-8512-5571; LANDAIS, Amaelle/0000-0002-5620-5465; waelbroeck, claire/0000-0002-7256-5727; Kawamura, Kenji/0000-0003-1163-700X; Lemieux-Dudon, Benedicte/0000-0002-0718-2420; Mudelsee, Manfred/0000-0002-2364-9561; Blunier, Thomas/0000-0002-6065-7747</t>
  </si>
  <si>
    <t>EU (EPICA-MIS); Agence Nationale de la Recherche; European Commission [243908]; US National Science Foundation; NERC [bas0100023] Funding Source: UKRI; Natural Environment Research Council [bas0100023] Funding Source: researchfish</t>
  </si>
  <si>
    <t>EU (EPICA-MIS)(European Union (EU)); Agence Nationale de la Recherche(Agence Nationale de la Recherche (ANR)); European Commission(European Union (EU)European Commission Joint Research Centre); US National Science Foundation(National Science Foundation (NSF)); NERC(UK Research &amp; Innovation (UKRI)Natural Environment Research Council (NERC)); Natural Environment Research Council(UK Research &amp; Innovation (UKRI)Natural Environment Research Council (NERC))</t>
  </si>
  <si>
    <t>We thank T. Stocker, R. Uemura, and C. Tzedakis for discussions, as well as two anonymous reviewers. This work is a contribution to EPICA, a joint European Science Foundation/European Commission scientific program, funded by the EU (EPICA-MIS) and by national contributions from Belgium, Denmark, France, Germany, Italy, The Netherlands, Norway, Sweden, Switzerland, and the United Kingdom. The main logistic support was provided by IPEV and PNRA (at Dome C) and AWI (at Dronning Maud Land). Laboratoire des Sciences du Climat et de l'Environnement (LSCE) ice core work is funded by Agence Nationale de la Recherche through PICC and NEEM projects. This work was supported by funding to the Past4Future project from the European Commission's seventh Framework Programme, Grant 243908, and is Past4Future contribution no. 4. Contributions from R. L. E. were supported by the US National Science Foundation. This is EPICA publication 267 and LSCE publication 4166.</t>
  </si>
  <si>
    <t>JUL 6</t>
  </si>
  <si>
    <t>10.1073/pnas.0914536107</t>
  </si>
  <si>
    <t>621JI</t>
  </si>
  <si>
    <t>WOS:000279572100011</t>
  </si>
  <si>
    <t>Dugger, KM; Ainley, DG; Lyver, PO; Barton, K; Ballard, G</t>
  </si>
  <si>
    <t>Dugger, Katie M.; Ainley, David G.; Lyver, Phil O'B.; Barton, Kerry; Ballard, Grant</t>
  </si>
  <si>
    <t>Survival differences and the effect of environmental instability on breeding dispersal in an Adelie penguin meta-population</t>
  </si>
  <si>
    <t>Antarctica; avian demography; climate change; philopatry; population dynamics</t>
  </si>
  <si>
    <t>LONG-LIVED SEABIRD; CAPTURE-RECAPTURE; COLONY SIZE; REPRODUCTIVE SUCCESS; PYGOSCELIS-ADELIAE; FORAGING EFFORT; MOVEMENT; MODELS; SELECTION; BIRDS</t>
  </si>
  <si>
    <t>High survival and breeding philopatry was previously confirmed for the Adelie penguin (Pygoscelis adeliae) during a period of stable environmental conditions. However, movements of breeding adults as a result of an unplanned natural experiment within a four-colony meta-population provided interesting insights into this species' population dynamics. We used multistate mark-recapture models to investigate apparent survival and dispersal of breeding birds in the southwestern Ross Sea during 12 breeding seasons (1996-2007). The natural experiment was facilitated by the temporary grounding of two immense icebergs that (i) erected a veritable fence separating colonies and altering migration routes and (ii) added additional stress by trapping extensive sea ice in the region during 5 of 12 y. Colony size varied by orders of magnitude, allowing investigation of apparent survival and dispersal rates in relation to both environmental conditions and colony size within this meta-population. Apparent survival was lowest for the smallest colony (4,000 pairs) and similar for the medium (45,000 pairs) and large colonies (155,000 pairs), despite increased foraging effort expended by breeders at the largest colony. Dispersal of breeding birds was low (&lt;1%), except during years of difficult environmental conditions when movements increased, especially away from the smallest colony (3.5%). Decreased apparent survival at the smallest colony could reflect differences in migration chronology and winter habitat use compared with the other colonies, or it may reflect increased permanent emigration to colonies outside this meta-population. Contrary to current thought, breeding penguins are not always philopatric. Rather, stressful conditions can significantly increase dispersal rates.</t>
  </si>
  <si>
    <t>[Dugger, Katie M.] Oregon State Univ, Dept Fisheries &amp; Wildlife, Corvallis, OR 97331 USA; [Ainley, David G.] HT Harvey &amp; Associates, Wildlife Ecol, Los Gatos, CA 95032 USA; [Lyver, Phil O'B.] Landcare Res, Lincoln 7640, New Zealand; [Barton, Kerry] Nelson Mail Ctr, Nelson 7042, New Zealand; [Ballard, Grant] PRBO Conservat Sci, Petaluma, CA 94954 USA; [Ballard, Grant] Univ Auckland, Sch Biol Sci, Auckland 1, New Zealand</t>
  </si>
  <si>
    <t>Oregon State University; Landcare Research - New Zealand; University of Auckland</t>
  </si>
  <si>
    <t>Dugger, KM (corresponding author), Oregon State Univ, Dept Fisheries &amp; Wildlife, Corvallis, OR 97331 USA.</t>
  </si>
  <si>
    <t>Katie.dugger@oregonstate.edu</t>
  </si>
  <si>
    <t>National Science Foundation [OPP 9526865, 9814882, 0125608, 0440643]; New Zealand Foundation for Research, Science, and Technology [C09X0510]</t>
  </si>
  <si>
    <t>National Science Foundation(National Science Foundation (NSF)); New Zealand Foundation for Research, Science, and Technology(New Zealand Foundation for Research, Science and Technology)</t>
  </si>
  <si>
    <t>We thank the following people for help in the field: S. Allen, I. Gaffney, C. Gjerdrum, D. Hardesty, S. Heath, M. Hester, R. Orben, C. Ribic, B. Saenz, V. Toniolo, L. Blight, J. Blum, A. Lescroel, C. McCreedy, R. Orben, V. Patil, L. Sheffield., B. Karl, W. Cook, K. Drew, and P. Dilks. We also thank G. White and K. Burnham for statistical consultation and S. Olmastroni, who provided regular band-searching effort at Terra Nova Bay colonies from 1996 to 2006. Critical comments from two anonymous reviewers were greatly appreciated. This is PRBO Conservation Science Contribution 1734. Fieldwork was conducted with logistic support provided by the US Antarctic Program and Antarctica New Zealand. Permits were provided under the Antarctic Conservation Act. National Science Foundation Office of Polar Programs (2006-10) (04-40643) and Landcare Research Animal Ethics Committee Permit (0509/01) Programme. Funding was provided by National Science Foundation Grants OPP 9526865, 9814882, 0125608, and 0440643 (to K. M. D., D. G. A., and G. B.) and New Zealand Foundation for Research, Science, and Technology Grant C09X0510 with addenda (to P.O'B.L. and K. B.).</t>
  </si>
  <si>
    <t>10.1073/pnas.1000623107</t>
  </si>
  <si>
    <t>WOS:000279572100060</t>
  </si>
  <si>
    <t>O'Loughlin, PM; Whitfield, E</t>
  </si>
  <si>
    <t>O'Loughlin, P. Mark; Whitfield, Emily</t>
  </si>
  <si>
    <t>New species of Psolus Oken from Antarctica (Echinodermata: Holothuroidea: Psolidae)</t>
  </si>
  <si>
    <t>Amundsen Sea; Antarctic Peninsula; Scotia Sea; South Georgia; South Orkney Islands; BAS; BIOPEARL; US AMLR</t>
  </si>
  <si>
    <t>Three new species of Psolus Oken from Antarctica are described: Psolus byrdae sp. nov. from the Marie Byrd Seamount; Psolus carolineae sp. nov. from South Georgia; Psolus lockhartae sp. nov. from the South Orkney Islands.</t>
  </si>
  <si>
    <t>[O'Loughlin, P. Mark; Whitfield, Emily] Museum Victoria, Dept Marine Sci, Melbourne, Vic 3001, Australia</t>
  </si>
  <si>
    <t>Museum Victoria</t>
  </si>
  <si>
    <t>O'Loughlin, PM (corresponding author), Museum Victoria, Dept Marine Sci, GPO Box 666, Melbourne, Vic 3001, Australia.</t>
  </si>
  <si>
    <t>pmo@bigpond.net.au</t>
  </si>
  <si>
    <t>Smithsonian Fellowship</t>
  </si>
  <si>
    <t>We are grateful for: the financial support of a Smithsonian Fellowship (M. O'L) that assisted the authors to study the relevant collections in the US NMNH, and for the gracious assistance provided during this study by David Pawson and Jennifer Hancock and her assistants in the Smithsonian Institution, and Paul Greenhall in the Museum Support Centre in Maryland; the photography and preparation of figures by Caroline Harding (NMV Entomology Department; the specimens made available to Museum Victoria by Susie Lockhart (US NOAA); the loan and donation of BIOPEARL specimens by Katrin Linse (BAS); the support and skilled assistance of Melanie Mackenzie (NMV Research Associate); the assistance of Chris Rowley (NMV Collection Manager); access to the microscopes and photography equipment of the Museum Victoria Entomology Department by Ken Walker; and the support of Museum Victoria with the use of the facilities of the Marine Biology Section.</t>
  </si>
  <si>
    <t>620RJ</t>
  </si>
  <si>
    <t>WOS:000279516700004</t>
  </si>
  <si>
    <t>Berger, GW; Murray, AS; Thomsen, KJ; Domack, EW</t>
  </si>
  <si>
    <t>Berger, G. W.; Murray, A. S.; Thomsen, K. J.; Domack, E. W.</t>
  </si>
  <si>
    <t>Dating ice shelf edge marine sediments: A new approach using single-grain quartz luminescence</t>
  </si>
  <si>
    <t>OPTICALLY STIMULATED LUMINESCENCE; EQUIVALENT-DOSE DISTRIBUTIONS; JINMIUM ROCK SHELTER; SOUTHERN HIGH-PLAINS; ANTARCTIC PENINSULA; ROSS SEA; FLUVIAL DEPOSITS; SAR PROTOCOL; ARCHAEOLOGICAL DEPOSITS; QUATERNARY SEDIMENTS</t>
  </si>
  <si>
    <t>To develop an alternative dating tool for the Antarctic Peninsula (where the C-14 method requires large, spatially variable reservoir corrections), we tested the clock-zeroing assumption of photon-stimulated luminescence (PSL) dating using a variety of PSL procedures. At ice shelf edges around the Antarctic Peninsula, sediment-water-interface (zero-age analogs), silt-rich short cores were collected in 2001-2003, originally only for fine silt dating tests. Later access to suitable instrumentation also permitted testing the potential of single-grain quartz (SGQ) dating of sand grains from these cores. For the fine silt grains we employed multiple-aliquot and single-aliquot methods to obtain last daylight exposure age estimates from near-core-top material. With the sand fraction we employed automated SGQ PSL methods to isolate the youngest grains. Five of six fine silt samples gave unreasonably large age estimates (&gt;20 ka), with the sixth sample yielding a multiple-aliquot short-bleach age estimate of 1.1 +/- 0.6 ka. In contrast, five of seven sand samples yielded geologically reasonable last daylight exposure ages of 0.2-0.6 ka. These SGQ results are also remarkable when compared to published C-14 ages of 1 ka to 9.7 ka from core top living calcite and acid-insoluble organic matter. These SGQ results establish the likely utility of this single-grain dating approach in such settings to provide chronologies for calving line histories of ice shelves. To take advantage of this utility, core collection should employ large-diameter coring devices (e.g., Kasten and multicorers). A caveat is that large numbers (e.g., similar to 10,000) of quartz grains may need analysis to provide acceptable statistics for useful age calculations.</t>
  </si>
  <si>
    <t>[Berger, G. W.] Univ Nevada, Desert Res Inst, Reno, NV 89512 USA; [Murray, A. S.] Univ Aarhus, Dept Earth Sci, Nord Lab Luminescence Dating, DK-8000 Aarhus, Denmark; [Murray, A. S.] Tech Univ Denmark, Riso Natl Lab Sustainable Energy, Roskilde, Denmark; [Thomsen, K. J.] Tech Univ Denmark, Riso Natl Lab Sustainable Energy, Radiat Res Dept, Roskilde, Denmark; [Domack, E. W.] Hamilton Coll, Dept Geosci, Clinton, NY 13323 USA</t>
  </si>
  <si>
    <t>Nevada System of Higher Education (NSHE); Desert Research Institute NSHE; University of Nevada Reno; Aarhus University; Technical University of Denmark; Technical University of Denmark; Hamilton College</t>
  </si>
  <si>
    <t>Berger, GW (corresponding author), Univ Nevada, Desert Res Inst, 2215 Raggio Pkwy, Reno, NV 89512 USA.</t>
  </si>
  <si>
    <t>Murray, Andrew S/A-4388-2012; Thomsen, Kristina/HKE-6912-2023; Thomsen, Kristina Jørkov/AAM-5193-2020; Thomsen, Kristina Jørkov/HTR-2291-2023</t>
  </si>
  <si>
    <t>Thomsen, Kristina Jørkov/0000-0002-4883-1220; Thomsen, Kristina Jørkov/0000-0002-4883-1220; Murray, Andrew/0000-0001-5559-1862</t>
  </si>
  <si>
    <t>U.S. National Science Foundation (NSF) Office of Polar Programs [OPP99-09665]; NSF [OPP98-1438]</t>
  </si>
  <si>
    <t>U.S. National Science Foundation (NSF) Office of Polar Programs(National Science Foundation (NSF)); NSF(National Science Foundation (NSF))</t>
  </si>
  <si>
    <t>The collection of cores from the areas of the Muller Ice Shelf and of the LIS-B, as well as the luminescence experiments were supported by a U.S. National Science Foundation (NSF) Office of Polar Programs grant (OPP99-09665) to G. W. Berger. The collection of cores from the area of the LIS-A was supported by NSF grant OPP98-1438 to E. W. Domack. G. W. Berger and E. W. Domack also are grateful for the help of the officers and crews of the Research Vessels N. B. Palmer during cruises NBP00-03 and NBP01-07 and of the vessel L. G. Gould during cruise LMG03-03 as well as the technical support staff of Raytheon Polar Services. G. W. Berger thanks the Desert Research Institute for support of his research leave activities in Denmark (October 2004 and November 2005) and his sabbatical activities in Denmark (August-September 2007). G. W. Berger thanks Lisa Wable for drafting Figures 2 and 3 and laboratory student assistants Tessa Black, Daniel Scott, Nicki Holihan, and Ryan Loux. We thank Bert Roberts and two anonymous reviewers for helpful comments on the first version of this manuscript.</t>
  </si>
  <si>
    <t>JUL 3</t>
  </si>
  <si>
    <t>F03003</t>
  </si>
  <si>
    <t>10.1029/2009JF001415</t>
  </si>
  <si>
    <t>620TX</t>
  </si>
  <si>
    <t>WOS:000279524200001</t>
  </si>
  <si>
    <t>Chavanne, CP; Heywood, KJ; Nicholls, KW; Fer, I</t>
  </si>
  <si>
    <t>Chavanne, Cedric P.; Heywood, Karen J.; Nicholls, Keith W.; Fer, Ilker</t>
  </si>
  <si>
    <t>Observations of the Antarctic Slope Undercurrent in the southeastern Weddell Sea</t>
  </si>
  <si>
    <t>CIRCULATION; CURRENTS; OCEAN; MODEL</t>
  </si>
  <si>
    <t>The Antarctic Slope Front presents a dynamical barrier between the cold Antarctic shelf waters in contact with ice shelves and the warmer subsurface waters offshore. Two hydrographic sections with full-depth current measurements were undertaken in January and February 2009 across the slope and shelf in the southeastern Weddell Sea. Southwestward surface-intensified currents of similar to 30 cm s(-1), and northeastward undercurrents of 6-9 cm s(-1), were in thermal-wind balance with the sloping isopycnals across the front, which migrated offshore by 30 km in the time interval between the two sections. A mid-depth undercurrent on February 23 was associated with a 130-m uplift of the main pycnocline, bringing Warm Deep Water closer to the shelf break. This vertical displacement, comparable to that caused by seasonal variations in wind speed, implies that undercurrents may affect the exchanges between coastal and deep waters near the Antarctic continental margins. Citation: Chavanne, C. P., K. J. Heywood, K. W. Nicholls, and I. Fer (2010), Observations of the Antarctic Slope Undercurrent in the southeastern Weddell Sea, Geophys. Res. Lett., 37, L13601, doi:10.1029/2010GL043603.</t>
  </si>
  <si>
    <t>[Chavanne, Cedric P.; Heywood, Karen J.] Univ E Anglia, Sch Environm Sci, Norwich NR4 7TJ, Norfolk, England; [Fer, Ilker] Univ Bergen, Inst Geophys, N-5007 Bergen, Norway; [Nicholls, Keith W.] British Antarctic Survey, Cambridge CB3 0ET, England; [Fer, Ilker] Bjerknes Ctr Climate Res, Bergen, Norway</t>
  </si>
  <si>
    <t>University of East Anglia; University of Bergen; UK Research &amp; Innovation (UKRI); Natural Environment Research Council (NERC); NERC British Antarctic Survey; Bjerknes Centre for Climate Research</t>
  </si>
  <si>
    <t>Chavanne, CP (corresponding author), Univ E Anglia, Sch Environm Sci, Norwich NR4 7TJ, Norfolk, England.</t>
  </si>
  <si>
    <t>cedric.chavanne@ensta.org; k.heywood@uea.ac.uk; kwni@bas.ac.uk; ilker.fer@gfi.uib.no</t>
  </si>
  <si>
    <t>Chavanne, Cedric/JJE-4096-2023; Chavanne, Cedric P G/D-1310-2011; Fer, Ilker/C-7820-2012; N, Keith/E-9126-2010; Heywood, Karen/L-1757-2016</t>
  </si>
  <si>
    <t>Fer, Ilker/0000-0002-2427-2532; Heywood, Karen/0000-0001-9859-0026</t>
  </si>
  <si>
    <t>NERC Antarctic Funding Initiative [AFI8/17]; Natural Environment Research Council [NE/E012965/1] Funding Source: researchfish; NERC [NE/E012965/1] Funding Source: UKRI</t>
  </si>
  <si>
    <t>NERC Antarctic Funding Initiative(UK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</si>
  <si>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officers, crew and scientists of RRS Ernest Shackleton cruise ES033. We are grateful to A. Thurnherr and L. Beal for advice with processing LADCP data, and to two anonymous reviewers who helped to clarify the manuscript. The UK SASSI project is supported by NERC Antarctic Funding Initiative, AFI8/17.</t>
  </si>
  <si>
    <t>JUL 2</t>
  </si>
  <si>
    <t>L13601</t>
  </si>
  <si>
    <t>10.1029/2010GL043603</t>
  </si>
  <si>
    <t>620KO</t>
  </si>
  <si>
    <t>WOS:000279498700004</t>
  </si>
  <si>
    <t>Hervé, F; Calderón, M; Fanning, CM; Kraus, S; Pankhurst, RJ</t>
  </si>
  <si>
    <t>Herve, Francisco; Calderon, Mauricio; Fanning, C. Mark; Kraus, Stefan; Pankhurst, Robert J.</t>
  </si>
  <si>
    <t>SHRIMP chronology of the Magallanes Basin basement, Tierra del Fuego: Cambrian plutonism and Permian high-grade metamorphism</t>
  </si>
  <si>
    <t>ANDEAN GEOLOGY</t>
  </si>
  <si>
    <t>Cambrian plutonism; Permian metamorphism; U-Pb SHRIMP ages; Basement complex; Magallanes Basin</t>
  </si>
  <si>
    <t>ANTARCTIC PENINSULA; SOUTH-AMERICA; AGE; EVOLUTION; PATAGONIA; ROCKS; LINK; GEOCHRONOLOGY; GEOCHEMISTRY; PROVENANCE</t>
  </si>
  <si>
    <t>Five new SHRIMP U-Pb zircon ages are reported for gneisses and foliated plutonic rocks belonging to the Tierra del Fuego igneous and metamorphic basement complex (TFIMC), obtained from the bottom of borehole cores through the Magallanes Basin. Three of the samples yielded weighted mean (206)pb/U-238 ages (523 +/- 7 ma, 522 +/- 6 Ma and 538 6 Ma), interpreted as indicating Early Cambrian igneous crystallization of the host rocks. A migmatitic gneiss shows peaks at ca. 950-1,100 Ma and 560-650 Ma from inherited zircon grains in addition to two grains with ages of ca. 525 Ma, suggesting involvement of Grenvillian and Brasiliano material in the protolith of a Cambrian migmatite. A cordierite-sillimanite-garnet gneiss contains igneous zircons of Cambrian age and a population of U-rich metamorphic Permian zircons, indicating that a Permian high-grade metamorphic and anatectic (P=2-3 kbar, T=730-770 degrees C) event affected the Cambrian igneous rocks or sedimentary rocks derived from them. Cambrian/Ediacaran plutonic rocks are known from the basement of NW Argentina, the Sierra de la Ventana, the Cape Fold Belt in South Africa, and the Ross Orogen in Antarctica. The Permian metamorphic event is coeval with the deformation and low-grade metamorphism of the sedimentary successions that overlie the basement in many of these areas. In Tierra del Fuego at least 8 to 12 km of cover rocks were removed following the high-grade Permian metamorphic episode and the uneonformable deposition of the Tobifera Formation volcanic rocks in the Middle to Late Jurassic. This eroded cover could have been an important source of detritus for the conglomeratic Permian and Triassic? successions of neighbouring regions in South America, Africa and Antarctica.</t>
  </si>
  <si>
    <t>[Herve, Francisco; Calderon, Mauricio] Univ Chile, Dept Geol, Santiago, Chile; [Fanning, C. Mark] Australian Natl Univ, Res Sch Earth Sci, Canberra, ACT 0200, Australia; [Kraus, Stefan] Inst Antartico Chileno, Punta Arenas, Chile; [Pankhurst, Robert J.] NERC, Isotope Geosci Lab, Kingsley Dunham Ctr, Keyworth NG12 5GG, Notts, England</t>
  </si>
  <si>
    <t>Universidad de Chile; Australian National University; UK Research &amp; Innovation (UKRI); Natural Environment Research Council (NERC); NERC British Geological Survey</t>
  </si>
  <si>
    <t>Hervé, F (corresponding author), Univ Chile, Dept Geol, Casilla 13518,Correo 21, Santiago, Chile.</t>
  </si>
  <si>
    <t>fherve@cec.uchile.cl; caldera@esfera.cl; Mark.Fanning@anu.edu.au; skraus@inach.cl; rjpt@nigl.nerc.ac.uk</t>
  </si>
  <si>
    <t>Calderon, Mauricio/AAY-6863-2020; Fanning, C. Mark/I-6449-2016; Herve, Francisco/HDO-6628-2022</t>
  </si>
  <si>
    <t>FONDECYT [1050431]; MF research funds</t>
  </si>
  <si>
    <t>FONDECYT(Comision Nacional de Investigacion Cientifica y Tecnologica (CONICYT)CONICYT FONDECYT); MF research funds</t>
  </si>
  <si>
    <t>The SHRIMP age determinations carried out at the Australian National University were financed by FONDECYT project 1050431 (FH) and MF research funds. This is also a contribution to FONDECYT projects 11075000 (MC) and 1095099 (FH), a CONICYT-BMBF project to Dr. H. Massonne (University of Stuttgart) and FH, and to Anillo Antartico Project ARTG-04 (CONICYT-World Bank). We thank Empresa Nacional del Petroleo (ENAP) geologists G. Romero and A. Chavez for providing the core samples from the basement of the Magallanes basin, and F. Escobar and J. Moraga for providing previously unpublished K-Ar and Rb-Sr age determinations. J. Vargas (Universidad de Chile) skilfully separated the zircons. Revisions by Drs. A. Willner, H. Miller and an anonymous referee greatly improved this contribution. We express our gratitude to Dr. A. Dcmant (Universite d'Aix Marseille III) who helped with the microprobe analysis and to Dr. H. Massonne who helped with the necessary subtilities for the Pseudosection calculation.</t>
  </si>
  <si>
    <t>SERVICIO NACIONAL GEOLOGIA MINERVA</t>
  </si>
  <si>
    <t>AVDA SANTA MARIO 0104, CASILLA 10465, SANTIAGO, CHILE</t>
  </si>
  <si>
    <t>0718-7106</t>
  </si>
  <si>
    <t>ANDEAN GEOL</t>
  </si>
  <si>
    <t>Andean Geol.</t>
  </si>
  <si>
    <t>JUL</t>
  </si>
  <si>
    <t>10.5027/andgeoV37n2-a01</t>
  </si>
  <si>
    <t>630MB</t>
  </si>
  <si>
    <t>gold</t>
  </si>
  <si>
    <t>WOS:000280276300001</t>
  </si>
  <si>
    <t>Le Roux, JP; Puratich, J; Mourgues, FA; Oyarzún, JL; Otero, RA; Torres, T; Hervé, F</t>
  </si>
  <si>
    <t>Le Roux, Jacobus P.; Puratich, Jacqueline; Amaro Mourgues, F.; Luis Oyarzun, Jose; Otero, Rodrigo A.; Torres, Teresa; Herve, Francisco</t>
  </si>
  <si>
    <t>Estuary deposits in the Rio Baguales Formation (Chattian-Aquitanean), Magallanes Province, Chile</t>
  </si>
  <si>
    <t>Estuary; Gilbert-type delta; Oligocene-Miocene sea-level changes; Polykladichnus</t>
  </si>
  <si>
    <t>FACIES MODEL; QUIRIQUINA FORMATION; SOUTHERN CHILE; ICE-SHEET; MIOCENE; OLIGOCENE; NOTOUNGULATA; OPHIOMORPHA; ALTIPLANO; SEQUENCES</t>
  </si>
  <si>
    <t>Very little work has been done on the stratigraphy and sedimentology of the upper Oligocene-Lower Miocene Rio Baguales Formation in the Magallanes Province of southern Chile since its original definition in 1957. A detailed stratigraphic section of the upper part of the formation exposed west of the Baguales River is presented, with an interpretation of depositional environments. This indicates a prograding shoreline in which estuary mouth, middle estuary (lagoon) and bay head delta facies are represented. Large-scale delta slope foresets indicate progradation towards the north and northwest, whereas southeast-directed cross-beds on the delta front probably suggest wave action. The general sequence reflects a gradual sea-level fall largely counteracted by tectonic subsidence, which provided the necessary accommodation space for thick tidal flat and subtidal deposits to accumulate. A longer period of transgression towards the top of the succession may be related to a rise in sea-level or accelerated tectonic subsidence, whereas a major regression commencing at around 23.3 Ma probably coincides with the opening of the Drake Passage and the growth of the East Antarctic Ice Sheet.</t>
  </si>
  <si>
    <t>[Le Roux, Jacobus P.; Puratich, Jacqueline; Herve, Francisco] Univ Chile, Dept Geol, Santiago, Chile; [Amaro Mourgues, F.] Serv Nacl Geol &amp; Mineria, Santiago, Chile; [Otero, Rodrigo A.] Consejo Monumentos Nacl, Santiago, Chile; [Torres, Teresa] Univ Chile, Fac Ciencias Agron, Dept Agr Prod, Santiago, Chile</t>
  </si>
  <si>
    <t>Le Roux, JP (corresponding author), Univ Chile, Dept Geol, Casilla 13518,Correo 21, Santiago, Chile.</t>
  </si>
  <si>
    <t>jroux@cec.uchile.cl; jpuratic@ing.uchile.cl; amourgues@sernageomin.cl; paleogonia@yahoo.cl; rotero@monumentos.cl; ttorres@uchile.cl; fherve@cec.uchile.cl</t>
  </si>
  <si>
    <t>Le Roux, Jacobus Philippus/U-7085-2019; Herve, Francisco/HDO-6628-2022; Le Roux, Jacobus/A-9765-2008</t>
  </si>
  <si>
    <t>Le Roux, Jacobus Philippus/0000-0003-0173-4471; Le Roux, Jacobus/0000-0003-0173-4471; Torres, Teresa/0000-0001-7900-4394; Otero, Rodrigo/0000-0002-3046-2973</t>
  </si>
  <si>
    <t>World Bank; CONICYT; INACH</t>
  </si>
  <si>
    <t>World Bank(The World Bank India); CONICYT(Comision Nacional de Investigacion Cientifica y Tecnologica (CONICYT)); INACH</t>
  </si>
  <si>
    <t>This study was completed as part of Project ARTG-04, Conexiones Geologicas entre Antartica Occidental y Patagonia desde el Palcozoico Tardio: Tectonica, Paleogeografia, Biogeografia y Palcoclima, carried out under the auspices of the World Bank, CONICYT and INACH.</t>
  </si>
  <si>
    <t>10.5027/andgeoV37n2-a04</t>
  </si>
  <si>
    <t>WOS:000280276300004</t>
  </si>
  <si>
    <t>Malumián, N; Jannou, G</t>
  </si>
  <si>
    <t>Malumian, Norberto; Jannou, Gabriel</t>
  </si>
  <si>
    <t>The Fuegian Andes: the micropaleontological record of the major Campanian-Miocene paleoceanographic austral events.</t>
  </si>
  <si>
    <t>Fuegian Andes; Paleooceanography; Foraminifera; Ostracoda; Upper Cretaceous-Cenozoic; Argentina</t>
  </si>
  <si>
    <t>TIERRA-DEL-FUEGO; SANTA-CRUZ PROVINCE; BENTHIC FORAMINIFERA; CONTINENTAL-SHELF; MALVINAS BASIN; DRAKE PASSAGE; SCOTIA SEA; PALEOGENE; OLIGOCENE; ISLAND</t>
  </si>
  <si>
    <t>The Fuegian Andes: the micropaleontological record of the major Campanian-Miocene paleoceanographic austral events. The succession of microfossil assemblages in the almost complete marine Late Cretaceous-Miocene stratigraphic column found in the Fuegian Andes, the orogenic margin of the Austral Basin, reveals a close relationship with the local tectonic events, the Atlantic transgressions-regressions on the Patagonian Platform, and the most relevant paleoceanographic global events. The Fuegian upper Campanian-lower Eocene sequence, dominated by flysch-type assemblages of agglutinated foraminifers and poorly oxygenated waters of fairly limited depth, is coherent with silled basins in a recently proposed cortical stretching period. The Maastrichtian (Policarpo Formation) has a cosmopolitan agglutinated foraminiferal assemblage contrasting with the coeval austral endemic calcareous assemblages of Patagonia. In the Paleocene/Eocene transition the assemblages of calcareous microfossils, of restricted distribution, exhibit the greatest Cenozoic turnover from a cosmopolitan Midway-type assemblage (La Barca Formation) to a strongly endemic Early Eocene assemblage (Punta Noguera Formation), with the oldest records of the Fuegian-Patagonian Cenozoic most typical genera. The Early Paleogene has no record of philothermic taxa such as larger foraminifera or morozovelids planktonic foraminifera, and only a short-lived bryozoan limestone (Rio Bueno Formation) and the low percentage of the ostracod family Hemicytheridae insinuated a warm period. The upper middle-uppermost Eocene sequence (La Despedida Group) starts with a transgression recorded in the Austral Basin (Leticia, Man Aike, Rio Turbio formations and Boltovskoyella beds), and in the Colorado Basin. This transgression is coeval with a temperature peak of 42 Ma, bringing a Fuegian retrograde fauna and a foraminiferal assemblage with large-sized nodosarids, which were replaced throughout the Late Eocene (Cerro Colorado Formation) by typical Antarctic genera that reflect the tallithg global temperature, culminating in the Tenuitella insolitu Zone with abundant Chiloguembelina, a local effect of the global environmental fluctuations. The Eocene/Oligocene boundary and the l seem to be represented by an unconformity and/or the Tchat Chii Conglomerate. In the earliest Oligocene (Maria Cristina beds) foredeep environments below the LCC and deep water foraminifer indicators appear, contrasting with coeval global high delta O-18 values and a Late Eocene-Early Oligocene withdrawal in the Patagonian Platform, which suggest that the coeval deepening recorded in the Fueuian Andes is due only to tectonic causes that facilitated the incursion of Antarctic waters into the basin. The latest Oligocene-Early Miocene global warm anomaly corresponds to a constriction period of the Drake Passage; in the Fuegian Andes lysocline conditions dominate, and a generalized transgression occurs including an Antarctic corrosive water current, which penetrates in the Patagonian Platform; on both regions, there are minor discontinuities coincident with the Mi-1, and an extended unconformity is found prior to the mid Miocene transgressive pulse coeval with the Neogene optimum.</t>
  </si>
  <si>
    <t>[Malumian, Norberto] Consejo Nacl Invest Cient &amp; Tecn, Serv Geol Minero Argentino, RA-1107 Buenos Aires, DF, Argentina</t>
  </si>
  <si>
    <t>Consejo Nacional de Investigaciones Cientificas y Tecnicas (CONICET)</t>
  </si>
  <si>
    <t>Malumián, N (corresponding author), Consejo Nacl Invest Cient &amp; Tecn, Serv Geol Minero Argentino, Benjamin Lavaisse 1194, RA-1107 Buenos Aires, DF, Argentina.</t>
  </si>
  <si>
    <t>n.malumian@yahoo.com; gjannou@yahoo.com</t>
  </si>
  <si>
    <t>10.5027/andgeoV37n2-a05</t>
  </si>
  <si>
    <t>Green Published, gold, Green Submitted</t>
  </si>
  <si>
    <t>WOS:000280276300005</t>
  </si>
  <si>
    <t>Trebilco, R; Gales, R; Lawrence, E; Alderman, R; Robertson, G; Baker, GB</t>
  </si>
  <si>
    <t>Trebilco, Rowan; Gales, Rosemary; Lawrence, Emma; Alderman, Rachael; Robertson, Graham; Baker, G. Barry</t>
  </si>
  <si>
    <t>Characterizing seabird bycatch in the eastern Australian tuna and billfish pelagic longline fishery in relation to temporal, spatial and biological influences</t>
  </si>
  <si>
    <t>eastern tuna and billfish fishery (ETBF); longline fishing; fisheries bycatch; incidental mortality; seabird; shearwater; albatross; bycatch mitigation</t>
  </si>
  <si>
    <t>WHITE-CAPPED ALBATROSSES; SOUTH-AFRICA; MORTALITY; IMPACT; ISLANDS; MODELS; CATCH; RISK; SHY</t>
  </si>
  <si>
    <t>1. Seabirds killed incidentally in Australia's eastern tuna and billfish (ETBF) longline fishery between September 2001 and June 2006 were examined to evaluate species composition and to relate, where possible, capture events to operational and environmental factors. 2. During this period 2.129 million hooks on 2202 shots were observed, and 369 birds were reported killed. The majority (78%) of these were flesh-footed shearwaters (Puffinus carniepes), 53% of which were male and 44% female. Smaller numbers of medium to large sized albatrosses (Diomedeidae, predominantly female) and other shearwaters (Puffinus spp.) and petrels (Pterodroma spp.) dominated the remainder of the bycatch. 3. Of the 369 birds reported taken as bycatch, 280 were available for necropsy, and species identifications performed in situ by observers were assessed. While observer identifications were generally correct for common species, performance was poor for less common ones. 4. The geographical location (latitude) of shots, season, time of day at which shots were set, and bait type and life status (dead or alive) influenced the seabird bycatch rate. The majority of captures (87% overall) occurred between 30 and 35 degrees S, with bycatch being lowest in winter, and remaining at similar levels across the other seasons. 5. The use of live fish bait was generally associated with increased captures of both seabirds overall, and flesh-footed shearwaters in particular. Copyright (C) 2010 John Wiley &amp; Sons, Ltd.</t>
  </si>
  <si>
    <t>[Trebilco, Rowan] Simon Fraser Univ, Burnaby, BC V5L 1S6, Canada; [Trebilco, Rowan; Gales, Rosemary; Alderman, Rachael] Dept Primary Ind &amp; Water, Wildlife &amp; Marine Conservat Sect, Hobart, Tas 7001, Australia; [Lawrence, Emma] CSIRO Math &amp; Informat Sci, Canberra, ACT 2601, Australia; [Robertson, Graham] Australian Antarctic Div, Kingston, Tas 7050, Australia; [Baker, G. Barry] Univ Tasmania, Inst Antarctic &amp; So Ocean Studies, Hobart, Tas 7001, Australia</t>
  </si>
  <si>
    <t>Simon Fraser University; Commonwealth Scientific &amp; Industrial Research Organisation (CSIRO); Australian Antarctic Division; University of Tasmania</t>
  </si>
  <si>
    <t>Trebilco, R (corresponding author), Simon Fraser Univ, 8888 Univ Dr, Burnaby, BC V5L 1S6, Canada.</t>
  </si>
  <si>
    <t>rtrebilc@sfu.ca</t>
  </si>
  <si>
    <t>Trebilco, Rowan/I-5311-2012; Fennell, Hannah/AAI-1408-2019; Bond, Alexander L/A-3786-2010; Lawrence, Emma/A-5584-2009</t>
  </si>
  <si>
    <t>Trebilco, Rowan/0000-0001-9712-8016; Baker, G. Barry/0000-0003-4766-8182</t>
  </si>
  <si>
    <t>Australian Government Department of the Environment, Water, Heritage and the Arts (DEWHA)</t>
  </si>
  <si>
    <t>Australian Government Department of the Environment, Water, Heritage and the Arts (DEWHA)(Australian Government)</t>
  </si>
  <si>
    <t>This project was supported by the Australian Government Department of the Environment, Water, Heritage and the Arts (DEWHA), and we appreciate the support that has been provided by Ian Hay and Tara Hewitt. Thanks to Drew Lee, Aleks Terauds and Tim Reid for their involvement with necropsies and collating necropsy data. Thanks go also to Lachlan Kranz and Thim Skousen (AFMA) for assistance in providing ETBF logbook and observer data. Mark Tasker and an anonymous reviewer provided helpful comments that improved an earlier version of this manuscript.</t>
  </si>
  <si>
    <t>JUL-AUG</t>
  </si>
  <si>
    <t>10.1002/aqc.1115</t>
  </si>
  <si>
    <t>635DX</t>
  </si>
  <si>
    <t>WOS:000280636900006</t>
  </si>
  <si>
    <t>Slavid, R</t>
  </si>
  <si>
    <t>Slavid, Ruth</t>
  </si>
  <si>
    <t>HALLEY VI ANTARCTIC RESEARCH STATION BRUNT ICE SHELF, ANTARCTICA</t>
  </si>
  <si>
    <t>ARCHITECTURAL REVIEW</t>
  </si>
  <si>
    <t>EMAP BUSINESS PUBLISHING LTD</t>
  </si>
  <si>
    <t>151 ROSEBERY AVE, LONDON EC1R 4QX, ENGLAND</t>
  </si>
  <si>
    <t>0003-861X</t>
  </si>
  <si>
    <t>ARCHIT REV</t>
  </si>
  <si>
    <t>Archit. Rev.</t>
  </si>
  <si>
    <t>Architecture</t>
  </si>
  <si>
    <t>Arts &amp; Humanities Citation Index (A&amp;HCI)</t>
  </si>
  <si>
    <t>655OD</t>
  </si>
  <si>
    <t>WOS:000282258400014</t>
  </si>
  <si>
    <t>Brady, AM</t>
  </si>
  <si>
    <t>Brady, Anne-Marie</t>
  </si>
  <si>
    <t>China's Rise in Antarctica?</t>
  </si>
  <si>
    <t>ASIAN SURVEY</t>
  </si>
  <si>
    <t>China's rise; Antarctica; foreign policy; resource conflict</t>
  </si>
  <si>
    <t>China has begun a new phase in its Antarctic engagement. Beijing has dramatically increased Chinese scientific activities on the frozen continent and is looking to take on more of a leadership role there. This paper draws connections between China's expanded Antarctic program and debates on its foreign and domestic policies.</t>
  </si>
  <si>
    <t>Univ Canterbury, Sch Social &amp; Polit Sci, Christchurch 1, New Zealand</t>
  </si>
  <si>
    <t>University of Canterbury</t>
  </si>
  <si>
    <t>Brady, AM (corresponding author), Univ Canterbury, Sch Social &amp; Polit Sci, Christchurch 1, New Zealand.</t>
  </si>
  <si>
    <t>UNIV CALIFORNIA PRESS</t>
  </si>
  <si>
    <t>OAKLAND</t>
  </si>
  <si>
    <t>155 GRAND AVE, SUITE 400, OAKLAND, CA 94612-3758 USA</t>
  </si>
  <si>
    <t>0004-4687</t>
  </si>
  <si>
    <t>1533-838X</t>
  </si>
  <si>
    <t>ASIAN SURV</t>
  </si>
  <si>
    <t>Asian Surv.</t>
  </si>
  <si>
    <t>10.1525/as.2010.50.4.759</t>
  </si>
  <si>
    <t>645RA</t>
  </si>
  <si>
    <t>WOS:000281480500006</t>
  </si>
  <si>
    <t>Fossat, E; Aristidi, E; Agabi, A; Bondoux, E; Challita, Z; Jeanneaux, F; Mékarnia, D</t>
  </si>
  <si>
    <t>Fossat, E.; Aristidi, E.; Agabi, A.; Bondoux, E.; Challita, Z.; Jeanneaux, F.; Mekarnia, D.</t>
  </si>
  <si>
    <t>Typical duration of good seeing sequences at Concordia</t>
  </si>
  <si>
    <t>ASTRONOMY &amp; ASTROPHYSICS</t>
  </si>
  <si>
    <t>site testing; atmospheric effects; methods: statistical</t>
  </si>
  <si>
    <t>DOME-C</t>
  </si>
  <si>
    <t>Context. The winter seeing at Concordia is bimodal, i.e. either excellent or quite poor, depending on the altitude above the snow surface. We study the temporal behavior of the good seeing sequences. Efficient exploitation of extremely good seeing conditions with an adaptive optics system requires long integrations. Aims. We examine the temporal distribution of time intervals providing excellent seeing at Concordia. Methods. We create temporal windows of good seeing by applying a simple binary process: good or bad. We correct the autocorrelations of these windows for those of the existing data sets, since these are not continuous, often being interrupted by technical problems in addition to the adverse weather gaps. We infer the typical duration of good seeing sequences from these corrected autocorrelations. This study has to be a little detailed as its results depend on the season, summer or winter. Results. When we adopt a threshold of 0.5 arcsec to define good seeing, we find that three characteristic numbers describe the temporal evolution of the good seeing windows. The first number is the mean duration of an uninterrupted good seeing sequence, which is tau(0) = 7.5 h at 8 m above the ground and 15 h at 20 m. These sequences are randomly distributed in time, following a negative exponential law of damping time tau(1) = 29 h (at elevation 8 m and 20 m), which represents our second number. The third number is the mean time between two 29 h episodes, which is T = 10 days at 8 m high (5 days at 20 m). Conclusions. There is certainly no other site on Earth, except for the few other high altitude Domes on the Antarctic plateau, at which we can achieve these exceptionally high quality seeing conditions.</t>
  </si>
  <si>
    <t>[Fossat, E.; Aristidi, E.; Agabi, A.; Bondoux, E.; Challita, Z.; Jeanneaux, F.; Mekarnia, D.] Univ Nice Sophia Antipolis, CNRS, Fizeau Lab, Observ Cote Azur, F-06108 Nice, France</t>
  </si>
  <si>
    <t>Centre National de la Recherche Scientifique (CNRS); Universite Cote d'Azur; Observatoire de la Cote d'Azur</t>
  </si>
  <si>
    <t>Fossat, E (corresponding author), Univ Nice Sophia Antipolis, CNRS, Fizeau Lab, Observ Cote Azur, Parc Valrose, F-06108 Nice, France.</t>
  </si>
  <si>
    <t>eric.fossat@unice.fr</t>
  </si>
  <si>
    <t>Aristidi, Eric/0000-0001-9886-7670</t>
  </si>
  <si>
    <t>French and Italian Polar Institutes; IPEV; PNRA; CNRS</t>
  </si>
  <si>
    <t>French and Italian Polar Institutes; IPEV; PNRA; CNRS(Centre National de la Recherche Scientifique (CNRS))</t>
  </si>
  <si>
    <t>We wish to thank the French and Italian Polar Institutes, IPEV and PNRA and the CNRS for the financial and logistical support of this programme. Thanks also to the different logistics teams on the site who helped us to set up the experiments. We are also grateful to our industrial partners Optique et Vision and Astro-Physics for technical improvements of the telescopes and their help in finding solutions to critical technical failures on the site. Thanks to our colleagues Max Azouit and Francois Martin for constant help and ideas since the beginning of the project. Thanks to F. Vakili, the director of Fizeau laboratory, for his support. We thank all the people who gave a hand in setting up the instruments during the summer campaigns since the end of 2003. Finally, thanks to the referee who helped improving the presentation.</t>
  </si>
  <si>
    <t>EDP SCIENCES S A</t>
  </si>
  <si>
    <t>LES ULIS CEDEX A</t>
  </si>
  <si>
    <t>17, AVE DU HOGGAR, PA COURTABOEUF, BP 112, F-91944 LES ULIS CEDEX A, FRANCE</t>
  </si>
  <si>
    <t>0004-6361</t>
  </si>
  <si>
    <t>1432-0746</t>
  </si>
  <si>
    <t>ASTRON ASTROPHYS</t>
  </si>
  <si>
    <t>Astron. Astrophys.</t>
  </si>
  <si>
    <t>A69</t>
  </si>
  <si>
    <t>10.1051/0004-6361/201014186</t>
  </si>
  <si>
    <t>638WR</t>
  </si>
  <si>
    <t>WOS:000280929400079</t>
  </si>
  <si>
    <t>Watanuki, Y; Takahashi, A; Sato, K</t>
  </si>
  <si>
    <t>Watanuki, Yutaka; Takahashi, Akinori; Sato, Katsufumi</t>
  </si>
  <si>
    <t>INDIVIDUAL VARIATION OF FORAGING BEHAVIOR AND FOOD PROVISIONING IN ADELIE PENGUINS (PYGOSCELIS ADELIAE) IN A FAST-SEA-ICE AREA</t>
  </si>
  <si>
    <t>Adelie Penguin; diving; provisioning; Pygoscelis adeliae; sea ice; trip duration</t>
  </si>
  <si>
    <t>DIVING BEHAVIOR; BECHERVAISE-ISLAND; BREEDING SUCCESS; REARING CHICKS; TRIP DURATION; TIME BUDGET; ROSS SEA; SEABIRDS; ANTARCTICA; ATTACHMENT</t>
  </si>
  <si>
    <t>To understand the effects of foraging behavior on the amount of food provided to chicks (meal mass and frequency), we monitored nest attendance and diving behavior of 20 Adelie Penguin (Pygoscelis adeliae) pairs that were rearing chicks. Because ice forms on the sea surface at night, parents foraged through cracks or within leads in the sea ice mainly during 0800-2400 hours. Birds that departed the colony in the afternoon and returned in the evening of the same day fed their chicks more frequently than those that made longer trips (i.e., those that departed in the afternoon and returned the next day or departed in the early morning and returned that evening). When the duration of the longest dive bout during each trip was longer, parents brought back heavier meals that contained larger krill. On average, birds made longer dive bouts when diving to greater depths. Thus, daily foraging pattern and foraging depth affected the provisioning rate, but the proportion of time spent foraging during the potential foraging period, total underwater time per day, and parental body condition were not. We suggest that temporal variability in prey availability and individual differences in foraging behavior affect the provisioning rate and, thus, chick growth. Received 1 August 2008, accepted 4 November 2009.</t>
  </si>
  <si>
    <t>[Watanuki, Yutaka] Hokkaido Univ, Grad Sch Fisheries Sci, Hakodate, Hokkaido 0418611, Japan; [Takahashi, Akinori] Natl Inst Polar Res, Itabashi Ku, Tokyo 1738515, Japan; [Sato, Katsufumi] Univ Tokyo, Int Coastal Res Ctr, Ocean Res Inst, Otsuchi, Iwate 0121102, Japan</t>
  </si>
  <si>
    <t>Hokkaido University; Research Organization of Information &amp; Systems (ROIS); National Institute of Polar Research (NIPR) - Japan; University of Tokyo</t>
  </si>
  <si>
    <t>Watanuki, Y (corresponding author), Hokkaido Univ, Grad Sch Fisheries Sci, Hakodate, Hokkaido 0418611, Japan.</t>
  </si>
  <si>
    <t>ywata@fish.hokudai.ac.jp</t>
  </si>
  <si>
    <t>Ministry of Education, Culture, Sports, Science and Technology of Japan</t>
  </si>
  <si>
    <t>Ministry of Education, Culture, Sports, Science and Technology of Japan(Ministry of Education, Culture, Sports, Science and Technology, Japan (MEXT))</t>
  </si>
  <si>
    <t>We thank C. Hamada, M. Endo, H. Kusagaya, M. Tsutsumi, T. Takai, M. Tsuji, H. Itoh, and K. Horimoto for their field assistance, and members of the 40th and 41st Japan Antarctic Research Expeditions, the crew of the icebreaker Shirase, and the staff of the National Institute of Polar Research for logistical support. We also thank K. Yoda, J. Piatt, and three anonymous referees for invaluable comments on the manuscript. This study was carried out as a Sea Ice Penguin Study program organized by the National Institute of Polar Research and funded by the Ministry of Education, Culture, Sports, Science and Technology of Japan.</t>
  </si>
  <si>
    <t>AMER ORNITHOLOGISTS UNION</t>
  </si>
  <si>
    <t>10.1525/auk.2010.09088</t>
  </si>
  <si>
    <t>637ZM</t>
  </si>
  <si>
    <t>WOS:000280858300006</t>
  </si>
  <si>
    <t>Quillfeldt, P; Voigt, CC; Masello, JF</t>
  </si>
  <si>
    <t>Quillfeldt, Petra; Voigt, Christian C.; Masello, Juan F.</t>
  </si>
  <si>
    <t>Plasticity versus repeatability in seabird migratory behaviour</t>
  </si>
  <si>
    <t>BEHAVIORAL ECOLOGY AND SOCIOBIOLOGY</t>
  </si>
  <si>
    <t>Microevolution; Migration; Pachyptila belcheri; Procellariiformes; Seabirds; Stable isotope analysis</t>
  </si>
  <si>
    <t>WINTER PHILOPATRY; FORAGING AREAS; PACHYPTILA-BELCHERI; STABLE-ISOTOPES; SITE FIDELITY; SHEARWATERS; STRATEGIES; FOOD; POPULATION; EVOLUTION</t>
  </si>
  <si>
    <t>Pelagic seabird populations can use several discrete wintering areas, but it is unknown if individuals use the same wintering area year after year. This would have consequences for their population genetic structure and conservation. We here study the faithfulness of individuals to a moulting area within and among years in a small pelagic seabird, the Thin-billed prion, which moult their primary feathers during the early part of the non-breeding period. According to stable carbon isotope ratios (delta C-13) of these feathers, 90% of Thin-billed prions moult in Antarctic and 10% in South American waters. Repeated samples from individuals in 2 or 3 years indicated that several birds changed between Antarctic and South American moulting areas or vice versa. However, individuals moulting in an area in one year were more likely to do so again. Four out of five adults maintained highly conserved delta C-13 over the extended moulting period. One bird, however, had systematic changes in delta C-13 indicating latitudinal movements between the two areas during moult. Thus, the present data show that this seabird species has a highly flexible migratory strategy, not only at the population level, but also at the individual level, enabling these seabirds to exploit a highly unpredictable environment.</t>
  </si>
  <si>
    <t>[Quillfeldt, Petra; Masello, Juan F.] Max Planck Inst Ornithol, D-78315 Radolfzell am Bodensee, Germany; [Voigt, Christian C.] Leibniz Inst Zoo &amp; Wildlife Res, Evolutionary Ecol Res Grp, Berlin, Germany</t>
  </si>
  <si>
    <t>Max Planck Society; Leibniz Institut fur Zoo und Wildtierforschung</t>
  </si>
  <si>
    <t>Quillfeldt, P (corresponding author), Max Planck Inst Ornithol, Schlossallee 2, D-78315 Radolfzell am Bodensee, Germany.</t>
  </si>
  <si>
    <t>DFG, Germany [Qu 148/1-ff]; NERC, UK [EK 82-08/05]; Falkland Islands Government; NERC [lsmsf010002] Funding Source: UKRI</t>
  </si>
  <si>
    <t>DFG, Germany(German Research Foundation (DFG)); NERC, UK(UK Research &amp; Innovation (UKRI)Natural Environment Research Council (NERC)); Falkland Islands Government; NERC(UK Research &amp; Innovation (UKRI)Natural Environment Research Council (NERC))</t>
  </si>
  <si>
    <t>We are grateful to the New Island Conservation Trust for permission to work on the island and for providing accommodation and transport. We would like to thank Ian, Maria and Georgina Strange and Dan Birch for their contributions, the logistics at New Island. Karin Sorgel carried out the sample preparation and stable isotope analysis at IZW. Riek van Noordwijk carried out molecular sex determination. Institut fur Vogelforschung Wilhelmshaven, Germany, provided steel rings to mark individuals. This study was funded by grants provided by DFG, Germany (Qu 148/1-ff) and NERC, UK (Grant-in-Kind EK 82-08/05) and approved by the Falkland Islands Government (Environmental Planning Office). The manuscript benefited from the constructive comments of two anonymous referees.</t>
  </si>
  <si>
    <t>0340-5443</t>
  </si>
  <si>
    <t>1432-0762</t>
  </si>
  <si>
    <t>BEHAV ECOL SOCIOBIOL</t>
  </si>
  <si>
    <t>Behav. Ecol. Sociobiol.</t>
  </si>
  <si>
    <t>10.1007/s00265-010-0931-2</t>
  </si>
  <si>
    <t>Behavioral Sciences; Ecology; Zoology</t>
  </si>
  <si>
    <t>Behavioral Sciences; Environmental Sciences &amp; Ecology; Zoology</t>
  </si>
  <si>
    <t>610FN</t>
  </si>
  <si>
    <t>WOS:000278717200011</t>
  </si>
  <si>
    <t>Warren, JD; Demer, DA</t>
  </si>
  <si>
    <t>Warren, Joseph D.; Demer, David A.</t>
  </si>
  <si>
    <t>Abundance and distribution of Antarctic krill (Euphausia superba) nearshore of Cape Shirreff, Livingston Island, Antarctica, during six austral summers between 2000 and 2007</t>
  </si>
  <si>
    <t>SOUTH SHETLAND ISLANDS; ACOUSTIC SCATTERING; TARGET-STRENGTH; BIOMASS DENSITY; PREY ABUNDANCE; FUR SEALS; PENGUINS; ZOOPLANKTON; VARIABILITY; DEMOGRAPHY</t>
  </si>
  <si>
    <t>Abundance and distribution of Antarctic krill (Euphausia superba) in the nearshore waters north of Livingston Island, Antarctica, were characterized from six small-boat surveys conducted in late January or early February from 2000 to 2007. The first three surveys (2000, 2002, 2004) were conducted using a 120 kHz split-beam echosounder to measure water column acoustic backscatter. The last three surveys (2005-2007) were conducted using 38 kHz and 200 kHz singlebeam echosounders. A portion of the acoustic backscatter was attributed to Antarctic krill based on the results of net tows, underwater video observations, and a multiple-frequency acoustic classification algorithm. The annual mean krill biomass density in the survey area ranged from 11 to 84 g.m(-2). Results are compared with the western Scotia Sea area of the US Antarctic Marine Living Resources (AMLR) program's acoustic surveys of krill biomass density for the same years. Near-shore krill biomass densities were significantly larger (t test, p &lt; 0.05), more stable, and the coefficients of variation were smaller than the much larger AMLR surveys. Increased competition between seals, penguins, and humans for the nearshore krill resource, especially during the austral summer months, could impact the recruitment success of these land-based krill predators. Implications of nearshore krill biomass on small-scale management units are discussed.</t>
  </si>
  <si>
    <t>[Warren, Joseph D.] SUNY Stony Brook, Sch Marine &amp; Atmospher Sci, Southampton, NY 11968 USA; [Demer, David A.] SW Fisheries Sci Ctr, La Jolla, CA 92037 USA</t>
  </si>
  <si>
    <t>, David/ABC-8990-2022; Warren, Joseph/Y-4078-2019</t>
  </si>
  <si>
    <t>, David/0000-0001-5083-8854;</t>
  </si>
  <si>
    <t>Office of Naval Research [N00014-01-1-0166]; NOAA's Southwest Fisheries Science Center (SWFSC); National Science Foundation's Office of Polar Programs [OPP0338196, OPP-0633939]; Advanced Survey Technologies group (AST) at SWFSC</t>
  </si>
  <si>
    <t>Office of Naval Research(Office of Naval Research); NOAA's Southwest Fisheries Science Center (SWFSC); National Science Foundation's Office of Polar Programs(National Science Foundation (NSF)); Advanced Survey Technologies group (AST) at SWFSC</t>
  </si>
  <si>
    <t>The financial and logistical support of the US AMLR Program has made this work possible, and Rennie Holt, its Director, is thanked heartily. During 2001, J.D.W. joined this research as an Office of Naval Research postdoctoral fellow (grant no. N00014-01-1-0166) with D.A.D. at NOAA's Southwest Fisheries Science Center (SWFSC). The 20052007 field seasons were supported by the National Science Foundation's Office of Polar Programs (grants OPP0338196 and OPP-0633939) and the Advanced Survey Technologies group (AST) at SWFSC. The captains of R/V Ernest, Adam Jenkins (2000, 2002, 2004) and Steve Sessions (2005, 2006, and 2007), allowed these data to be safely collected in a wide variety of conditions. D.A.D.'s concept for R/V Ernest I was cleverly designed and skillfully built by Leif Knutsen (Big Foot Marine). Derek Needham and Steve Sessions assisted with the design and construction of R/V Ernest II. The Captain and crew of R/V Yuzhmorgeologiya provided a vigilant guard and reliable support for the small-boat operations. The scientists aboard the R/V Yuzhmorgeologiya provided great company and high-quality acoustic (A. Cossio, J. Emery, R. Hewitt, and C. Reiss), hydrographic and meteorologic (D. Needham, M. Prowse, M. Soule, and M. van den Berg), and zooplankton (V. Loeb and the zooplankton sampling teams) data. B. Cobb, B. Parker, D. Krause, and R. Haner of AMLR and J. Evans of NSF/Raytheon Polar Services provided logistical support for our land-based operations. Finally, this work was facilitated by the AMLR Cape Shirreff field camp personnel (led by R. Holt, M. Goebel, and W. Trivelpiece), who graciously welcomed, fed, and sheltered us during the small-boat operations.</t>
  </si>
  <si>
    <t>10.1139/F10-042</t>
  </si>
  <si>
    <t>623KZ</t>
  </si>
  <si>
    <t>WOS:000279739900010</t>
  </si>
  <si>
    <t>Arora, M; Eddy, NK; Mumford, KA; Baba, Y; Perera, JM; Stevens, GW</t>
  </si>
  <si>
    <t>Arora, Meenakshi; Eddy, Natalia K.; Mumford, Kathryn A.; Baba, Yoshinari; Perera, Jilska M.; Stevens, Geoff W.</t>
  </si>
  <si>
    <t>Surface modification of natural zeolite by chitosan and its use for nitrate removal in cold regions</t>
  </si>
  <si>
    <t>COLD REGIONS SCIENCE AND TECHNOLOGY</t>
  </si>
  <si>
    <t>Zeolite; Nitrate; Adsorption; Remediation</t>
  </si>
  <si>
    <t>ANION-EXCHANGERS; ION-EXCHANGE; ADSORPTION; MEMBRANES; SORBENTS</t>
  </si>
  <si>
    <t>Surface modifications of natural zeolite were performed by coating it with a chitosan layer. The chitosan coated zeolite (Ch-Z) was protonated with either sulfuric or hydrochloric acid and tested for its suitability to capture nitrate from water at 20 and 4 degrees C. The surface characterization of the Ch-Z was done by SEM, FTIR, TGA and nitrogen adsorption tests. The results of these tests showed evidence of chitosan coating onto zeolite particles. Ch-Z has comparable capacity to other weak anion exchangers with a nitrate ion exchange capacity 0.74 mmol NO3 g(-1) (protonated with HCl). (C) 2010 Elsevier B.V. All rights reserved.</t>
  </si>
  <si>
    <t>[Arora, Meenakshi; Eddy, Natalia K.; Mumford, Kathryn A.; Perera, Jilska M.; Stevens, Geoff W.] Univ Melbourne, Particulate Fluids Proc Ctr, Melbourne, Vic 3010, Australia; [Baba, Yoshinari] Miyazaki Univ, Fac Engn, Dept Appl Chem, Miyazaki 8892192, Japan</t>
  </si>
  <si>
    <t>University of Melbourne; Melbourne Bioinformatics; University of Miyazaki</t>
  </si>
  <si>
    <t>Stevens, GW (corresponding author), Univ Melbourne, Particulate Fluids Proc Ctr, Melbourne, Vic 3010, Australia.</t>
  </si>
  <si>
    <t>gstevens@unimelb.edu.au</t>
  </si>
  <si>
    <t>Perera, Jilska/AAF-5647-2020; Mumford, Kathryn A/M-6566-2015; Arora, Meenakshi/E-1473-2011</t>
  </si>
  <si>
    <t>Stevens, Geoffrey/0000-0002-5788-4682; Arora, Meenakshi/0000-0002-6988-2844</t>
  </si>
  <si>
    <t>Australian Research Council; Australian Antarctic Division</t>
  </si>
  <si>
    <t>Australian Research Council(Australian Research Council); Australian Antarctic Division</t>
  </si>
  <si>
    <t>This study was supported by the Particulate Fluid Processing Centre, a Special Research Centre of the Australian Research Council and the Australian Antarctic Division.</t>
  </si>
  <si>
    <t>0165-232X</t>
  </si>
  <si>
    <t>1872-7441</t>
  </si>
  <si>
    <t>COLD REG SCI TECHNOL</t>
  </si>
  <si>
    <t>Cold Reg. Sci. Tech.</t>
  </si>
  <si>
    <t>10.1016/j.coldregions.2010.03.002</t>
  </si>
  <si>
    <t>Engineering, Environmental; Engineering, Civil; Geosciences, Multidisciplinary</t>
  </si>
  <si>
    <t>Engineering; Geology</t>
  </si>
  <si>
    <t>616OL</t>
  </si>
  <si>
    <t>WOS:000279218600002</t>
  </si>
  <si>
    <t>Bostock, HC; Opdyke, BN; Williams, MJM</t>
  </si>
  <si>
    <t>Bostock, Helen C.; Opdyke, Bradley N.; Williams, Michael J. M.</t>
  </si>
  <si>
    <t>Characterising the intermediate depth waters of the Pacific Ocean using δ13C and other geochemical tracers</t>
  </si>
  <si>
    <t>Pacific Ocean; Intermediate depth waters; AAIW; NPIW; Equatorial intermediate waters; Geochemical tracers; delta C-13; delta C-14; Benthic foraminifera</t>
  </si>
  <si>
    <t>WESTERN EQUATORIAL PACIFIC; BENTHIC FORAMINIFERAL CD/CA; LAST GLACIAL MAXIMUM; PAST 25,000 YEARS; SOUTHERN-OCEAN; NORTH PACIFIC; ATMOSPHERIC CO2; DEEP-WATER; THERMOHALINE CIRCULATION; HYDROGRAPHIC SECTION</t>
  </si>
  <si>
    <t>Evidence from geochemical tracers (salinity, oxygen, silicate, nutrients, alkalinity, dissolved inorganic carbon (DIC), carbon isotopes (delta C-13(DIC)) and radiocarbon (Delta C-14)) collected during the Pacific Ocean World Ocean Circulation Experiment (WOCE) voyages (P10, P15, P17 and P19) indicate there are three main water types at intermediate depths in the Pacific Ocean: North Pacific Intermediate Water (NPIW), Antarctic Intermediate Water (AAIW) and Equatorial Pacific Intermediate Waters (EqPIW). We support previous suggestions of EqPIW as a separate equatorial intermediate depth water as it displays a distinct geochemical signature characterised by low salinity, low oxygen, high nutrients and low Delta C-14 (older radiocarbon). Using the geochemical properties of the different intermediate depth waters, we have mapped out their distribution in the main Pacific Basin. From the calculated pre-formed delta C-13(air-sea) conservative tracer, it is evident that EqPIW is a combination of AAIW parental waters, while quasi-conservative geochemical tracers, such as radiocarbon, also indicate mixing with old upwelling Pacific Deep Waters (PDW). The EqPIW also displays a latitudinal asymmetry in non-conservative geochemical tracers and can be further split into North (NEqPIW) and South (SEqPIW) separated at similar to 2 degrees N. The reason for this asymmetry is caused by higher surface diatom production in the north driven by higher silicate concentrations. The delta C-13 signature measured in benthic foraminifera, Cibicidoides spp. (delta C-13(Cib)), from four core tops bathed in AAIW, SEqPIW and NPIW, reflects that of the overlying intermediate depth waters. The delta C-13(Cib) from these cores show similarities and variations down-core that highlight changes in mixing over the last 30,000 yr BP. The reduced offset between the delta C-13(Cib) of AAIW and SEqPIW during the last glacial indicates that AAIW might have had an increased influence in the eastern equatorial Pacific (EEP) region at this time. Additional intermediate depth cores and other paleo-geochemical proxies such as Cd/Ca and radiocarbon are required from the broader Pacific Ocean to further understand changes in intermediate depth water formation, circulation and mixing over glacial/interglacial cycles. (C) 2010 Elsevier Ltd. All rights reserved.</t>
  </si>
  <si>
    <t>[Bostock, Helen C.; Williams, Michael J. M.] Natl Inst Water &amp; Atmospher Res, Wellington, New Zealand; [Bostock, Helen C.] Australian Natl Univ, Dept Earth &amp; Marine Sci, Canberra, ACT 0200, Australia; [Opdyke, Bradley N.] Australian Natl Univ, Res Sch Earth Sci, Canberra, ACT 0200, Australia</t>
  </si>
  <si>
    <t>National Institute of Water &amp; Atmospheric Research (NIWA) - New Zealand; Australian National University; Australian National University</t>
  </si>
  <si>
    <t>Bostock, HC (corresponding author), Natl Inst Water &amp; Atmospher Res, Wellington, New Zealand.</t>
  </si>
  <si>
    <t>h.bostock@niwa.co.nz</t>
  </si>
  <si>
    <t>Williams, Michael/H-9674-2014; Bostock, Helen/A-6834-2013</t>
  </si>
  <si>
    <t>Bostock, Helen/0000-0002-8903-8958</t>
  </si>
  <si>
    <t>Australian Postgraduate Award; New Zealand Foundation for Science and Technology [C01X0702]</t>
  </si>
  <si>
    <t>Australian Postgraduate Award(Australian Government); New Zealand Foundation for Science and Technology(New Zealand Foundation for Research, Science and Technology)</t>
  </si>
  <si>
    <t>Thanks to all the scientists that collected and analysed the samples from the World Ocean Circulation Experiment (WOCE) Pacific Ocean voyages for providing such a great data set. This work was supported by an Australian Postgraduate Award to HCB and funding from the New Zealand Foundation for Science and Technology, grant C01X0702, used to complete the paper. Thanks to Scott Nodder, Phil Sutton, and several anonymous reviewers for helping to improve the manuscript.</t>
  </si>
  <si>
    <t>10.1016/j.dsr.2010.04.005</t>
  </si>
  <si>
    <t>621KL</t>
  </si>
  <si>
    <t>WOS:000279576600002</t>
  </si>
  <si>
    <t>Kawano, T; Doi, T; Uchida, H; Kouketsu, S; Fukasawa, M; Kawai, Y; Katsumata, K</t>
  </si>
  <si>
    <t>Kawano, Takeshi; Doi, Toshimasa; Uchida, Hiroshi; Kouketsu, Shinya; Fukasawa, Masao; Kawai, Yoshimi; Katsumata, Katsuro</t>
  </si>
  <si>
    <t>Heat Content Change in the Pacific Ocean between the 1990s and 2000s</t>
  </si>
  <si>
    <t>DEEP-SEA RESEARCH PART II-TOPICAL STUDIES IN OCEANOGRAPHY</t>
  </si>
  <si>
    <t>Deep water warming; Antarctic overturn; Circumpolar deep water; The Pacific Ocean</t>
  </si>
  <si>
    <t>SEA-LEVEL VARIATIONS; NORTH PACIFIC; STANDARD SEAWATER; WORLD OCEAN; VARIABILITY; FLUX</t>
  </si>
  <si>
    <t>We studied the change in heat content in the Pacific Ocean using data from repeat hydrographic surveys. The most recent trans-Pacific surveys along 47 degrees N and 179 degrees E conducted in 2007 reveal that circumpolar deep water has warmed along 179 degrees E as suggested by previous studies and also that the deep water was warmer along 47 degrees N even since 1999. Simple estimates show that the heat content increased in the layer deeper than 4000 m over almost the entire Pacific Ocean. The increase in heat content below 3000 m was about 5% of the ocean-wide increase. Heat content changes in the deep layer are not uniform and a vertical profile of heat content change has a minimum at a depth around 3000 m. The non-uniform distribution of heat content change in the mid- to bottom layer demonstrates the existence of overturn circulation and may indicate that this circulation is changing. (C) 2010 Elsevier Ltd. All rights reserved.</t>
  </si>
  <si>
    <t>[Kawano, Takeshi; Doi, Toshimasa; Uchida, Hiroshi; Kouketsu, Shinya; Fukasawa, Masao; Kawai, Yoshimi; Katsumata, Katsuro] Japan Agcy Marine Earth Sci &amp; Technol, Inst Observat Res Global Change, Yokosuka, Kanagawa 2370061, Japan</t>
  </si>
  <si>
    <t>Japan Agency for Marine-Earth Science &amp; Technology (JAMSTEC)</t>
  </si>
  <si>
    <t>Kawano, T (corresponding author), Japan Agcy Marine Earth Sci &amp; Technol, Inst Observat Res Global Change, 2-15 Natsushima, Yokosuka, Kanagawa 2370061, Japan.</t>
  </si>
  <si>
    <t>kawanot@jamstec.go.jp</t>
  </si>
  <si>
    <t>Kawai, Yoshimi/AAK-1539-2020; Katsumata, Katsuro/AAR-5034-2020</t>
  </si>
  <si>
    <t>Katsumata, Katsuro/0000-0002-4683-7610; Kouketsu, Shinya/0000-0002-8217-5888</t>
  </si>
  <si>
    <t>0967-0645</t>
  </si>
  <si>
    <t>1879-0100</t>
  </si>
  <si>
    <t>DEEP-SEA RES PT II</t>
  </si>
  <si>
    <t>Deep-Sea Res. Part II-Top. Stud. Oceanogr.</t>
  </si>
  <si>
    <t>13-14</t>
  </si>
  <si>
    <t>10.1016/j.dsr2.2009.12.003</t>
  </si>
  <si>
    <t>617TO</t>
  </si>
  <si>
    <t>WOS:000279305000005</t>
  </si>
  <si>
    <t>Pattyn, F</t>
  </si>
  <si>
    <t>Pattyn, Frank</t>
  </si>
  <si>
    <t>Antarctic subglacial conditions inferred from a hybrid ice sheet/ice stream model</t>
  </si>
  <si>
    <t>Antarctic ice sheet; numerical modeling; subglacial temperature; geothermal heat-flow; basal melting; ice sheet age</t>
  </si>
  <si>
    <t>DIGITAL ELEVATION MODEL; EAST ANTARCTICA; GLACIER FLOW; DOME FUJI; LAW DOME; TEMPERATURE; VOSTOK; BASAL; LAKES; SENSITIVITY</t>
  </si>
  <si>
    <t>Subglacial conditions of large polar ice sheets remain poorly understood, despite recent advances in satellite observation. Major uncertainties related to basal conditions, such as the temperature field, are due to an insufficient knowledge of geothermal heat flow. Here, a hybrid method is presented that combines numerical modeling of the ice sheet thermodynamics with a priori information using a simple assimilation technique. Additional data are essentially vertical temperature profiles measured in the ice sheet at selected spots, as well as the distribution of subglacial lakes. In this way, geothermal heat-flow datasets are improved to yield calculated temperatures in accord with observations in areas where information is available. Results of the sensitivity experiments show that 55% of the grounded part of the Antarctic ice sheet is at pressure melting point. Calculated basal melt rates are approximately 65 Gt year(-1), which is 3% of the total surface accumulation. Although these sensitivity experiments exhibit small variations in basal melt rates, the impact on the ice age of basal layers is quite important. In areas that are characterized by relatively low melt rates, this may lead to standard deviations up to 50% (in a model run over a period of 10(6) years). Subglacial water flow is concentrated underneath the large outlet glaciers of Antarctica. The larger subglacial lakes are perched at the head of these subglacial water systems. An exception, however, is the lake system of the Recovery Ice Stream Catchment, that receives a substantial amount of subglacial melt water from the upstream catchment. (C) 2010 Elsevier B.V. All rights reserved.</t>
  </si>
  <si>
    <t>Univ Libre Bruxelles, Lab Glaciol, Dept Sci Terre &amp; Environm, B-1050 Brussels, Belgium</t>
  </si>
  <si>
    <t>Universite Libre de Bruxelles</t>
  </si>
  <si>
    <t>Pattyn, F (corresponding author), Univ Libre Bruxelles, Lab Glaciol, Dept Sci Terre &amp; Environm, CP160-03,Av FD Roosevelt 50, B-1050 Brussels, Belgium.</t>
  </si>
  <si>
    <t>fpattyn@ulb.ac.be</t>
  </si>
  <si>
    <t>Pattyn, Frank/AAA-9640-2019</t>
  </si>
  <si>
    <t>Pattyn, Frank/0000-0003-4805-5636</t>
  </si>
  <si>
    <t>Belgian Federal Science Policy Office [SD/CA/02]</t>
  </si>
  <si>
    <t>Belgian Federal Science Policy Office(Belgian Federal Science Policy Office)</t>
  </si>
  <si>
    <t>This paper forms a contribution to the Belgian Research Programme on the Antarctic (Belgian Federal Science Policy Office), project nr. SD/CA/02 'Antarctic Subglacial Processes and Interactions (ASPI).' I should like to thank J. Bamber, S. Fujita, J. MacGregor, K. Matsuoka, A. Monaghan, F. Parennin, M. Studinger, M. van den Broeke and T. van Ommen for kindly providing the different datasets.</t>
  </si>
  <si>
    <t>JUL 1</t>
  </si>
  <si>
    <t>10.1016/j.epsl.2010.04.025</t>
  </si>
  <si>
    <t>623MP</t>
  </si>
  <si>
    <t>WOS:000279744900013</t>
  </si>
  <si>
    <t>Lescroël, A; Ballard, G; Toniolo, V; Barton, KJ; Wilson, PR; Lyver, PO; Ainley, DG</t>
  </si>
  <si>
    <t>Lescroel, Amelie; Ballard, Grant; Toniolo, Viola; Barton, Kerry J.; Wilson, Peter R.; Lyver, Philip O'B.; Ainley, David G.</t>
  </si>
  <si>
    <t>Working less to gain more: when breeding quality relates to foraging efficiency</t>
  </si>
  <si>
    <t>Adelie Penguin (Pygoscelis adeliae); breeding success; colony size; competition; environmental change; foraging behavior; individual quality; phenotypic plasticity; satellite transmitter; seabirds; time-depth recorder; weighbridge</t>
  </si>
  <si>
    <t>LIFETIME REPRODUCTIVE SUCCESS; ADELIE PENGUINS; INDIVIDUAL QUALITY; EUROPEAN BLACKBIRDS; BODY CONDITION; ROSS SEA; AGE; DIET; PERFORMANCE; SURVIVAL</t>
  </si>
  <si>
    <t>In animal populations, a minority of individuals consistently achieves the highest breeding success and therefore contributes the most recruits to future generations. On average, foraging performance is important in determining breeding success at the population level, but evidence is scarce to show that more successful breeders (better breeders) forage differently than less successful ones (poorer breeders). To test this hypothesis, we used a 10-year, three-colony, individual-based longitudinal data set on breeding success and foraging parameters of a long-lived bird, the Adelie Penguin, Pygoscelis adeliae. Better breeders foraged more efficiently than poorer breeders under harsh environmental conditions and when offspring needs were higher, therefore gaining higher net energy profit to be allocated to reproduction and survival. These results imply that adverse extrinsic conditions might select breeding individuals on the basis of their foraging ability. Adelie Penguins show sufficient phenotypic plasticity that at least a portion of the population is capable of surviving and successfully reproducing despite extreme variability in their physical and biological environment, variability that is likely to be associated with climate change and, ultimately, with the species' evolution. This study is the first to demonstrate the importance of extrinsic conditions (in terms of environmental conditions and offspring needs) on the relationship between foraging behavior and individual quality.</t>
  </si>
  <si>
    <t>[Lescroel, Amelie] CEBC CNRS, UPR 1934, F-79360 Villiers En Bois, France; [Lescroel, Amelie] HT Harvey &amp; Associates, San Jose, CA 95118 USA; [Ballard, Grant] PRBO Point Reyes Bird Observ Conservat Sci, Petaluma, CA 94954 USA; [Ballard, Grant; Ainley, David G.] Univ Auckland, Sch Biol Sci, Auckland 1, New Zealand; [Toniolo, Viola] Stanford Univ, Ocean Biogeochem Lab, Dept Environm Earth Syst Sci, Stanford, CA 94305 USA; [Barton, Kerry J.; Wilson, Peter R.] Landcare Res, Nelson, New Zealand; [Lyver, Philip O'B.] Landcare Res, Lincoln, New Zealand</t>
  </si>
  <si>
    <t>Centre National de la Recherche Scientifique (CNRS); University of Auckland; Stanford University; Landcare Research - New Zealand; Landcare Research - New Zealand</t>
  </si>
  <si>
    <t>Lescroël, A (corresponding author), Univ Rennes 1, URU 420, Museum Natl Hist Nat, 263 Ave Gen Leclerc, F-35042 Rennes, France.</t>
  </si>
  <si>
    <t>lescroel_cebc@no-log.org</t>
  </si>
  <si>
    <t>National Science Foundation [OPP 9526865, 9814882, 0125608, 0440643]; University of Auckland, School of Biological Sciences; Marie Curie International Fellowship within the 6th European Community Framework Programme; New Zealand Foundation for Research, Science and Technology [C09527, C09X0510]</t>
  </si>
  <si>
    <t>National Science Foundation(National Science Foundation (NSF)); University of Auckland, School of Biological Sciences; Marie Curie International Fellowship within the 6th European Community Framework Programme(European Union (EU)); New Zealand Foundation for Research, Science and Technology(New Zealand Foundation for Research, Science and Technology)</t>
  </si>
  <si>
    <t>The first two authors contributed equally to the work; order was determined by coin toss. We express our gratitude to the fieldworkers who joined us to collect data at Cape Crozier and Cape Royds beginning in 1996, and especially Ian Gaffney, Sacha Heath, Michelle Hester, and Peter Wilson for their multi-season commitment. Logistics were provided by the U.S. Antarctic Program and Antarctica New Zealand, with funding of personnel costs (including G. Ballard, D. Ainley, and V. Toiolo) coming from the National Science Foundation grants OPP 9526865, 9814882, 0125608, and 0440643. G. Ballard received additional support from the University of Auckland, School of Biological Sciences. A. Lescroel was supported by a Marie Curie International Fellowship within the 6th European Community Framework Programme. P. Lyver, K. Barton, and P. Wilson were supported by New Zealand Foundation for Research, Science and Technology grants (C09527, C09X0510). A. Lescroel thanks Charles-Andre Bost for his continuous support and pertinent advice, as well as Thomas de Cornulier, Matthieu Authier, and David Pinaud for statistical and programming advice. The manuscript benefited from review by Mark Hauber and two anonymous reviewers. This is PRBO contribution # 1695.</t>
  </si>
  <si>
    <t>10.1890/09-0766.1</t>
  </si>
  <si>
    <t>621GL</t>
  </si>
  <si>
    <t>WOS:000279563700023</t>
  </si>
  <si>
    <t>Ballard, G; Toniolo, V; Ainley, DG; Parkinson, CL; Arrigo, KR; Trathan, PN</t>
  </si>
  <si>
    <t>Ballard, Grant; Toniolo, Viola; Ainley, David G.; Parkinson, Claire L.; Arrigo, Kevin R.; Trathan, Phil N.</t>
  </si>
  <si>
    <t>Responding to climate change: Adelie Penguins confront astronomical and ocean boundaries</t>
  </si>
  <si>
    <t>Adelie Penguin; Antarctica; climate change; geolocation sensor; migration; Pygoscelis adeliae; Ross Sea; sea ice; wintering ecology</t>
  </si>
  <si>
    <t>ROSS SEA; WINTER MIGRATION; ICE; SEABIRDS; SUMMER; VARIABILITY; POPULATIONS; ANTARCTICA; ATTACHMENT; DYNAMICS</t>
  </si>
  <si>
    <t>Long-distance migration enables many organisms to take advantage of lucrative breeding and feeding opportunities during summer at high latitudes and then to move to lower, more temperate latitudes for the remainder of the year. The latitudinal range of the Adelie Penguin (Pygoscelis adeliae) spans; similar to 22 degrees. Penguins from northern colonies may not migrate, but due to the high latitude of Ross Island colonies, these penguins almost certainly undertake the longest migrations for the species. Previous work has suggested that Adelies require both pack ice and some ambient light at all times of year. Over a three-year period, which included winters of both extensive and reduced sea ice, we investigated characteristics of migratory routes and wintering locations of Adelie Penguins from two colonies of very different size on Ross Island, Ross Sea, the southernmost colonies for any penguin. We acquired data from 3-16 geolocation sensor tags (GLS) affixed to penguins each year at both Cape Royds and Cape Crozier in 2003-2005. Migrations averaged 12 760 km, with the longest being 17 600 km, and were in part facilitated by pack ice movement. Trip distances varied annually, but not by colony. Penguins rarely traveled north of the main sea-ice pack, and used areas with high sea-ice concentration, ranging from 75% to 85%, about 500 km inward from the ice edge. They also used locations where there was some twilight (2-7 h with sun &lt;6 degrees below the horizon). We report the present Adelie Penguin migration pattern and conjecture on how it probably has changed over the past; similar to 12 000 years, as the West Antarctic Ice Sheet withdrew southward across the Ross Sea, a situation that no other Adelie Penguin population has had to confront. As sea ice extent in the Ross Sea sector decreases in the near future, as predicted by climate models, we can expect further changes in the migration patterns of the Ross Sea penguins.</t>
  </si>
  <si>
    <t>[Ballard, Grant] PRBO Point Reyes Bird Observ Conservat Sci, Petaluma, CA 94954 USA; [Ballard, Grant] Univ Auckland, Sch Biol Sci, Auckland 1, New Zealand; [Toniolo, Viola; Arrigo, Kevin R.] Stanford Univ, Ocean Biogeochem Lab, Dept Environm Earth Syst Sci, Stanford, CA 94305 USA; [Ainley, David G.] HT Harvey &amp; Associates, San Jose, CA 95118 USA; [Parkinson, Claire L.] NASA, Goddard Space Flight Ctr, Cryospher Sci Branch, Greenbelt, MD 20771 USA; [Trathan, Phil N.] British Antarctic Survey, Nat Environm Res Council, Cambridge CB3 0ET, England</t>
  </si>
  <si>
    <t>University of Auckland; Stanford University; National Aeronautics &amp; Space Administration (NASA); NASA Goddard Space Flight Center; UK Research &amp; Innovation (UKRI); Natural Environment Research Council (NERC); NERC British Antarctic Survey</t>
  </si>
  <si>
    <t>Ballard, G (corresponding author), PRBO Point Reyes Bird Observ Conservat Sci, 3820 Cypress Dr 11, Petaluma, CA 94954 USA.</t>
  </si>
  <si>
    <t>gballard@prbo.org</t>
  </si>
  <si>
    <t>Parkinson, Claire/JAC-7676-2023; Parkinson, Claire L/E-1747-2012</t>
  </si>
  <si>
    <t>Parkinson, Claire/0000-0001-6730-4197; Parkinson, Claire L/0000-0001-6730-4197; Arrigo, Kevin/0000-0002-7364-876X</t>
  </si>
  <si>
    <t>NSF [OPP 0440643]; University of Auckland, School of Biological Sciences; NASA [NNG05GR19G]; NERC [bas0100025] Funding Source: UKRI; Natural Environment Research Council [bas0100025] Funding Source: researchfish</t>
  </si>
  <si>
    <t>NSF(National Science Foundation (NSF)); University of Auckland, School of Biological Sciences; NASA(National Aeronautics &amp; Space Administration (NASA)); NERC(UK Research &amp; Innovation (UKRI)Natural Environment Research Council (NERC)); Natural Environment Research Council(UK Research &amp; Innovation (UKRI)Natural Environment Research Council (NERC))</t>
  </si>
  <si>
    <t>The work of G. Ballard, V. Toniolo, and D. Ainley was funded by NSF grant OPP 0440643, with very proficient logistic support provided by the U.S. Antarctic Program. G. Ballard received additional support from the University of Auckland, School of Biological Sciences. The participation of K. Arrigo was supported by NASA grant NNG05GR19G. For assistance with fieldwork since 2003, we thank Louise Blight, Jennifer Blum, Katie Dugger, Carina Gjerdrum, Michelle Hester, Amelie Lescroel, Chris McCreedy, Rachael Orben, Vijay Patil, Ben Saenz, and Lisa Shefield. Shulamit Gordon kindly placed reference tags at Cape Hallett, and Gert van Dijken and Nick DiGirolamo helped with ice data processing. Mark Hauber and Katie Dugger provided reviews of earlier drafts. The paper benefitted greatly from peer review by C. A. Bost and an anonymous reviewer. This is PRBO contribution # 1696.</t>
  </si>
  <si>
    <t>10.1890/09-0688.1</t>
  </si>
  <si>
    <t>WOS:000279563700024</t>
  </si>
  <si>
    <t>Nair, M; Jacob, J; Nisha, PA; Martin, GD; Srinivas, K; Sheeba, P; Laluraj, CM; Joseph, T; Balachandran, KK</t>
  </si>
  <si>
    <t>Nair, M.; Jacob, J.; Nisha, P. A.; Martin, G. D.; Srinivas, K.; Sheeba, P.; Laluraj, C. M.; Joseph, T.; Balachandran, K. K.</t>
  </si>
  <si>
    <t>Seasonal variations in the sediment biogenic properties of a tropical mangrove environment, southwest coast of India</t>
  </si>
  <si>
    <t>ENVIRONMENTAL EARTH SCIENCES</t>
  </si>
  <si>
    <t>Organic matter; Mangrove; Carbohydrates; Proteins; Cochin estuary; Southwest coast of India</t>
  </si>
  <si>
    <t>ORGANIC-MATTER; BIOCHEMICAL-COMPOSITION; TROPHIC STATE; AMINO-ACIDS; SEA; CARBON; PRESERVATION; ESTUARY; SYSTEMS; PROTEIN</t>
  </si>
  <si>
    <t>Temporal and spatial changes in the sediment properties of a mangrove ecosystem (Cochin, southwest coast India) are presented. The region was freshwater dominated during monsoon (June-September) and seawater dominated during other two seasons. The system remained eutrophic due to the high inputs of organic matter (OM) during most part of the year. The organic-rich sediments accumulated high amount of carbohydrates (22% of OM) and proteins (11% of OM) during non-monsoon months as compared to coastal environments. Principal component analysis showed that the biochemical properties are uniformly influenced by seasonal and spatial variations. Higher concentrations of sediment protein over carbohydrate indicate an efficient mineralization leading to the non-availability of aged OM in the system. The dominance of these labile components is generally indicative of the eutrophic condition of the system.</t>
  </si>
  <si>
    <t>[Laluraj, C. M.] Natl Ctr Antarctic &amp; Ocean Res, Goa 403804, India; [Nair, M.; Jacob, J.; Nisha, P. A.; Martin, G. D.; Srinivas, K.; Sheeba, P.; Joseph, T.; Balachandran, K. K.] Natl Inst Oceanog, Reg Ctr, Council Sci &amp; Ind Res, Kochi 682018, India</t>
  </si>
  <si>
    <t>Ministry of Earth Sciences (MoES) - India; National Centre for Polar and Ocean Research (NCPOR); Council of Scientific &amp; Industrial Research (CSIR) - India; CSIR - National Institute of Oceanography (NIO)</t>
  </si>
  <si>
    <t>Laluraj, CM (corresponding author), Natl Ctr Antarctic &amp; Ocean Res, Goa 403804, India.</t>
  </si>
  <si>
    <t>maheswari@nio.org; lalucm@ncaor.org</t>
  </si>
  <si>
    <t>Aravind, Nisha P/GYA-3866-2022</t>
  </si>
  <si>
    <t>Aravind, Nisha P/0000-0001-8868-8871</t>
  </si>
  <si>
    <t>National Institute of Oceanography, Goa; RC NIO Kochi; ICMAM-PD, Chennai</t>
  </si>
  <si>
    <t>The authors are thankful to the Director, National Institute of Oceanography, Goa, the Scientist-in-Charge, RC NIO Kochi and the Director, ICMAM-PD, Chennai for the encouragement and support. This work forms a part of the project Ecosystem modeling of Cochin backwaters'', funded by ICMAM-PD Chennai. The comments given by the reviewer have helped to improve the manuscript considerably.</t>
  </si>
  <si>
    <t>1866-6280</t>
  </si>
  <si>
    <t>1866-6299</t>
  </si>
  <si>
    <t>ENVIRON EARTH SCI</t>
  </si>
  <si>
    <t>Environ. Earth Sci.</t>
  </si>
  <si>
    <t>10.1007/s12665-009-0317-9</t>
  </si>
  <si>
    <t>Environmental Sciences; Geosciences, Multidisciplinary; Water Resources</t>
  </si>
  <si>
    <t>Environmental Sciences &amp; Ecology; Geology; Water Resources</t>
  </si>
  <si>
    <t>614SN</t>
  </si>
  <si>
    <t>WOS:000279080100003</t>
  </si>
  <si>
    <t>Myhre, G; Alterskjær, K; Lowe, D</t>
  </si>
  <si>
    <t>Myhre, G.; Alterskjaer, K.; Lowe, D.</t>
  </si>
  <si>
    <t>A fast method for updating global fossil fuel carbon dioxide emissions (vol 4, 034012, 2009)</t>
  </si>
  <si>
    <t>fossil fuel emissions; carbon dioxide</t>
  </si>
  <si>
    <t>Updated data for fossil fuel emissions of CO(2) show a decline of 1.3% during 2009. This ended a decade with strong increase in the fossil fuel CO(2) emissions. The regional differences in the change in the CO(2) emissions are substantial for 2009. The share of coal as a fuel has increased since 2002 and this continues also in 2009.</t>
  </si>
  <si>
    <t>[Myhre, G.] CICERO, N-0318 Oslo, Norway; [Alterskjaer, K.] Univ Oslo, Dept Geosci, N-0316 Oslo, Norway; [Lowe, D.] Victoria Univ Wellington, Antarctic Res Ctr, Wellington, New Zealand</t>
  </si>
  <si>
    <t>University of Oslo; Victoria University Wellington</t>
  </si>
  <si>
    <t>Myhre, G (corresponding author), CICERO, N-0318 Oslo, Norway.</t>
  </si>
  <si>
    <t>gunnar.myhre@cicero.uio.no</t>
  </si>
  <si>
    <t>Myhre, Gunnar/A-3598-2008</t>
  </si>
  <si>
    <t>DIRAC HOUSE, TEMPLE BACK, BRISTOL BS1 6BE, ENGLAND</t>
  </si>
  <si>
    <t>JUL-SEP</t>
  </si>
  <si>
    <t>10.1088/1748-9326/5/3/039701</t>
  </si>
  <si>
    <t>655TX</t>
  </si>
  <si>
    <t>WOS:000282273700018</t>
  </si>
  <si>
    <t>Rusov, VD; Vaschenko, VN; Linnik, EP; Mavrodiev, SC; Zelentsova, TN; Pintelina, L; Smolyar, VP; Pekevski, L</t>
  </si>
  <si>
    <t>Rusov, V. D.; Vaschenko, V. N.; Linnik, E. P.; Mavrodiev, S. Cht.; Zelentsova, T. N.; Pintelina, L.; Smolyar, V. P.; Pekevski, L.</t>
  </si>
  <si>
    <t>Mechanism of deep-focus earthquakes anomalous statistics</t>
  </si>
  <si>
    <t>EPL</t>
  </si>
  <si>
    <t>POLYMER; COMPRESSION; SUBSTRATE; PLATES; FILM</t>
  </si>
  <si>
    <t>Analyzing the NEIC-data we have shown that the spatial deep-focus earthquake distribution in the Earth interior over the years 1993-2006 is characterized by the clearly defined periodical fine discrete structure with period L = 50 km, which is solely generated by earthquakes with magnitude M is an element of [3.9; 5.3] and only on the convergent boundary of plates. To describe the formation of this structure we used the model of complex systems by Volynskii and Bazhenov. The key property of this model consists in the presence of a rigid coating on a soft substratum. We have shown that in subduction processes the slab substance (lithosphere) plays the role of a rigid coating and the upper mantle acts as a soft substratum. Within the framework of this model we have obtained the estimation of average values of stress in the upper mantle and Young's modulus for the oceanic slab (lithosphere) and upper mantle. Copyright (C) EPLA, 2010</t>
  </si>
  <si>
    <t>[Rusov, V. D.; Linnik, E. P.; Zelentsova, T. N.; Pintelina, L.; Smolyar, V. P.] Odessa Natl Polytech Univ, Dept Theoret &amp; Expt Nucl Phys, UA-65044 Odessa, Ukraine; [Vaschenko, V. N.] Natl Antarctic Sci Ctr, UA-01030 Kiev, Ukraine; [Mavrodiev, S. Cht.] Bulgarian Acad Sci, Inst Nucl Res &amp; Nucl Energy, BU-1784 Sofia, Bulgaria; [Pekevski, L.] Fac Nat Sci &amp; Math, Seismol Observ, Skopje 1000, Macedonia</t>
  </si>
  <si>
    <t>Ministry of Education &amp; Science of Ukraine; Odessa National Polytechnic University; Ministry of Education &amp; Science of Ukraine; State Institution National Antarctic Scientific Center; Bulgarian Academy of Sciences</t>
  </si>
  <si>
    <t>Rusov, VD (corresponding author), Odessa Natl Polytech Univ, Dept Theoret &amp; Expt Nucl Phys, UA-65044 Odessa, Ukraine.</t>
  </si>
  <si>
    <t>siiis@te.net.ua</t>
  </si>
  <si>
    <t>Smolyar, Vladimir/C-3406-2016; Rusov, Vitaliy D./I-1932-2015; Zelentsova, Tatiana/C-3784-2016</t>
  </si>
  <si>
    <t>Smolyar, Vladimir/0000-0002-0420-513X; Rusov, Vitaliy D./0000-0003-1091-1396; Zelentsova, Tatiana/0000-0002-2884-0090</t>
  </si>
  <si>
    <t>EPL ASSOCIATION, EUROPEAN PHYSICAL SOCIETY</t>
  </si>
  <si>
    <t>MULHOUSE</t>
  </si>
  <si>
    <t>6 RUE DES FRERES LUMIERE, MULHOUSE, 68200, FRANCE</t>
  </si>
  <si>
    <t>0295-5075</t>
  </si>
  <si>
    <t>EPL-EUROPHYS LETT</t>
  </si>
  <si>
    <t>10.1209/0295-5075/91/29001</t>
  </si>
  <si>
    <t>654SK</t>
  </si>
  <si>
    <t>WOS:000282189500024</t>
  </si>
  <si>
    <t>Zieritz, A; Hoffman, JI; Amos, W; Aldridge, DC</t>
  </si>
  <si>
    <t>Zieritz, A.; Hoffman, J. I.; Amos, W.; Aldridge, D. C.</t>
  </si>
  <si>
    <t>Phenotypic plasticity and genetic isolation-by-distance in the freshwater mussel Unio pictorum (Mollusca: Unionoida)</t>
  </si>
  <si>
    <t>Amplified fragment length polymorphisms (AFLPs); Morphological variation; Morphometrics; Phenotypic plasticity; Unionidae</t>
  </si>
  <si>
    <t>MARGARITIFERA-MARGARITIFERA L.; AMERICAN UNIONIDAE BIVALVIA; CONSERVATION GENETICS; POPULATION-STRUCTURE; PHYLOGENETIC-RELATIONSHIPS; UNIONACEA BIVALVIA; GENOTYPING ERRORS; DIFFERENTIATION; MARKERS; SHELL</t>
  </si>
  <si>
    <t>Freshwater mussels (Unionoida) show high intraspecific morphological variability, and some shell morphological traits are believed to be associated with habitat conditions. It is not known whether and which of these ecophenotypic differences reflect underlying genetic differentiation or are the result of phenotypic plasticity. Using 103 amplified fragment length polymorphism (AFLP) markers, we studied population genetics of three paired Unio pictorum populations sampled from two different habitat types (marina and river) along the River Thames. We found genetic differences along the Thames which were consistent with a pattern of isolation by distance and probably reflect limited dispersal via host fish species upon which unionoid larvae are obligate parasites. No consistent genetic differences were found between the two different habitat types suggesting that morphological differences in the degree of shell elongation and the shape of dorso-posterior margin are caused by phenotypic plasticity. Our study provides the first good evidence for phenotypic plasticity of shell shape in a European unionoid and illustrates the need to include genetic data in order properly to interpret geographic patterns of morphological variation.</t>
  </si>
  <si>
    <t>[Zieritz, A.; Hoffman, J. I.; Amos, W.; Aldridge, D. C.] Univ Cambridge, Dept Zool, Cambridge CB2 3EJ, England</t>
  </si>
  <si>
    <t>University of Cambridge</t>
  </si>
  <si>
    <t>Zieritz, A (corresponding author), Univ Cambridge, Dept Zool, Downing St, Cambridge CB2 3EJ, England.</t>
  </si>
  <si>
    <t>alexandra.zieritz@gmx.net</t>
  </si>
  <si>
    <t>Zieritz, Alexandra/B-1539-2013; Hoffman, Joseph/K-7725-2012</t>
  </si>
  <si>
    <t>Hoffman, Joseph/0000-0001-5895-8949; Zieritz, Alexandra/0000-0002-0305-8270; Aldridge, David/0000-0001-9067-8592</t>
  </si>
  <si>
    <t>Conchological Society of Great Britain Ireland; Austrian Federal Ministry of Science and Research; British Antarctic Survey Strategic Alliance</t>
  </si>
  <si>
    <t>We wish to thank Abingdon Boat Marina, Harleyford Estate and Marina and Saxon Moorings for allowing access to the marinas. This study was funded by a research grant of the Conchological Society of Great Britain &amp; Ireland. A.Z. was supported by a grant from the Austrian Federal Ministry of Science and Research and J.H. was supported by a British Antarctic Survey Strategic Alliance Fellowship.</t>
  </si>
  <si>
    <t>10.1007/s10682-009-9350-0</t>
  </si>
  <si>
    <t>611PX</t>
  </si>
  <si>
    <t>WOS:000278833400020</t>
  </si>
  <si>
    <t>Sattley, WM; Madigan, MT</t>
  </si>
  <si>
    <t>Sattley, W. Matthew; Madigan, Michael T.</t>
  </si>
  <si>
    <t>Temperature and nutrient induced responses of Lake Fryxell sulfate-reducing prokaryotes and description of Desulfovibrio lacusfryxellense, sp nov., a pervasive, cold-active, sulfate-reducing bacterium from Lake Fryxell, Antarctica</t>
  </si>
  <si>
    <t>Sulfate-reducing bacteria; Psychrophile; Antarctica; Lake Fryxell; Desulfovibrio</t>
  </si>
  <si>
    <t>ICE-COVERED LAKE; GEN. NOV.; VESTFOLD HILLS; SEDIMENTS; DIVERSITY; FJORD; BASIN; GEOCHEMISTRY; SVALBARD; WATERS</t>
  </si>
  <si>
    <t>The effects of temperature and carbon substrate availability on the stimulation of sulfate reduction by indigenous populations of sulfate-reducing prokaryotes (SRP) in permanently ice-covered Lake Fryxell, Antarctica were investigated. Psychrophilic and halotolerant, lactate-degrading SRP showed significant metabolic activity throughout all sampled depths of the water column, suggesting that such organisms, possibly of marine origin, may be key contributors to carbon and sulfur cycling in Lake Fryxell. Planktonic and benthic strains of lactate-oxidizing sulfate-reducing bacteria (SRB) were isolated from samples of various depths of the anoxic water column and from surficial sediments. Phylogenetic analyses of 16S rRNA gene sequences placed the Fryxell sulfate-reducer (FSR) strains within the Deltaproteobacteria and showed them to be most closely related to the Arctic marine species of SRB Desulfovibrio frigidus and Desulfovibrio ferrireducens. Based on phylogenetic and phenotypic differences between the Antarctic FSR strains and related species of the genus Desulfovibrio, strain FSRs(T) (=DSM 23315(T) =ATCC BAA-2083(T)) is proposed as the type strain of a novel species of cold-active SRB, Desulfovibrio lacusfryxellense, sp. nov.</t>
  </si>
  <si>
    <t>[Sattley, W. Matthew; Madigan, Michael T.] So Illinois Univ, Dept Microbiol, Carbondale, IL 62901 USA</t>
  </si>
  <si>
    <t>Southern Illinois University System; Southern Illinois University</t>
  </si>
  <si>
    <t>Sattley, WM (corresponding author), Indiana Wesleyan Univ, Div Nat Sci, 4201 S Washington St, Marion, IN 46953 USA.</t>
  </si>
  <si>
    <t>Matthew.Sattley@indwes.edu</t>
  </si>
  <si>
    <t>Sattley, W. Matthew/0000-0001-6712-2836</t>
  </si>
  <si>
    <t>US National Science Foundation [OPP0085481, MCB0237576, OPP0739435]; Directorate For Geosciences; Office of Polar Programs (OPP) [0739435] Funding Source: National Science Foundation</t>
  </si>
  <si>
    <t>This work was supported by US National Science Foundation grants OPP0085481, MCB0237576, and OPP0739435. Raytheon Polar Services, Petroleum Helicopters, Inc., and John C. Priscu and the McMurdo LTER limnology team are acknowledged for logistical support in the Antarctic. We also thank the McMurdo LTER for some of the data used in Fig. 1b. We thank Steven Schmitt (IMAGE, SIUC) for electron microscopy and John P. Buffat for assistance in designing and constructing our high-resolution, peristaltic pump-driven, limnological sampling device. We also gratefully acknowledge Deborah O. Jung for technical assistance and help in preparing the figures and Andrew Burns for help with culturing SRB.</t>
  </si>
  <si>
    <t>SPRINGER TOKYO</t>
  </si>
  <si>
    <t>1-11-11 KUDAN-KITA, CHIYODA-KU, TOKYO, 102-0073, JAPAN</t>
  </si>
  <si>
    <t>10.1007/s00792-010-0315-6</t>
  </si>
  <si>
    <t>621OL</t>
  </si>
  <si>
    <t>WOS:000279588500003</t>
  </si>
  <si>
    <t>Pradhan, S; Srinivas, TNR; Pindi, PK; Kishore, KH; Begum, Z; Singh, PK; Singh, AK; Pratibha, MS; Yasala, AK; Reddy, GSN; Shivaji, S</t>
  </si>
  <si>
    <t>Pradhan, Suman; Srinivas, T. N. R.; Pindi, Pavan Kumar; Kishore, K. Hara; Begum, Z.; Singh, Pawan Kumar; Singh, Ashish Kumar; Pratibha, M. S.; Yasala, Arun K.; Reddy, G. S. N.; Shivaji, S.</t>
  </si>
  <si>
    <t>Bacterial biodiversity from Roopkund Glacier, Himalayan mountain ranges, India</t>
  </si>
  <si>
    <t>Soil analysis; 16S rRNA gene library</t>
  </si>
  <si>
    <t>MICROBIAL COMMUNITY; PROKARYOTIC DIVERSITY; LAKE FRYXELL; VERTICAL-DISTRIBUTION; RAPID METHOD; ICE CORE; SOIL; COLD; SEDIMENT; SAMPLE</t>
  </si>
  <si>
    <t>The bacterial diversity of two soil samples collected from the periphery of the Roopkund glacial lake and one soil sample from the surface of the Roopkund Glacier in the Himalayan ranges was determined by constructing three 16S rRNA gene clone libraries. The three clone libraries yielded a total of 798 clones belonging to 25 classes. Actinobacteria was the most predominant class (&gt; 10% of the clones) in the three libraries. In the library from the glacial soil, class Betaproteobacteria (24.2%) was the most predominant. The rarefaction analysis indicated coverage of 43.4 and 41.2% in the samples collected from the periphery of the lake thus indicating a limited bacterial diversity covered; at the same time, the coverage of 98.4% in the glacier sample indicated most of the diversity was covered. Further, the bacterial diversity in the Roopkund glacier soil was low, but was comparable with the bacterial diversity of a few other glaciers. The results of principal component analysis based on the 16S rRNA gene clone library data, percentages of OTUs and biogeochemical data revealed that the lake soil samples were different from the glacier soil sample and the biogeochemical properties affected the diversity of microbial communities in the soil samples.</t>
  </si>
  <si>
    <t>[Pradhan, Suman; Srinivas, T. N. R.; Pindi, Pavan Kumar; Kishore, K. Hara; Begum, Z.; Singh, Pawan Kumar; Singh, Ashish Kumar; Pratibha, M. S.; Yasala, Arun K.; Reddy, G. S. N.; Shivaji, S.] Ctr Cellular &amp; Mol Biol, Hyderabad 500007, Andhra Pradesh, India</t>
  </si>
  <si>
    <t>Singh, Ashish/AAK-6513-2020; TANUKU, SRINIVAS N R/F-1029-2013</t>
  </si>
  <si>
    <t>Pradhan, Suman/0000-0002-9596-8190; shivaji, sisinthy/0000-0003-0376-4658; Singh, Ashish/0000-0001-8076-0816</t>
  </si>
  <si>
    <t>Department of Biotechnology; Council of Scientific and Industrial Research, Government of India</t>
  </si>
  <si>
    <t>Department of Biotechnology; Council of Scientific and Industrial Research, Government of India(Council of Scientific &amp; Industrial Research (CSIR) - India)</t>
  </si>
  <si>
    <t>We would like to thank the Department of Biotechnology and Council of Scientific and Industrial Research, Government of India for financial support to Dr. S. Shivaji. TNRS acknowledges the CSIR, Government of India, for the award of Research Associateship. We would like to thank Dr. M. K. Reddy, Scientist and Head and Dr. M. Kalita, Scientist from National Environmental Engineering Research Institute, Zonal Laboratory, Hyderabad, and Dr. M. K. Singh, Scientist from National Centre for Antarctic Ocean Research, Goa, for providing the data of the soil chemical characteristics.</t>
  </si>
  <si>
    <t>10.1007/s00792-010-0318-3</t>
  </si>
  <si>
    <t>WOS:000279588500005</t>
  </si>
  <si>
    <t>Piquet, AMT; Bolhuis, H; Davidson, AT; Buma, AGJ</t>
  </si>
  <si>
    <t>Piquet, Anouk M. -T.; Bolhuis, Henk; Davidson, Andrew T.; Buma, Anita G. J.</t>
  </si>
  <si>
    <t>Seasonal succession and UV sensitivity of marine bacterioplankton at an Antarctic coastal site</t>
  </si>
  <si>
    <t>FEMS MICROBIOLOGY ECOLOGY</t>
  </si>
  <si>
    <t>Eastern Antarctic; polar; bacteria; 16S rRNA gene; DGGE; sequencing</t>
  </si>
  <si>
    <t>GENETIC DIVERSITY; PHYLOGENETIC COMPOSITION; BACTERIAL COMMUNITIES; RADIATION; GRADIENT; ASSEMBLAGES; PHYTOPLANKTON; RESPONSES; SELECTION; DYNAMICS</t>
  </si>
  <si>
    <t>Despite extensive microbial biodiversity studies around the globe, studies focusing on diversity and community composition of Bacteria in Antarctic coastal regions are still scarce. Here, we studied the diversity and development of bacterioplankton communities from Prydz Bay (Eastern Antarctic) during spring and early summer 2002-2003. Additionally, we investigated the possible shaping effects of solar UV radiation (UV-R: 280-400 nm) on bacterioplankton communities incubated for 13-14 days in 650-L minicosm tanks. Ribosomal DNA sequence analysis of the natural bacterioplankton communities revealed an initial springtime community composed of three evenly abundant bacterial classes: Cytophaga-Flavobacteria- Bacteroidetes (CFB), Gammaproteobacteria and Alphaproteobacteria. At the end of spring, a shift occurred toward a CFB-dominated community, most likely a response to the onset of a springtime phytoplankton bloom. The tail end of Prydz Bay clone library diversity revealed sequences related to Deltaproteobacteria, Verrucomicrobiales, Planctomycetes, Gemmatimonadetes and an unclassified bacterium (ANT4E12). Minicosm experiments showed that incubation time was the principal determinant of bacterial community composition and that UV-R treatment significantly changed the composition in only two of the four experiments. Thus, the successional maturity of the microbial community in our minicosm studies appears to be a greater determinant of bacterial community composition rather than the nonprofound and subtle effects of UV-R.</t>
  </si>
  <si>
    <t>[Piquet, Anouk M. -T.; Buma, Anita G. J.] Univ Groningen, Dept Ocean Ecosyst, Ctr Ecol &amp; Evolutionary Studies, Haren, Netherlands; [Bolhuis, Henk] NIOO CEME, Dept Marine Microbiol, Ctr Estuarine &amp; Marine Ecol, Netherlands Inst Ecol, Yerseke, Netherlands; [Davidson, Andrew T.] Australian Antarctic Div, Antarctic Climate &amp; Ecosyst Cooperat Res Ctr, Kingston, Tas, Australia</t>
  </si>
  <si>
    <t>University of Groningen; Royal Netherlands Academy of Arts &amp; Sciences; Netherlands Institute of Ecology (NIOO-KNAW); Australian Antarctic Division; Antarctic Climate &amp; Ecosystems Cooperative Research Centre (ACE CRC)</t>
  </si>
  <si>
    <t>Piquet, AMT (corresponding author), Ctr Biol, Dept Ocean Ecosyst, POB 14, NL-9750 AA Haren, Netherlands.</t>
  </si>
  <si>
    <t>a.m.t.piquet@rug.nl</t>
  </si>
  <si>
    <t>Bolhuis, Henk/A-4308-2008; Bolhuis, Henk/S-2986-2019; Bolhuis, Henk/M-6677-2019; Buma, Anita GJ/E-8372-2015</t>
  </si>
  <si>
    <t>Bolhuis, Henk/0000-0002-4772-1898;</t>
  </si>
  <si>
    <t>Australian Antarctic Division and Netherlands Organization for Scientific Research (NWO)</t>
  </si>
  <si>
    <t>Australian Antarctic Division and Netherlands Organization for Scientific Research (NWO)(Netherlands Organization for Scientific Research (NWO))</t>
  </si>
  <si>
    <t>We thank the Davis Station personnel for the excellent logistic support during the field campaign. We are very grateful for the sample filtering support provided by Marjolein van Polanen-Petel Tamara van Polanen-Petel and Paul Janknegt. We also acknowledge the sequencing work conducted by Ing. J.K. Brons. This research was financed by the Australian Antarctic Division and Netherlands Organization for Scientific Research (NWO travel grant).</t>
  </si>
  <si>
    <t>0168-6496</t>
  </si>
  <si>
    <t>1574-6941</t>
  </si>
  <si>
    <t>FEMS MICROBIOL ECOL</t>
  </si>
  <si>
    <t>FEMS Microbiol. Ecol.</t>
  </si>
  <si>
    <t>10.1111/j.1574-6941.2010.00882.x</t>
  </si>
  <si>
    <t>606BD</t>
  </si>
  <si>
    <t>WOS:000278394500006</t>
  </si>
  <si>
    <t>Rosa, LH; Vieira, MDA; Santiago, IF; Rosa, CA</t>
  </si>
  <si>
    <t>Rosa, Luiz Henrique; Almeida Vieira, Mariana de Lourdes; Santiago, Iara Furtado; Rosa, Carlos Augusto</t>
  </si>
  <si>
    <t>Endophytic fungi community associated with the dicotyledonous plant Colobanthus quitensis (Kunth) Bartl. (Caryophyllaceae) in Antarctica</t>
  </si>
  <si>
    <t>Antarctica; diversity; endophytes; extreme environment</t>
  </si>
  <si>
    <t>DIVERSITY; BOREAL; DESV.; SOILS; WOOD</t>
  </si>
  <si>
    <t>This work describes the distribution and diversity of fungal endophytes associated with leaves of Colobanthus quitensis, a dicotyledonous plant that lives in Antarctica. A total of 188 fungal isolates were obtained from six different sites located across a 25.5-km transect through Admiralty Bay, at King George Island. The ITS1-5.8S-ITS2 nuclear ribosomal gene was sequenced and the endophytic fungi were identified as species belonging to the genera Aspergillus, Cadophora, Davidiella, Entrophospora, Fusarium, Geomyces, Gyoerffyella, Microdochium, Mycocentrospora, and Phaeosphaeria. Davidiella tassiana was the prevalent species with 20.2% abundance. The endophytic fungal community showed low richness and high dominance indexes. Eleven endophytic taxa (58%) were fungi able to produce melanin in their hyphae, which may confer resistance against freezing temperatures and high rates of UV radiation and may increase their fitness in the extreme conditions of the Antarctic environment. In addition, phytopathogenic and decomposer species associated with healthy leaves of C. quitensis were found. The results obtained in this work show that C. quitensis is an interesting reservoir of saprobic and pathogenic fungal species, and could be a community model for further ecological and evolutionary studies, as well as studies of the adaptation mechanisms these microorganisms have to the extreme conditions in Antarctica.</t>
  </si>
  <si>
    <t>[Rosa, Luiz Henrique; Santiago, Iara Furtado] Univ Fed Ouro Preto, Inst Ciencias Exatas &amp; Biol, Microbiol Lab, BR-35450000 Ouro Preto, MG, Brazil; [Almeida Vieira, Mariana de Lourdes; Rosa, Carlos Augusto] Univ Fed Minas Gerais, Inst Ciencias Biol, Dept Microbiol, Belo Horizonte, MG, Brazil</t>
  </si>
  <si>
    <t>Universidade Federal de Ouro Preto; Universidade Federal de Minas Gerais</t>
  </si>
  <si>
    <t>Rosa, LH (corresponding author), Univ Fed Ouro Preto, Inst Ciencias Exatas &amp; Biol, Microbiol Lab, Rua Diogo Vasconcelos 122,Campus Cruzeiro, BR-35450000 Ouro Preto, MG, Brazil.</t>
  </si>
  <si>
    <t>lhrosa@ufop.br</t>
  </si>
  <si>
    <t>Brazilian Antarctic Programme (PROANTAR); Marine of Brazil; Fundacao of Amparo the Pesquisa of the Minas Gerais (FAPEMIG); Conselho Nacional of Desenvolvimento Cientifico and Tecnologico (CNPq) [472892/2008-8]</t>
  </si>
  <si>
    <t>Brazilian Antarctic Programme (PROANTAR); Marine of Brazil; Fundacao of Amparo the Pesquisa of the Minas Gerais (FAPEMIG)(Fundacao de Amparo a Pesquisa do Estado de Minas Gerais (FAPEMIG)); Conselho Nacional of Desenvolvimento Cientifico and Tecnologico (CNPq)(Conselho Nacional de Desenvolvimento Cientifico e Tecnologico (CNPQ))</t>
  </si>
  <si>
    <t>This study was made possible with financial and logistic support from the Brazilian Antarctic Programme (PROANTAR) and Marine of Brazil. We would like to thank Hudson E. Baeta for helping with the analysis of ecological data. This work is part of the API activity 403 'MIDIAPI Microbial Diversity of Terrestrial and Maritime ecosystems in Antarctic Peninsula' under the overall coordination of Dr Vivian H. Pellizari, and contributes to the umbrella IPY activities MERGE (Microbiological and Ecological Responses to Global Environmental Changes in Polar Regions), CAML (Census of Antarctic Marine Life) and SCARMarBIN (SCAR-Marine Biodiversity Information Network). This work was financially supported by the Fundacao of Amparo the Pesquisa of the Minas Gerais (FAPEMIG) and Conselho Nacional of Desenvolvimento Cientifico and Tecnologico (CNPq process 472892/2008-8).</t>
  </si>
  <si>
    <t>10.1111/j.1574-6941.2010.00872.x</t>
  </si>
  <si>
    <t>WOS:000278394500015</t>
  </si>
  <si>
    <t>Riley, TR; Flowerdew, MJ; Hunter, MA; Whitehouse, MJ</t>
  </si>
  <si>
    <t>Riley, Teal R.; Flowerdew, Michael J.; Hunter, Morag A.; Whitehouse, Martin J.</t>
  </si>
  <si>
    <t>Middle Jurassic rhyolite volcanism of eastern Graham Land, Antarctic Peninsula: age correlations and stratigraphic relationships</t>
  </si>
  <si>
    <t>GEOLOGICAL MAGAZINE</t>
  </si>
  <si>
    <t>rhyolite; Gondwana; subduction; Antarctica; sedimentary</t>
  </si>
  <si>
    <t>PROTO-PACIFIC MARGIN; GONDWANA BREAK-UP; TRINITY PENINSULA; SILICIC VOLCANISM; JASON PENINSULA; ELLSWORTH LAND; LATADY BASIN; PATAGONIA; MAGMATISM; EVOLUTION</t>
  </si>
  <si>
    <t>Silicic volcanism at c. 168 Ma has been identified previously on the Antarctic Peninsula, and the Mapple Formation, which includes those volcanic rocks, has been defined and documented from one area of the east coast of Graham Land. Based on age and geochemical criteria, correlations have been made to the extensive Chon Aike Province of South America, which has been demonstrated to be one of the largest silicic volcanic provinces in the world. Rhyolitic and intermediate composition volcanic successions from six separate localities on the east coast of the Antarctic Peninsula are described here and are confirmed as correlatives of the Mapple Formation, based on newly acquired geochronology and field observations. They are dominantly rhyolitic crystal tuffs and/or ignimbrites with ages in the interval 162-168 Ma, overlapping with the age of the Mapple Formation (167-171 Ma) at the type locality. Andesitic agglomerates are also described, which are included in the same event and demonstrate the occurrence of rare intermediate volcanism, which is also seen in the Chon Aike Province. A new group, the Graham Land Volcanic Group, is defined here, and criteria are established which allow the separation of some volcanic successions out of the previously defined Antarctic Peninsula Volcanic Group, which takes no account of tectonic setting, eruption age or geochemistry.</t>
  </si>
  <si>
    <t>[Riley, Teal R.; Flowerdew, Michael J.; Hunter, Morag A.] British Antarctic Survey, Nat Envsironment Res Council, Cambridge CB3 0ET, England; [Whitehouse, Martin J.] Swedish Museum Nat Hist, S-10405 Stockholm, Sweden</t>
  </si>
  <si>
    <t>UK Research &amp; Innovation (UKRI); Natural Environment Research Council (NERC); NERC British Antarctic Survey; Swedish Museum of Natural History</t>
  </si>
  <si>
    <t>Riley, TR (corresponding author), British Antarctic Survey, Nat Envsironment Res Council, Madingley Rd, Cambridge CB3 0ET, England.</t>
  </si>
  <si>
    <t>t.riley@bas.ac.uk</t>
  </si>
  <si>
    <t>Whitehouse, Martin/E-1425-2013</t>
  </si>
  <si>
    <t>Whitehouse, Martin/0000-0003-2227-577X; Riley, Teal/0000-0002-3333-5021; Flowerdew, Michael/0000-0002-9710-2593</t>
  </si>
  <si>
    <t>Natural Environment Research Council [bas0100026] Funding Source: researchfish; NERC [bas0100026] Funding Source: UKRI</t>
  </si>
  <si>
    <t>0016-7568</t>
  </si>
  <si>
    <t>1469-5081</t>
  </si>
  <si>
    <t>GEOL MAG</t>
  </si>
  <si>
    <t>Geol. Mag.</t>
  </si>
  <si>
    <t>10.1017/S0016756809990720</t>
  </si>
  <si>
    <t>615RB</t>
  </si>
  <si>
    <t>WOS:000279152400007</t>
  </si>
  <si>
    <t>Goodge, JW; Fanning, CM</t>
  </si>
  <si>
    <t>Goodge, John W.; Fanning, C. Mark</t>
  </si>
  <si>
    <t>Composition and age of the East Antarctic Shield in eastern Wilkes Land determined by proxy from Oligocene-Pleistocene glaciomarine sediment and Beacon Supergroup sandstones, Antarctica</t>
  </si>
  <si>
    <t>GEOLOGICAL SOCIETY OF AMERICA BULLETIN</t>
  </si>
  <si>
    <t>TERRE ADELIE CRATON; SOUTHERN VICTORIA LAND; DETRITAL-ZIRCON AGES; GEORGE-V LAND; U-PB ZIRCON; GAWLER CRATON; TRANSANTARCTIC MOUNTAINS; PALEOPROTEROZOIC TECTONICS; PACIFIC MARGIN; ROSS OROGEN</t>
  </si>
  <si>
    <t>The Precambrian East Antarctic Shield played a central role in the tectonic evolution of Rodinia and Gondwana, as well as growth of the East Antarctic Ice Sheet, yet little is known about its ice-covered interior. Glaciogenic deposits of Oligocene-Miocene and Pleistocene age on the Wilkes Land margin include glaciomarine diamictons containing basement rock clasts and fine-grained siliciclastic detritus, which provide proxy samples of the continental basement. Rock clasts obtained by dredge (81% metamorphic, 14% igneous, and 5% sedimentary lithologies) provide petrographic, geochemical, and age information about the glacial source area. Igneous clasts with Ross orogen U-Pb zircon ages (ca. 500 Ma) include a notably old ca. 585 Ma granitoid; they and Ross-age metamorphic rocks give discrete inherited-zircon age populations of 670-780, 900-1300, 1740-2300, and &gt;2700 Ma that reflect basement sources. Paleoproterozoic rock clasts (granitoid, charnockite gneiss, and granulite gneiss) range from ca. 1720 to 1740 Ma. Detrital zircon populations from glaciomarine sediments vary with depositional age but show common terrigenous provenance ages of 460-660, 1045-1315, 1545-1815, and 2420-2605 Ma, which overlap those from inherited zircons in the Ross granitoids. Detrital zircon ages from onshore Permian and Triassic terrestrial sedimentary rocks reveal a different provenance and indicate that the glaciogenic deposits do not contain significant second-cycle material from older interior basins. Together, these data suggest that metamorphic rock units with distinctive Neoproterozoic, Paleoproterozoic, and Archean ages dominate East Antarctic Shield basement inland from the eastern Wilkes Land margin, and that Ross-age granitoids either intruded or were derived by partial melting of this composite metamorphic basement.</t>
  </si>
  <si>
    <t>[Goodge, John W.] Univ Minnesota, Dept Geol Sci, Duluth, MN 55812 USA; [Fanning, C. Mark] Australian Natl Univ, Res Sch Earth Sci, Canberra, ACT 0200, Australia</t>
  </si>
  <si>
    <t>University of Minnesota System; University of Minnesota Duluth; Australian National University</t>
  </si>
  <si>
    <t>jgoodge@d.umn.edu; Mark.Fanning@anu.edu.au</t>
  </si>
  <si>
    <t>Goodge, John/0000-0003-2578-3147; Fanning, Christopher Mark/0000-0003-3331-3145</t>
  </si>
  <si>
    <t>U.S. National Science Foundation [0337858]; Directorate For Geosciences [0337858] Funding Source: National Science Foundation; Division Of Polar Programs [0337858] Funding Source: National Science Foundation</t>
  </si>
  <si>
    <t>U.S. National Science Foundation(National Science Foundation (NSF)); Directorate For Geosciences(National Science Foundation (NSF)NSF - Directorate for Geosciences (GEO)); Division Of Polar Programs(National Science Foundation (NSF)NSF - Directorate for Geosciences (GEO))</t>
  </si>
  <si>
    <t>Discussions with John Anderson, Eugene Domack, and Amy Leventer provided significant early inspiration for this project and generous time guiding sample selection. We thank the following individuals and institutions for help in obtaining sample material for this study: (1) Eugene Domack (Hamilton College) and Amy Leventer (Colgate University), co-investigators of the CHAOS cruise of the R/V Nathaniel B. Palmer NBP01-01; (2) Matt Curran (Florida State University and Antarctic Research Facility); (3) Gar Esmay (Lamont-Doherty Earth Observatory and Ocean Drilling Program core repository); and (4) Anne Grunow (Ohio State University and U. S. Polar Rock Repository). We also thank Jim Collinson for guidance in selecting samples of Beacon Supergroup. This work was supported by an award from the U.S. National Science Foundation (0337858). Clast petrography and geochemical analysis preparations were completed by Diane Curelli and Katie Brosch (both of the University of Minnesota-Duluth); geochemical analysis was completed by Jeff Thole (Macalester College). We thank journal reviewers Eugene Domack and Ian Millar for their helpful comments, and appreciate the many good editorial suggestions by Rob Rainbird.</t>
  </si>
  <si>
    <t>0016-7606</t>
  </si>
  <si>
    <t>1943-2674</t>
  </si>
  <si>
    <t>GEOL SOC AM BULL</t>
  </si>
  <si>
    <t>Geol. Soc. Am. Bull.</t>
  </si>
  <si>
    <t>7-8</t>
  </si>
  <si>
    <t>10.1130/B30079.1</t>
  </si>
  <si>
    <t>605MI</t>
  </si>
  <si>
    <t>WOS:000278351300013</t>
  </si>
  <si>
    <t>Yoon, HI; Yoo, KC; Bak, YS; Lim, HS; Kim, Y; Lee, JI</t>
  </si>
  <si>
    <t>Yoon, Ho Il; Yoo, Kyu-Cheul; Bak, Young-Suk; Lim, Hyoun Soo; Kim, Yeadong; Lee, Jae Il</t>
  </si>
  <si>
    <t>Late Holocene cyclic glaciomarine sedimentation in a subpolar fjord of the South Shetland Islands, Antarctica, and its paleoceanographic significance: Sedimentological, geochemical, and paleontological evidence</t>
  </si>
  <si>
    <t>KING-GEORGE-ISLAND; SEA-ICE; WEST ANTARCTICA; MARIAN-COVE; MAXWELL-BAY; ROSS SEA; PENINSULA; OCEAN; RETREAT; EXTENT</t>
  </si>
  <si>
    <t>The glaciomarine sedimentary record of the fjord head (Collins Harbor) in Maxwell Bay, South Shetland Islands (West Antarctica), a large marine calving embayment, contains repeating couplets of organic-rich massive diamicton and organic-poor stratified diamicton. The massive diamicton is characterized by high total organic carbon (TOC) content and carbon to nitrogen (C/N) ratios and was deposited in a cold climate regime by iceberg-rafted sedimentation from coastal fast ice in which algal plants, as well as gravels, were entrained. The stratified diamicton is characterized by low TOC content and C/N ratios and was formed in a warmer climate regime when the flux of icebergs was suppressed, but turbid meltwater discharge continued to produce lamination. When the meltwater discharge decreased in cold climatic conditions, and resultant phytoplankton productivity was reduced due to the increased sea-ice coverage, ice rafting from shorefast sea ice might have played a major role in entraining benthic algae, as well as loads of sand and gravel, along the coastal area, resulting in an increased C/N ratio and gravel content in the massive diamicton. Accelerator mass spectrometry (AMS) radiocarbon analyses conducted on well-preserved calcite shells were used to construct a chronology for the past 3000 years. Fluctuations in TOC are recorded (approximately four cycles over this time period), with the average duration of a cooling cycle being similar to 500 years. These cycles may be correlative with the high-frequency (550 yr) variability in reduced Circumpolar Deep Water (CDW) on the West Antarctic Peninsula shelf, because a decrease in CDW may be related to reduced deep water production in the North Atlantic during colder periods, as demonstrated for glacial intervals throughout the Pleistocene.</t>
  </si>
  <si>
    <t>[Yoon, Ho Il; Yoo, Kyu-Cheul; Lim, Hyoun Soo; Kim, Yeadong; Lee, Jae Il] Korea Ocean Res &amp; Dev Inst, Korea Polar Res Inst, Inchon 406840, South Korea; [Bak, Young-Suk] Kyungpook Natl Univ, Dept Geol, Taegu 702701, South Korea</t>
  </si>
  <si>
    <t>Korea Polar Research Institute (KOPRI); Korea Institute of Ocean Science &amp; Technology (KIOST); Kyungpook National University</t>
  </si>
  <si>
    <t>Yoon, HI (corresponding author), Korea Ocean Res &amp; Dev Inst, Korea Polar Res Inst, Songdo Techno Pk, Inchon 406840, South Korea.</t>
  </si>
  <si>
    <t>hiyoon@kopri.re.kr</t>
  </si>
  <si>
    <t>Lim, Hyoun Soo/AAC-5499-2022</t>
  </si>
  <si>
    <t>Lim, Hyoun Soo/0000-0002-2489-4470; Yoo, Kyu-Cheul/0000-0002-6186-7535</t>
  </si>
  <si>
    <t>Korea Polar Research Institute (KOPRI) [PE09010]</t>
  </si>
  <si>
    <t>Korea Polar Research Institute (KOPRI)</t>
  </si>
  <si>
    <t>We would like to thank C.Y. Kang, I. K. Um, and S. Y. Im for their sincere efforts during the 2002-2003 Korea Antarctic Research Program (KARP) cruise to the South Shetland Islands. We also are grateful to the crew of R/V Yuzhmorgeologya for all their help during the gravity coring on board. This research was mostly funded as Korea Polar Research Institute (KOPRI) grant PE09010.</t>
  </si>
  <si>
    <t>10.1130/B30178.1</t>
  </si>
  <si>
    <t>WOS:000278351300023</t>
  </si>
  <si>
    <t>Frank, TD; Gui, Z; Harwood, D; Florindo, F; Levy, R; Acton, G; Atkins, C; Bassett, K; Berg, M; Bibby, T; Blair, S; Blank, L; Browne, G; Del Carlo, P; Dooley, J; Drew, S; Dunbar, G; Field, B; Fielding, C; Frisch-Gleason, R; Grelle, T; Handwerger, D; Hannah, M; Hoffmann, S; Hubbard, J; Huffman, L; Ishman, S; Johnson, K; Jovane, L; Konfirst, M; Krissek, L; Kuhn, G; Lacy, L; Lehmann, R; Magens, D; Mankoff, K; Millan, C; Nielsen, S; Olney, M; Panter, K; Passchier, S; Patterson, T; Paulsen, T; Pekar, S; Persico, D; Petrushak, S; Pierdominici, S; Pound, K; Reed, J; Reichelt, L; Riesselman, C; Sandroni, S; Schmitt, D; di Clemente, GS; Speece, M; Strada, E; Szymcek, P; Talarico, F; Taviani, M; Tuzzi, E; Williams, R; Wonik, T</t>
  </si>
  <si>
    <t>Frank, Tracy D.; Gui, Zi; Harwood, David; Florindo, Fabio; Levy, Richard; Acton, Gary; Atkins, Clifford; Bassett, Kari; Berg, Megan; Bibby, Theodore (Ted); Blair, Stacie; Blank, Leslie; Browne, Gregory; Del Carlo, Paola; Dooley, Julia; Drew, Scott; Dunbar, Gavin; Field, Bradley; Fielding, Christopher; Frisch-Gleason, Robin; Grelle, Thomas; Handwerger, David; Hannah, Michael; Hoffmann, Stefan; Hubbard, Joanna; Huffman, Louise; Ishman, Scott; Johnson, Katherine; Jovane, Luigi; Konfirst, Matthew; Krissek, Lawrence; Kuhn, Gerhard; Lacy, Laura; Lehmann, Rainer; Magens, Diana; Mankoff, Kenneth; Millan, Cristina; Nielsen, Simon; Olney, Matthew; Panter, Kurt; Passchier, Sandra; Patterson, Taylor; Paulsen, Timothy; Pekar, Stephen; Persico, Davide; Petrushak, Steven; Pierdominici, Simona; Pound, Katherine; Reed, Joshua; Reichelt, Lucia; Riesselman, Christina; Sandroni, Sonia; Schmitt, Douglas; di Clemente, Graziano Scotto; Speece, Marvin; Strada, Eleonora; Szymcek, Phillip; Talarico, Franco; Taviani, Marco; Tuzzi, Eva; Williams, Robert; Wonik, Thomas</t>
  </si>
  <si>
    <t>ANDRILL SMS Sci Team</t>
  </si>
  <si>
    <t>Cryogenic origin for brine in the subsurface of southern McMurdo Sound, Antarctica</t>
  </si>
  <si>
    <t>CANADIAN SHIELD; SALINE GROUNDWATERS; SEAWATER; EVAPORATION; ISOTOPE</t>
  </si>
  <si>
    <t>Sampling of interstitial fluids during deep coring in southern McMurdo Sound, Antarctica, revealed the presence of seawater-sourced, hypersaline brine at depths &gt;200 m below the seafloor. Na-Cl-Br and SO4-Cl-Br relationships are consistent with a concentration mechanism that involves the removal of pure H2O as ice and precipitation of mirabilite (Na2SO4 center dot 10H(2)O) during progressive freezing of seawater. The brine is in Neogene subglacial, glacimarine, and marine facies that record advance and retreat of glaciers through the Ross Sea embayment. In this environment, sea ice formation in semi-isolated marine basins that occupied flexural troughs along ice sheet margins produced dense brines that sank and infiltrated the permeable subglacial sediment. Repeated cycles of glacial advance and retreat provided multiple opportunities for batches of seawater to be transformed into brine that now is in the subsurface of southern McMurdo Sound. Results demonstrate the feasibility of brine formation via seawater freezing and attest to the potential of a cryogenic origin for subsurface brines in high-latitude regions of the Northern Hemisphere, as proposed by some workers.</t>
  </si>
  <si>
    <t>[Frank, Tracy D.; Gui, Zi; Tuzzi, Eva] Univ Nebraska, Dept Geosci, Lincoln, NE 68588 USA; Univ Nebraska, Antarctic Drilling Project, So McMurdo Sound Project, ANDRILL Sci Management Off, Lincoln, NE 68588 USA; [Harwood, David; Huffman, Louise; Lacy, Laura; Reed, Joshua] Univ Nebraska, ANDRILL Sci Management Off, Lincoln, NE 68588 USA; [Florindo, Fabio] Ist Nazl Geofis, I-00143 Rome, Italy; [Levy, Richard; Browne, Gregory; Field, Bradley] GNS Sci Te Pu Ao, Lower Hutt 5040, New Zealand; [Acton, Gary] Univ Calif Davis, Dept Geol, Davis, CA 95616 USA; [Atkins, Clifford] Victoria Univ Wellington, Sch Geog Environm &amp; Earth Sci, Wellington 6005, New Zealand; [Bassett, Kari] Univ Canterbury, Dept Geol Sci, Christchurch, New Zealand; [Bibby, Theodore (Ted); Blair, Stacie; Petrushak, Steven] Florida State Univ, Dept Geol Sci, Tallahassee, FL 32306 USA; [Blank, Leslie] Raytheon Polar Serv, Centennial, CO USA; [Del Carlo, Paola] Ist Nazl Geofis &amp; Vulcanol, Sezione Pisa, I-56126 Pisa, Italy; [Drew, Scott; Krissek, Lawrence; Millan, Cristina] Ohio State Univ, Sch Earth Sci, Columbus, OH 43210 USA; [Dunbar, Gavin] Victoria Univ Wellington, Antarctic Res Ctr, Wellington 6005, New Zealand; Univ Nebraska Lincoln, Dept Geosci, Lincoln, NE 68588 USA; [Grelle, Thomas; Wonik, Thomas] LIAG, Hannover, Germany; [Hannah, Michael] Victoria Univ Wellington, Sch Earth Sci, Wellington 4007, New Zealand; [Hoffmann, Stefan] Univ Gottingen, Dept Sedimentol &amp; Environm Geol, D-37077 Gottingen, Germany; [Ishman, Scott] SO Illinois Univ Carbondale, Dept Geol, Carbondale, IL 62901 USA; [Fielding, Christopher; Johnson, Katherine] Geomarine Res, Auckland 1072, New Zealand; [Jovane, Luigi] Univ Calif Davis, Paleomagnet Lab, Dept Geol, Davis, CA 95616 USA; [Konfirst, Matthew] No Illinois Univ, Dept Geol &amp; Environm Geosci, De Kalb, IL 60115 USA; [Kuhn, Gerhard; Magens, Diana] Alfred Wegener Inst, Dept Marine Geophys, D-27515 Bremerhaven, Germany; [Mankoff, Kenneth] NASA GISS, New York, NY 10025 USA; [Nielsen, Simon] Japan Agcy Marine Earth Sci &amp; Technol, Ctr Deep Earth Explorat, Yokohama, Kanagawa 2360001, Japan; [Olney, Matthew] Univ S Florida, Dept Geol, Tampa, FL 33620 USA; [Panter, Kurt] Bowling Green State Univ, Earth &amp; Environm Stud, Bowling Green, OH 43403 USA; [Passchier, Sandra] Montclair State Univ, Earth &amp; Environm Stud, Montclair, NJ 07043 USA; [Patterson, Taylor; Speece, Marvin] Montana Tech Univ Montana, Dept Geophys Engn, Butte, MT 59701 USA; [Paulsen, Timothy] Univ Wisconsin Oshkosh, Dept Geol, Oshkosh, WI 54901 USA; [Pekar, Stephen] Queens Coll, Sch Earth &amp; Environm Sci, Flushing, NY 11367 USA; [Persico, Davide] Univ Parma, Dipartimento Sci Terra, I-43100 Parma, Italy; [Pierdominici, Simona] Ist Nazl Geofis &amp; Vulcanol, I-00143 Rome, Italy; [Pound, Katherine] St Cloud State Univ, Dept Earth &amp; Atmospher Sci, St Cloud, MN 56301 USA; [Reichelt, Lucia] Alfred Wegener Inst, D-27568 Bremerhaven, Germany; [Riesselman, Christina] Stanford Univ, Geol &amp; Environm Sci, Stanford, CA 94305 USA; [Sandroni, Sonia] Sez Sci Terra Siena, Museo Nazl Antartide, I-53100 Siena, Italy; [Schmitt, Douglas] Univ Alberta, Inst Geophys Res, Dept Phys, Edmonton, AB T6G 2G7, Canada; [di Clemente, Graziano Scotto] Secondary Sch Luigi Stefanini, I-31100 Treviso, Italy; [Strada, Eleonora; Talarico, Franco] Univ Siena, Dipartimento Sci Terra, I-53100 Siena, Italy; [Taviani, Marco] CNR, ISMAR Bologna, I-40129 Bologna, Italy</t>
  </si>
  <si>
    <t>University of Nebraska System; University of Nebraska Lincoln; University of Nebraska System; University of Nebraska Lincoln; University of Nebraska System; University of Nebraska Lincoln; Istituto Nazionale Geofisica e Vulcanologia (INGV); University of California System; University of California Davis; Victoria University Wellington; University of Canterbury; State University System of Florida; Florida State University; Istituto Nazionale Geofisica e Vulcanologia (INGV); University System of Ohio; Ohio State University; Victoria University Wellington; University of Nebraska System; University of Nebraska Lincoln; Leibniz Institut fur Angewandte Geophysik (LIAG); Victoria University Wellington; University of Gottingen; Southern Illinois University System; Southern Illinois University; University of California System; University of California Davis; Northern Illinois University; Helmholtz Association; Alfred Wegener Institute, Helmholtz Centre for Polar &amp; Marine Research; National Aeronautics &amp; Space Administration (NASA); NASA Goddard Space Flight Center; Goddard Institute for Space Studies; Japan Agency for Marine-Earth Science &amp; Technology (JAMSTEC); State University System of Florida; University of South Florida; University System of Ohio; Bowling Green State University; Montclair State University; University of Montana System; University of Montana; University of Wisconsin System; University of Wisconsin Oshkosh; City University of New York (CUNY) System; Queens College NY (CUNY); University of Parma; Istituto Nazionale Geofisica e Vulcanologia (INGV); Minnesota State Colleges &amp; Universities; Saint Cloud State University; Helmholtz Association; Alfred Wegener Institute, Helmholtz Centre for Polar &amp; Marine Research; Stanford University; University of Alberta; University of Siena; Consiglio Nazionale delle Ricerche (CNR); Istituto di Scienze Marine (ISMAR-CNR)</t>
  </si>
  <si>
    <t>Frank, TD (corresponding author), Univ Nebraska, Dept Geosci, 214 Bessey Hall, Lincoln, NE 68588 USA.</t>
  </si>
  <si>
    <t>tfrank2@unl.edu; guizister@gmail.com; dharwood1@unl.edu; florindo@ingv.it; r.levy@gns.cri.nz; gdacton@ucdavis.edu; cliff.atkins@vuw.ac.nz; kari.bassett@canterbury.ac.nz; meganberg@mac.com; tcb03c@fsu.edu; blair@quartz.gly.fsu.edu; G.Browne@gns.cri.nz; delcarlo@pi.ingv.it; dooleyj@christina.k12.de.us; drew.37@osu.edu; gavin.dunbar@vuw.ac.nz; brad.field@gns.cri.nz; cfielding2@unl.edu; gleason@aaps.k12.mi.us; t.grelle@liag-hannover.de; dave@xmission.com; Michael.hannah@vuw.ac.nz; s.hoffmann@geo.uni-goettingen.de; hubbard_joanna@asdk12.org; lhuffman@andrill.org; sishman@siu.edu; k.johnson@geomarine.org.nz; jovane@geology.ucdavis.edu; mk@mattkonfirst.com; krissek@mps.ohio-state.edu; gerhard.kuhn@awi.de; llacy2@unl.edu; rainer.lehmann@gmx.net; Diana.Magens@awi.de; mankoff@giss.nasa.gov; millan.2@osu.edu; simon.n@jamstec.go.jp; cyclingolney@yahoo.co.uk; kpanter@bgsu.edu; passchiers@mail.montclair.edu; paulsen@uwosh.edu; stephen.pekar@qc.cuny.edu; davide.persico@unipr.it; gneissguy2000@yahoo.com; pierdominici@ingv.it; kspound@stcloudstate.edu; jareed@andrill.org; lreichelt@gmx.de; criessel@stanford.edu; sandroni@unisi.it; doug@phys.ualberta.ca; grscott@tin.it; mspeece@mtech.edu; strada2@unisi.it; pszymcek@gmail.com; talarico@unisi.it; marco.taviani@bo.ismar.cnr.it; evatuzzi@libero.it; bbermk@xtra.co.nz; Thomas.wonik@liag-hannover.de</t>
  </si>
  <si>
    <t>Taviani, Marco/AAF-2168-2020; Hannah, Michael J/H-1083-2015; Passchier, Sandra/GYU-2381-2022; Jovane, Luigi/E-7536-2012; Pierdominici, Simona/F-9120-2011; Schmitt, Douglas R/A-4091-2010; Passchier, Sandra/AAQ-2243-2021; Florindo, Fabio/F-4119-2010; Sandroni, Sonia/C-7188-2008; Del Carlo, Paola/AAH-1725-2019; Florindo, Fabio/AAU-2548-2021; Passchier, Sandra/B-1993-2008; Jovane, Luigi/AAH-5438-2020; Florindo, Fabio/M-1459-2019</t>
  </si>
  <si>
    <t>Taviani, Marco/0000-0003-0414-4274; Pierdominici, Simona/0000-0002-5368-4536; Schmitt, Douglas R/0000-0001-6920-0658; Passchier, Sandra/0000-0001-7204-7025; Florindo, Fabio/0000-0002-6058-9748; Sandroni, Sonia/0000-0002-7941-7145; Passchier, Sandra/0000-0001-7204-7025; Jovane, Luigi/0000-0003-4348-4714; Florindo, Fabio/0000-0002-6058-9748; Frank, Tracy/0000-0002-8422-7389</t>
  </si>
  <si>
    <t>National Science Foundation</t>
  </si>
  <si>
    <t>ANDRILL (Antarctic Drilling Project) is a collaboration between the Antarctic programs of the United States, New Zealand, Italy, and Germany. This study was supported by a National Science Foundation subaward to Frank and benefited from the M. S. thesis work of Gui. We are grateful to the ANDRILL Southern McMurdo Sound Project team for supporting sample collection at the drill site and Kathy Welch of the Long Term Ecological Research Network for analytical assistance at McMurdo Station. This manuscript benefited from reviews by A. Starinsky and A. Katz.</t>
  </si>
  <si>
    <t>10.1130/G30849.1</t>
  </si>
  <si>
    <t>614WE</t>
  </si>
  <si>
    <t>WOS:000279089700003</t>
  </si>
  <si>
    <t>Hall, BL; Koffman, T; Denton, GH</t>
  </si>
  <si>
    <t>Hall, B. L.; Koffman, T.; Denton, G. H.</t>
  </si>
  <si>
    <t>Reduced ice extent on the western Antarctic Peninsula at 700-970 cal. yr BP</t>
  </si>
  <si>
    <t>RADIOCARBON AGE CALIBRATION; SOUTH-SHETLAND-ISLANDS; MEDIEVAL WARM PERIOD; LATE-HOLOCENE; NEW-ZEALAND; BIPOLAR SEESAW; SHELF; GLACIER; CLIMATE; HISTORY</t>
  </si>
  <si>
    <t>Rapid warming and consequent ice-shelf collapse have focused attention on the glacial record of the Antarctic Peninsula. Here, we present the first record of terrestrial organic material exposed by recently retreating ice that bears on past glacier extent and climate in this sensitive region. Radiocarbon dates show that ice on Anvers Island was at or behind its present position at 700-970 cal. yr B.P., coincident with ice reduction elsewhere in the Southern Hemisphere. Moreover, the data indicate that present reduced ice extent on the western Antarctic Peninsula is not unprecedented and is similar to that experienced during at least three periods in the last 5600 yr.</t>
  </si>
  <si>
    <t>[Hall, B. L.; Denton, G. H.] Univ Maine, Dept Earth Sci, Orono, ME 04469 USA; [Hall, B. L.; Denton, G. H.] Univ Maine, Climate Change Inst, Orono, ME 04469 USA; [Koffman, T.] Raytheon Polar Serv, Centennial, CO 80112 USA</t>
  </si>
  <si>
    <t>BrendaH@maine.edu</t>
  </si>
  <si>
    <t>National Science Foundation; Comer Science and Education Foundation</t>
  </si>
  <si>
    <t>National Science Foundation(National Science Foundation (NSF)); Comer Science and Education Foundation</t>
  </si>
  <si>
    <t>This work was supported by the Office of Polar Programs of the National Science Foundation and by the Comer Science and Education Foundation. We especially wish to thank the 2006 Winter-Over crew at Palmer Station, who assisted in sample collection, and three reviewers who improved this paper greatly.</t>
  </si>
  <si>
    <t>10.1130/G30932.1</t>
  </si>
  <si>
    <t>WOS:000279089700015</t>
  </si>
  <si>
    <t>Euler, C; Ninnemann, US</t>
  </si>
  <si>
    <t>Euler, Christine; Ninnemann, Ulysses S.</t>
  </si>
  <si>
    <t>Climate and Antarctic Intermediate Water coupling during the late Holocene</t>
  </si>
  <si>
    <t>EL-NINO/SOUTHERN-OSCILLATION; TROPICAL PACIFIC CLIMATE; HIGH-LATITUDES; OCEAN; VARIABILITY; CIRCULATION; TEMPERATURES; CHILE; ENSO</t>
  </si>
  <si>
    <t>Little is known about the scale of natural variability of the Southern Hemisphere upper ocean on decadal to centennial time scales, despite its potential importance for influencing regions as distant as the tropical Pacific (El Nino-Southern Oscillation; ENSO) or even the North Atlantic overturning circulation. Here we present the first subdecadally sampled reconstruction of variability in the southeast Pacific upper-intermediate ocean from ca. A.D. 0-1300 using foraminiferal oxygen and carbon isotope records. Our results reveal large variability in surface ocean physical properties on both decadal and centennial time scales in the southeast Pacific; as much as 3 degrees C or more in as little as 50 yr. On centennial time scales, changes in Antarctic Intermediate Water physical properties (benthic foraminiferal delta O-18) covary with those in the surface and are associated with shifts in tropical temperatures, thermocline nutrient dynamics, and ENSO, suggesting that they are part of a common Pacific-wide phenomenon. Our results reveal that natural variability in upper ocean properties is greater than previously appreciated and coherent with changes in the tropical thermocline, supporting both theories and models postulating the importance of extratropical-tropical teleconnections and the oceanic tunnel in interdecadal to centennial climate variability.</t>
  </si>
  <si>
    <t>[Euler, Christine; Ninnemann, Ulysses S.] Univ Bergen, Dept Earth Sci, N-5007 Bergen, Norway; [Euler, Christine; Ninnemann, Ulysses S.] Uni Res, Bjerknes Ctr Climate Res, N-5007 Bergen, Norway</t>
  </si>
  <si>
    <t>Euler, C (corresponding author), Univ Bergen, Dept Earth Sci, N-5007 Bergen, Norway.</t>
  </si>
  <si>
    <t>Norwegian Research Council [159843/V30]; UNI Bjerknes Centre for Climate Research; University of Bergen; U.S. National Science Foundation</t>
  </si>
  <si>
    <t>Norwegian Research Council(Research Council of Norway); UNI Bjerknes Centre for Climate Research; University of Bergen; U.S. National Science Foundation(National Science Foundation (NSF))</t>
  </si>
  <si>
    <t>We thank J. Wettstein and four anonymous reviewers for helpful comments. This project was supported by the Norwegian Research Council project 159843/V30, UNI Bjerknes Centre for Climate Research, and a University of Bergen Ph.D. stipend (Euler). Sample material was provided by the Ocean Drilling Program, sponsored by the U.S. National Science Foundation and participating countries. This is publication no. A280 from the Bjerknes Centre.</t>
  </si>
  <si>
    <t>10.1130/G30902.1</t>
  </si>
  <si>
    <t>WOS:000279089700018</t>
  </si>
  <si>
    <t>Péron, C; Authier, M; Barbraud, C; Delord, K; Besson, D; Weimerskirch, H</t>
  </si>
  <si>
    <t>Peron, Clara; Authier, Matthieu; Barbraud, Christophe; Delord, Karine; Besson, Dominique; Weimerskirch, Henri</t>
  </si>
  <si>
    <t>Interdecadal changes in at-sea distribution and abundance of subantarctic seabirds along a latitudinal gradient in the Southern Indian Ocean</t>
  </si>
  <si>
    <t>at-sea survey; Bayesian; climate change; mixture model; populations trends; Procellariiform; zero inflation</t>
  </si>
  <si>
    <t>PETRELS PROCELLARIA-AEQUINOCTIALIS; LONGLINE FISHERY; BIRD ISLAND; EVOLUTIONARY RESPONSES; POPULATION-DYNAMICS; CALIFORNIA CURRENT; PREY CONSUMPTION; CLIMATE-CHANGE; ALBATROSSES; COMMUNITY</t>
  </si>
  <si>
    <t>Long-term demographic studies have recently shown that global climate change together with increasing direct impacts of human activities, such as fisheries, are affecting the population dynamics of marine top predators. However, the effects of these factors on species distribution and abundance at sea are still poorly understood, particularly in marine ecosystems of the southern hemisphere. Using a unique long-term data set of at-sea observations, we tested for interdecadal (1980s vs. 2000s) changes in summer abundance and distribution of 12 species of Albatrosses and Petrels along a 30 degrees latitudinal gradient between tropical and Antarctic waters of the southern Indian Ocean. There were contrasting effects of climate change on subantarctic seabird distribution and abundance at sea. While subtropical waters showed the highest rate of warming, the species that visited this water mass showed the greatest changes in distribution and abundance. The abundance of Wandering Albatrosses (Diomedea exulans), White-chinned Petrels (Procellaria aequinoctialis) and Giant Petrels (Macronectes sp.) declined markedly, whereas the other species showed contrasting trends or did not change. With the exception of the White-chinned Petrel, these decreases were at least partly related to regional increase in sea surface temperature. The southward shift of Wandering Albatross and Prions (Pachyptila spp.) distributions could be ascribed to species redistribution or decrease in abundance due to warming of the subtropical waters. Surprisingly, White-chinned Petrel distribution shifted northward, suggesting more complex mechanisms. This study is the first to document a shift in species range in the Southern Ocean related to climate change and contrasting abundance changes. It suggests that some species might experience more severe impacts from climate change depending on the water masses they visit. As climate changes are predicted to continue in the next decades, understanding species responses to climate change is crucial for conservation management, especially when their conservation status is critical or unknown.</t>
  </si>
  <si>
    <t>[Peron, Clara; Authier, Matthieu; Barbraud, Christophe; Delord, Karine; Besson, Dominique; Weimerskirch, Henri] CNRS, Ctr Etud Biol Chize, F-79360 Villiers En Bois, France</t>
  </si>
  <si>
    <t>Péron, C (corresponding author), CNRS, Ctr Etud Biol Chize, F-79360 Villiers En Bois, France.</t>
  </si>
  <si>
    <t>peron@cebc.cnrs.fr</t>
  </si>
  <si>
    <t>Barbraud, Christophe/A-5870-2012; Weimerskirch, Henri/K-7306-2019; PERON, Clara/E-9840-2015; PERON, CLARA/A-2248-2013; Weimerskirch, Henri/F-5562-2013</t>
  </si>
  <si>
    <t>Barbraud, Christophe/0000-0003-0146-212X; Weimerskirch, Henri/0000-0002-0457-586X; Authier, Matthieu/0000-0001-7394-1993</t>
  </si>
  <si>
    <t>Institut Paul Emile Victor; Terres Australes et Antarctiques Francaises; ANR Biodiversity-France</t>
  </si>
  <si>
    <t>Institut Paul Emile Victor; Terres Australes et Antarctiques Francaises; ANR Biodiversity-France(Agence Nationale de la Recherche (ANR))</t>
  </si>
  <si>
    <t>This study was supported by Institut Paul Emile Victor (Program IPEV 109) and Terres Australes et Antarctiques Francaises, and is a part of program REMIGE funded by ANR Biodiversity-France.</t>
  </si>
  <si>
    <t>10.1111/j.1365-2486.2010.02169.x</t>
  </si>
  <si>
    <t>604WB</t>
  </si>
  <si>
    <t>WOS:000278308100001</t>
  </si>
  <si>
    <t>Rolland, V; Weimerskirch, H; Barbraud, C</t>
  </si>
  <si>
    <t>Rolland, Virginie; Weimerskirch, Henri; Barbraud, Christophe</t>
  </si>
  <si>
    <t>Relative influence of fisheries and climate on the demography of four albatross species</t>
  </si>
  <si>
    <t>breeding success; climate; longlining; seabird; survival</t>
  </si>
  <si>
    <t>TOOTHFISH LONGLINE FISHERY; SEABIRD MORTALITY; DIOMEDEA-EXULANS; WANDERING ALBATROSSES; POPULATION-DYNAMICS; SOUTHERN-OCEAN; BREEDING PERFORMANCE; ADULT SURVIVAL; LINE FISHERIES; MARION ISLAND</t>
  </si>
  <si>
    <t>Worldwide ecosystems are modified by human activities and climate change. To be able to predict future changes, it is necessary to understand their respective role on population dynamics. Among the most threatened species are top predators because of their position in the food web. Albatross populations are potentially affected by both human activities, especially longline fisheries, and climatic fluctuations. Based on long-term data (1985-2006), we conducted through a comparative approach a demographic analysis (adult survival and breeding success) on four albatross species breeding on the Indian Ocean sub-Antarctic Islands to assess the relative impact of climate and fisheries during and outside the breeding season. The study revealed that adult survival of almost all species was not affected by climate, and therefore probably canalized against climatic variations, but was negatively affected by tuna longlining effort in three species. Breeding success was affected by climate, with contrasted effects between species, with Southern Oscillation Index having an impact on all species but one. Differences in demographic responses depended on the foraging zone and season. In order to predict population trajectories of seabirds such as albatrosses, our results show the importance of assessing the relative influence of fishing and climate impacts on demography.</t>
  </si>
  <si>
    <t>[Rolland, Virginie] Florida Cooperat Fish &amp; Wildlife Res, Gainesville, FL 32611 USA; [Rolland, Virginie; Weimerskirch, Henri; Barbraud, Christophe] CNRS, Ctr Etud Biol Chize, UPR 1934, F-79360 Villiers En Bois, Beauvoir Niort, France</t>
  </si>
  <si>
    <t>Rolland, V (corresponding author), Florida Cooperat Fish &amp; Wildlife Res, Bldg 810,POB 110485, Gainesville, FL 32611 USA.</t>
  </si>
  <si>
    <t>virginie.rolland@gmail.com</t>
  </si>
  <si>
    <t>Weimerskirch, Henri/F-5562-2013; Barbraud, Christophe/A-5870-2012; Weimerskirch, Henri/K-7306-2019</t>
  </si>
  <si>
    <t>French Polar Institute (IPEV) [109]; Terres Australes et Antarctiques Francaises; ANR Biodiversity; NSF [DEB-0343820]</t>
  </si>
  <si>
    <t>French Polar Institute (IPEV); Terres Australes et Antarctiques Francaises; ANR Biodiversity(Agence Nationale de la Recherche (ANR)); NSF(National Science Foundation (NSF))</t>
  </si>
  <si>
    <t>We gratefully acknowledge all the wintering fieldworkers involved in the long-term monitoring of black-browed albatrosses at Kerguelen, yellow-nosed albatrosses at Amsterdam Island, wandering and sooty albatrosses at Possession (Crozet) Islands, and Dominique Besson and Karine Delord for support and help in data management. The present research project No 109 was supported by the French Polar Institute (IPEV) and Terres Australes et Antarctiques Francaises. It is part of program REMIGE funded by ANR Biodiversity. Some of the methods described here (modelling survival in biennial species) were used following those developed by the Woods Hole Oceanographic Institution Albatross Demography Workshops, funded by NSF Grant DEB-0343820. We thank helpful contributions from Jean-Dominique Lebreton, John Croxall, Daniel Oro and Bernard Cazelles. We also thank Remi Choquet and Stephanie Jenouvrier for assistance in goodness-of-fit testing and modelling with M-SURGE, and Marcel Visser for comments on the manuscript.</t>
  </si>
  <si>
    <t>10.1111/j.1365-2486.2009.02070.x</t>
  </si>
  <si>
    <t>WOS:000278308100002</t>
  </si>
  <si>
    <t>Jena, B; Swain, D; Tyagi, A</t>
  </si>
  <si>
    <t>Jena, Babula; Swain, Debadatta; Tyagi, A.</t>
  </si>
  <si>
    <t>Application of Artificial Neural Networks for Sea-Surface Wind-Speed Retrieval From IRS-P4 (MSMR) Brightness Temperature</t>
  </si>
  <si>
    <t>IEEE GEOSCIENCE AND REMOTE SENSING LETTERS</t>
  </si>
  <si>
    <t>Artificial neural networks (ANNs); buoy; Indian Remote Sensing Satellite (IRS-P4) Multifrequency Scanning Microwave Radiometer (MSMR); sea-surface wind speed (SSWS)</t>
  </si>
  <si>
    <t>WATER-VAPOR; SATELLITE; OCEAN</t>
  </si>
  <si>
    <t>Indian Remote Sensing Satellite Multifrequency Scanning Microwave Radiometer (MSMR)-measured brightness temperatures (T(B)) in 6.6-, 10.65-, 18-, and 21-GHz channels with dual polarizations were utilized to retrieve sea-surface wind speed (SSWS). A concurrent and collocated database was constructed on MSMR T(B) - and deep-sea (DS)-buoy-recorded wind speeds for the period of June 1999-July 2001 over the north Indian Ocean. A radial-basis-function-based artificial-neural-network (ANN) algorithm was developed to estimate SSWS from MSMR T(B) values. Multiple ANNs were generated by the systematic variation of the architecture of input-and hidden-layer nodes. The performance of the most successful algorithm was evaluated based on statistical summary and network performance. The accuracy of the ANN-based wind-speed algorithm was compared with DS-buoy observations, and the result was then compared with the output of the regression analysis between buoy-and MSMR operational-global- retrieval-algorithm (OGRA)-derived SSWS values. On the average, 84% (92%) of ANN-estimated MSMR SSWS observations are within +/- 2 m/s (+/- 3 m/s) when compared with DS-buoy observations. The correlation and root mean square error of 0.80 and 1.79 m/s, respectively, for ANN-predicted SSWS values are much better than that obtained from OGRA. The performance of the ANN algorithm was also evaluated during a super cyclone (October 1999) over the Bay of Bengal. The ANN algorithm could capture the high cyclonic winds, and the values match reasonably well with Special Sensor Microwave/Imager and Sea Winds Scatterometer (QuikSCAT) operational wind products.</t>
  </si>
  <si>
    <t>[Jena, Babula; Tyagi, A.] Natl Ctr Antarctic &amp; Ocean Res, Goa 403804, India; [Swain, Debadatta] Vikram Sarabhai Space Ctr, Space Phys Lab, Trivandrum 695022, Kerala, India</t>
  </si>
  <si>
    <t>Ministry of Earth Sciences (MoES) - India; National Centre for Polar and Ocean Research (NCPOR); Department of Space (DoS), Government of India; Indian Space Research Organisation (ISRO); Vikram Sarabhai Space Center (VSSC)</t>
  </si>
  <si>
    <t>Jena, B (corresponding author), Natl Ctr Antarctic &amp; Ocean Res, Goa 403804, India.</t>
  </si>
  <si>
    <t>jena_ocean@yahoo.co.in; debadatta.swain@gmail.com</t>
  </si>
  <si>
    <t>National Centre for Antarctic and Ocean Research; Space Physics Laboratory</t>
  </si>
  <si>
    <t>The authors would like to thank the Director of the National Centre for Antarctic and Ocean Research and the Space Physics Laboratory for the support, the various institutions like the National Remote Sensing Centre, Remote Sensing Systems, Space Application Centre, and the National Institute of Ocean Technology for making the data sets available through their Web sites, and the anonymous reviewers and the editorial staff.</t>
  </si>
  <si>
    <t>1545-598X</t>
  </si>
  <si>
    <t>IEEE GEOSCI REMOTE S</t>
  </si>
  <si>
    <t>IEEE Geosci. Remote Sens. Lett.</t>
  </si>
  <si>
    <t>10.1109/LGRS.2010.2041632</t>
  </si>
  <si>
    <t>653JZ</t>
  </si>
  <si>
    <t>WOS:000282088300032</t>
  </si>
  <si>
    <t>Arrigo, KR</t>
  </si>
  <si>
    <t>Arrigo, K. R.</t>
  </si>
  <si>
    <t>Marine Microalgae in Antarctic Sea Ice</t>
  </si>
  <si>
    <t>INTEGRATIVE AND COMPARATIVE BIOLOGY</t>
  </si>
  <si>
    <t>Annual Meeting of the Society-for-Integrative-and-Comparative-Biology</t>
  </si>
  <si>
    <t>JAN 03-07, 2010</t>
  </si>
  <si>
    <t>Seattle, WA</t>
  </si>
  <si>
    <t>[Arrigo, K. R.] Stanford Univ, Stanford, CA 94305 USA</t>
  </si>
  <si>
    <t>arrigo@stanford.edu</t>
  </si>
  <si>
    <t>1540-7063</t>
  </si>
  <si>
    <t>INTEGR COMP BIOL</t>
  </si>
  <si>
    <t>Integr. Comp. Biol.</t>
  </si>
  <si>
    <t>E5</t>
  </si>
  <si>
    <t>630TL</t>
  </si>
  <si>
    <t>WOS:000280297000020</t>
  </si>
  <si>
    <t>Costa, DP; Crocker, DE; Goebel, ME; Fedak, MA; Mcdonald, BI; Huckstadt, LA</t>
  </si>
  <si>
    <t>Costa, D. P.; Crocker, D. E.; Goebel, M. E.; Fedak, M. A.; Mcdonald, B., I; Huckstadt, L. A.</t>
  </si>
  <si>
    <t>Climate Change and Habitat Selection of Seals in the Western Antarctic Peninsula</t>
  </si>
  <si>
    <t>[Costa, D. P.; Crocker, D. E.; Goebel, M. E.; Fedak, M. A.; Mcdonald, B., I; Huckstadt, L. A.] Sonoma State Univ, Univ Calif Santa Cruz, AMLR Southwest Fisheries Sci Ctr, Sea Mammal Res Unit, Rohnert Pk, CA USA</t>
  </si>
  <si>
    <t>California State University System; Sonoma State University; University of California System; University of California Santa Cruz</t>
  </si>
  <si>
    <t>costa@biology.ucsc.edu</t>
  </si>
  <si>
    <t>Huckstadt, Luis A./J-8532-2019; McDonald, Birgitte I/I-3602-2019; Huckstadt, Luis/JNR-7637-2023; Fedak, Michael/B-3987-2009</t>
  </si>
  <si>
    <t>Huckstadt, Luis A./0000-0002-2453-7350; McDonald, Birgitte I/0000-0001-5028-066X; Fedak, Michael/0000-0002-9569-1128</t>
  </si>
  <si>
    <t>E34</t>
  </si>
  <si>
    <t>WOS:000280297000137</t>
  </si>
  <si>
    <t>Crossin, GT; Trathan, PN; Phillips, RA; Williams, TD</t>
  </si>
  <si>
    <t>Crossin, G. T.; Trathan, P. N.; Phillips, R. A.; Williams, T. D.</t>
  </si>
  <si>
    <t>Trade-off between migration and reproduction, and the physiological basis of egg size dimorphism in Macaroni penguins</t>
  </si>
  <si>
    <t>Simon Fraser Univ, Burnaby, BC V5A 1S6, Canada; Simon Fraser Univ, British Antarctic Survey, Ctr Ecol &amp; Hydrol, Burnaby, BC V5A 1S6, Canada</t>
  </si>
  <si>
    <t>Simon Fraser University; Simon Fraser University</t>
  </si>
  <si>
    <t>E36</t>
  </si>
  <si>
    <t>WOS:000280297000143</t>
  </si>
  <si>
    <t>Demaster, DJ; Smith, CR; Thomas, CJ</t>
  </si>
  <si>
    <t>Demaster, David J.; Smith, Craig R.; Thomas, Carrie J.</t>
  </si>
  <si>
    <t>Evidence for a Benthic Food Bank in West Antarctic Peninsula Sediments: Radiochemical and Benthic Biological Approaches</t>
  </si>
  <si>
    <t>N Carolina State Univ, Raleigh, NC 27695 USA; Univ Hawaii, Honolulu, HI 96822 USA</t>
  </si>
  <si>
    <t>North Carolina State University; University of Hawaii System</t>
  </si>
  <si>
    <t>demaster@ncsu.edu</t>
  </si>
  <si>
    <t>E41</t>
  </si>
  <si>
    <t>WOS:000280297000162</t>
  </si>
  <si>
    <t>Fraser, WR; Schofield, OME; Kahl, A; Martinson, DG; Patterson-Fraser, DL</t>
  </si>
  <si>
    <t>Fraser, William R.; Schofield, Oscar M. E.; Kahl, Alex; Martinson, Douglas G.; Patterson-Fraser, Donna L.</t>
  </si>
  <si>
    <t>The Distribution of Adelie Penguins in the Western Antarctic Peninsula Region: Causal Mechanisms and Implications to Research in the Southern Oceans</t>
  </si>
  <si>
    <t>Rutgers State Univ, Polar Oceans Res Grp, Inst Marine &amp; Coastal Sci, Piscataway, NJ 08855 USA; Columbia Univ, Lamont Doherty Earth Observ, New York, NY 10027 USA</t>
  </si>
  <si>
    <t>Rutgers University System; Rutgers University New Brunswick; Columbia University</t>
  </si>
  <si>
    <t>bfraser@3rivers.net</t>
  </si>
  <si>
    <t>E57</t>
  </si>
  <si>
    <t>WOS:000280297000226</t>
  </si>
  <si>
    <t>Freeman, RM; Dean, B; Kirk, H; Phillips, R; Roberts, S; Perrins, C; Guilford, TG</t>
  </si>
  <si>
    <t>Freeman, R. M.; Dean, B.; Kirk, H.; Phillips, R.; Roberts, S.; Perrins, C.; Guilford, T. G.</t>
  </si>
  <si>
    <t>Machine Learning approaches to understanding the migratory behaviour of a small seabird, the Manx Shearwater (Puffinus puffinus)</t>
  </si>
  <si>
    <t>Univ Oxford, Dept Zool, Edward Grey Inst, Cambridge, England; Microsoft Res Cambridge, Cambridge, England; British Antarctic Survey, Cambridge, England</t>
  </si>
  <si>
    <t>University of Oxford; Microsoft; UK Research &amp; Innovation (UKRI); Natural Environment Research Council (NERC); NERC British Antarctic Survey</t>
  </si>
  <si>
    <t>robin.freeman@microsoft.com</t>
  </si>
  <si>
    <t>WOS:000280297000228</t>
  </si>
  <si>
    <t>Halanych, KM</t>
  </si>
  <si>
    <t>Halanych, K. M.</t>
  </si>
  <si>
    <t>Phylogeography, larval dispersal and recent history of Antarctic continental shelf fauna</t>
  </si>
  <si>
    <t>[Halanych, K. M.] Auburn Univ, Auburn, AL 36849 USA</t>
  </si>
  <si>
    <t>Auburn University System; Auburn University</t>
  </si>
  <si>
    <t>ken@auburn.edu</t>
  </si>
  <si>
    <t>E67</t>
  </si>
  <si>
    <t>WOS:000280297000266</t>
  </si>
  <si>
    <t>Hammock, J; Lemaitre, R; Harasewych, MG</t>
  </si>
  <si>
    <t>Hammock, J.; Lemaitre, R.; Harasewych, M. G.</t>
  </si>
  <si>
    <t>Antarctic Invertebrates at the Smithsonian: one-stop shopping</t>
  </si>
  <si>
    <t>[Hammock, J.; Lemaitre, R.; Harasewych, M. G.] Smithsonian Inst, Washington, DC 20560 USA</t>
  </si>
  <si>
    <t>Smithsonian Institution</t>
  </si>
  <si>
    <t>hammockj@si.edu</t>
  </si>
  <si>
    <t>E238</t>
  </si>
  <si>
    <t>WOS:000280297001163</t>
  </si>
  <si>
    <t>Kim, S; Thurber, A; Hammerstrom, K</t>
  </si>
  <si>
    <t>Kim, Stacy; Thurber, Andrew; Hammerstrom, Kamille</t>
  </si>
  <si>
    <t>Community Dynamics in a Polar Ecosystem: Benthic Recovery From Organic Enrichment in the Antarctic</t>
  </si>
  <si>
    <t>Moss Landing Marine Labs, Moss Landing, CA USA; Scripps Inst Oceanog, La Jolla, CA USA</t>
  </si>
  <si>
    <t>Moss Landing Marine Laboratories; University of California System; University of California San Diego; Scripps Institution of Oceanography</t>
  </si>
  <si>
    <t>skim@mlml.calstate.edu</t>
  </si>
  <si>
    <t>E90</t>
  </si>
  <si>
    <t>WOS:000280297000359</t>
  </si>
  <si>
    <t>Koplovitz, G; Mcclintock, JB; Amsler, CD; Baker, BJ</t>
  </si>
  <si>
    <t>Koplovitz, G.; Mcclintock, J. B.; Amsler, C. D.; Baker, B. J.</t>
  </si>
  <si>
    <t>Potential resistance of Antarctic ascidians to sympatric bacterial epibiosis</t>
  </si>
  <si>
    <t>[Koplovitz, G.; Mcclintock, J. B.; Amsler, C. D.; Baker, B. J.] Univ S Florida, Univ Alabama Birmingham, Tampa, FL 33620 USA</t>
  </si>
  <si>
    <t>State University System of Florida; University of South Florida</t>
  </si>
  <si>
    <t>gilkop@uab.edu</t>
  </si>
  <si>
    <t>Baker, Bill/N-4312-2019</t>
  </si>
  <si>
    <t>E253</t>
  </si>
  <si>
    <t>WOS:000280297001223</t>
  </si>
  <si>
    <t>Marsh, A; Kendall, L; Guida, S</t>
  </si>
  <si>
    <t>Marsh, Adam; Kendall, Lindsay; Guida, Stephanie</t>
  </si>
  <si>
    <t>Environmental Imprinting (Epigenetics) and Adaptation in Antarctic Marine Invertebrates</t>
  </si>
  <si>
    <t>[Marsh, Adam; Kendall, Lindsay; Guida, Stephanie] Univ Delaware, Newark, DE 19716 USA</t>
  </si>
  <si>
    <t>University of Delaware</t>
  </si>
  <si>
    <t>amarsh@udel.edu</t>
  </si>
  <si>
    <t>E109</t>
  </si>
  <si>
    <t>WOS:000280297000434</t>
  </si>
  <si>
    <t>Mcclintock, JB; Amsler, CD; Baker, BJ</t>
  </si>
  <si>
    <t>Mcclintock, J. B.; Amsler, C. D.; Baker, B. J.</t>
  </si>
  <si>
    <t>An overview of the Chemical Ecology of Marine Macroalgae and Benthic Invertebrates along the Antarctic Peninsula</t>
  </si>
  <si>
    <t>Univ Alabama, Birmingham, AL USA; Univ S Florida, Tampa, FL 33620 USA</t>
  </si>
  <si>
    <t>University of Alabama System; University of Alabama Birmingham; State University System of Florida; University of South Florida</t>
  </si>
  <si>
    <t>mcclinto@uab.edu</t>
  </si>
  <si>
    <t>E112</t>
  </si>
  <si>
    <t>WOS:000280297000445</t>
  </si>
  <si>
    <t>Mcdonald, BI; Goebel, ME; Crocker, DE; Costa, DP</t>
  </si>
  <si>
    <t>Mcdonald, B., I; Goebel, M. E.; Crocker, D. E.; Costa, D. P.</t>
  </si>
  <si>
    <t>Maternal investment in the Antarctic fur seal: Impacts of maternal traits, pup traits, and provisioning strategy</t>
  </si>
  <si>
    <t>Univ Calif Santa Cruz, Santa Cruz, CA 95064 USA; NOAA, Antarctic Ecol Res Div, Silver Spring, MD USA; Sonoma State Univ, Rohnert Pk, CA USA</t>
  </si>
  <si>
    <t>University of California System; University of California Santa Cruz; National Oceanic Atmospheric Admin (NOAA) - USA; California State University System; Sonoma State University</t>
  </si>
  <si>
    <t>mcdonald@biology.ucsc.edu</t>
  </si>
  <si>
    <t>McDonald, Birgitte I/I-3602-2019</t>
  </si>
  <si>
    <t>McDonald, Birgitte I/0000-0001-5028-066X</t>
  </si>
  <si>
    <t>E113</t>
  </si>
  <si>
    <t>WOS:000280297000450</t>
  </si>
  <si>
    <t>Mueller, IA; O'Brien, KM</t>
  </si>
  <si>
    <t>Mueller, Irina A.; O'Brien, Kristin M.</t>
  </si>
  <si>
    <t>The Effect of Mitochondrial Ultrastructure on Function in Antarctic Notothenioid Fishes</t>
  </si>
  <si>
    <t>[Mueller, Irina A.; O'Brien, Kristin M.] Univ Alaska Fairbanks, Fairbanks, AK USA</t>
  </si>
  <si>
    <t>iamueller@alaska.edu</t>
  </si>
  <si>
    <t>E271</t>
  </si>
  <si>
    <t>WOS:000280297001293</t>
  </si>
  <si>
    <t>Murphy, DW; Webster, DR; Kawaguchi, S; King, R; Osborn, J; Yen, J</t>
  </si>
  <si>
    <t>Murphy, D. W.; Webster, D. R.; Kawaguchi, S.; King, R.; Osborn, J.; Yen, J.</t>
  </si>
  <si>
    <t>Krill Schooling: Defining the Structure of Antarctic Krill Schools and Swarms</t>
  </si>
  <si>
    <t>Georgia Inst Technol, Atlanta, GA 30332 USA; Australian Antarctic Div, Kingston, Tas, Australia; Univ Tasmania, Hobart, Tas, Australia</t>
  </si>
  <si>
    <t>University System of Georgia; Georgia Institute of Technology; Australian Antarctic Division; University of Tasmania</t>
  </si>
  <si>
    <t>dwmurphy@gatech.edu</t>
  </si>
  <si>
    <t>Osborn, Jon/0000-0003-2278-3766</t>
  </si>
  <si>
    <t>E124</t>
  </si>
  <si>
    <t>WOS:000280297000492</t>
  </si>
  <si>
    <t>Steinberg, DK; Schofield, OME; Fraser, WR; Stammerjohn, SE; Martinson, DG; Doney, SC; Montes-Hugo, M; Ducklow, HW</t>
  </si>
  <si>
    <t>Steinberg, D. K.; Schofield, O. M. E.; Fraser, W. R.; Stammerjohn, S. E.; Martinson, D. G.; Doney, S. C.; Montes-Hugo, M.; Ducklow, H. W.</t>
  </si>
  <si>
    <t>The Changing Ecosystem of the West Antarctic Peninsula</t>
  </si>
  <si>
    <t>Virginia Inst Marine Sci, Gloucester Point, VA 23062 USA; Rutgers State Univ, Inst Marine &amp; Coastal Sci, New Brunswick, NJ 08903 USA; Polar Oceans Res Grp, Sheridan, MT USA; Univ Calif Santa Cruz, Santa Cruz, CA 95064 USA; Columbia Univ, Lamont Doherty Earth Observ, Palisades, NY USA; Woods Hole Oceanog Inst, Woods Hole, MA 02543 USA; Marine Biol Lab, Woods Hole, MA 02543 USA</t>
  </si>
  <si>
    <t>William &amp; Mary; Virginia Institute of Marine Science; Rutgers University System; Rutgers University New Brunswick; University of California System; University of California Santa Cruz; Columbia University; Woods Hole Oceanographic Institution; Marine Biological Laboratory - Woods Hole</t>
  </si>
  <si>
    <t>debbies@vims.edu</t>
  </si>
  <si>
    <t>Doney, Scott/F-9247-2010</t>
  </si>
  <si>
    <t>Doney, Scott/0000-0002-3683-2437</t>
  </si>
  <si>
    <t>E169</t>
  </si>
  <si>
    <t>WOS:000280297000675</t>
  </si>
  <si>
    <t>Harley, MD; Turner, IL; Short, AD; Ranasinghe, R</t>
  </si>
  <si>
    <t>Harley, Mitchell D.; Turner, Ian L.; Short, Andrew D.; Ranasinghe, Roshanka</t>
  </si>
  <si>
    <t>Interannual variability and controls of the Sydney wave climate</t>
  </si>
  <si>
    <t>wave climate; southeastern Australia; El Nino/Southern Oscillation; Southern Annular Mode; ERA-40</t>
  </si>
  <si>
    <t>NINO-SOUTHERN-OSCILLATION; EL-NINO; AUSTRALIAN RAINFALL; HEMISPHERE; WIND</t>
  </si>
  <si>
    <t>A multi-decadal beach survey dataset at a coastal embayment in Sydney, Australia, identifies erosion/accretion cycles coinciding with phase shifts in the El Nino/Southern Oscillation (ENSO). In an attempt to explain the processes governing these cycles, this study explores the interannual variability and controls of the Sydney wave climate using ECMWF ERA-40 and corrected ERA-40 (C-ERA-40) reanalysis data. Comparisons with wave measurements collected by the Sydney waverider buoy show that these datasets represent the Sydney wave climate reasonably well, although westerly waves are significantly over-predicted. Removing these values strengthens correlations between predicted and measured wave heights. A summary of the Sydney wave climate from 1957 to 2002 is presented, which highlights the high degree of variability in storm events. Controls of interannual variability are investigated by comparing values in Sydney with regional mean sea level pressure anomalies, the Southern Oscillation Index (SOT) and the Southern Annular Mode (SAM). Austral summer wave heights over this 45-year period increase/decrease with positive/negative phases of the SOI and the SAM. An inverse relationship is found between wave directions and the SOT for the austral autumn and spring; and between wave directions and the SAM for the austral winter. Variability of storm events in Sydney is significantly correlated with the SOI, but not the SAM. In particular, La Nina phases are generally associated with longer duration, higher-energy events from a more easterly direction when compared to those during El Nino phases. Copyright (C) 2009 Royal Meteorological Society</t>
  </si>
  <si>
    <t>[Harley, Mitchell D.; Turner, Ian L.] Univ New S Wales, Sch Civil &amp; Environm Engn, Water Res Lab, Many Vale, NSW 2093, Australia; [Short, Andrew D.] Univ Sydney, Sch Geosci, Coastal Studies Unit, Sydney, NSW 2006, Australia; [Ranasinghe, Roshanka] NSW Dept Environm &amp; Climate Change Newcastle, Newcastle, NSW 2309, Australia; [Ranasinghe, Roshanka] Delft Univ Technol, Dept Civil Engn &amp; GeoSci CiTG, NL-2600 GA Delft, Netherlands; [Ranasinghe, Roshanka] UNESCO IHE, Dept Water Engn, NL-2601 DA Delft, Netherlands</t>
  </si>
  <si>
    <t>University of New South Wales Sydney; University of Sydney; Delft University of Technology; IHE Delft Institute for Water Education</t>
  </si>
  <si>
    <t>Harley, MD (corresponding author), Univ New S Wales, Sch Civil &amp; Environm Engn, Water Res Lab, King St, Many Vale, NSW 2093, Australia.</t>
  </si>
  <si>
    <t>m.harley@wrl.unsw.edu.au</t>
  </si>
  <si>
    <t>Turner, Ian L/H-7122-2014; Ranasinghe, Roshanka/C-6711-2009</t>
  </si>
  <si>
    <t>Turner, Ian L/0000-0001-9884-6917; Ranasinghe, Roshanka/0000-0001-6234-2063; Harley, Mitchell/0000-0002-1329-7945; Short, Andrew/0000-0001-7188-7057</t>
  </si>
  <si>
    <t>Australian Research Council [LP0455157]; NSW Department of Environment and Climate Change; Warringah Council and Deltares; Australian Research Council [LP0455157] Funding Source: Australian Research Council</t>
  </si>
  <si>
    <t>Australian Research Council(Australian Research Council); NSW Department of Environment and Climate Change; Warringah Council and Deltares; Australian Research Council(Australian Research Council)</t>
  </si>
  <si>
    <t>The authors would like to thank the ECMWF for supplying the ERA-40 data, Andreas Sterl at KNMI for the C-ERA-40 data, and the Australian Bureau of Meteorology, and Gareth Marshall (British Antarctic Survey) for making the Southern Oscillation Index and SAM data available. Wave measurements were kindly supplied by the Manly Hydraulics Laboratory (NSW Department of Commerce) on behalf of the NSW Department of Environment and Climate Change. This study is supported by the Australian Research Council (Grant #LP0455157), NSW Department of Environment and Climate Change, Warringah Council and Deltares.</t>
  </si>
  <si>
    <t>10.1002/joc.1962</t>
  </si>
  <si>
    <t>638CC</t>
  </si>
  <si>
    <t>WOS:000280867500006</t>
  </si>
  <si>
    <t>Hengst, S; Luong-Van, DM; Everett, JR; Lawrence, JS; Ashley, MCB; Castel, D; Storey, JWV</t>
  </si>
  <si>
    <t>Hengst, Shane; Luong-Van, D. M.; Everett, J. R.; Lawrence, J. S.; Ashley, M. C. B.; Castel, D.; Storey, J. W. V.</t>
  </si>
  <si>
    <t>A small, high-efficiency diesel generator for high-altitude use in Antarctica</t>
  </si>
  <si>
    <t>INTERNATIONAL JOURNAL OF ENERGY RESEARCH</t>
  </si>
  <si>
    <t>diesel engine; high altitude; antarctica; remote generation</t>
  </si>
  <si>
    <t>DOME</t>
  </si>
  <si>
    <t>We have characterised a small, high-efficiency diesel generator selected to power remote experiments on the Antarctic plateau at altitudes of up to 5000 m. We describe the design of an environmental chamber to simulate these high altitudes and present an experimental investigation of the engine operation at high altitude on Jet A-I. comparing this to the engine's performance at sea level. Although attention must be paid to the provision of adequate cooling, no modification to the engine itself is required. Our final system provides very high reliability and produces 1500 W of electrical power with a fuel consumption of 280 g k Wh(-1). A bank of ultracapacitors is used to start the engine in the cold environment of Antarctica. We describe the low-temperature operation and survival tests that we performed on the ultracapacitors and the engine. Copyright (C) 2009 John Wiley &amp; Sons, Ltd.</t>
  </si>
  <si>
    <t>[Hengst, Shane; Luong-Van, D. M.; Everett, J. R.; Lawrence, J. S.; Ashley, M. C. B.; Castel, D.; Storey, J. W. V.] Univ New S Wales, Sch Phys, Sydney, NSW 2052, Australia; [Castel, D.] Inst Super Elect &amp; Numer, CS 42807, F-29228 Brest 2, France</t>
  </si>
  <si>
    <t>Hengst, S (corresponding author), Univ New S Wales, Sch Phys, Sydney, NSW 2052, Australia.</t>
  </si>
  <si>
    <t>shane@phys.unsw.edu.au</t>
  </si>
  <si>
    <t>Lawrence, Jon/0000-0002-6998-6993; Ashley, Michael/0000-0003-1412-2028</t>
  </si>
  <si>
    <t>Australian Research Council</t>
  </si>
  <si>
    <t>Australian Research Council(Australian Research Council)</t>
  </si>
  <si>
    <t>Contract/grant sponsor: Australian Research Council</t>
  </si>
  <si>
    <t>0363-907X</t>
  </si>
  <si>
    <t>INT J ENERG RES</t>
  </si>
  <si>
    <t>Int. J. Energy Res.</t>
  </si>
  <si>
    <t>10.1002/er.1595</t>
  </si>
  <si>
    <t>Energy &amp; Fuels; Nuclear Science &amp; Technology</t>
  </si>
  <si>
    <t>626MV</t>
  </si>
  <si>
    <t>WOS:000279971000007</t>
  </si>
  <si>
    <t>Catry, P; Phillips, RA; Forster, IP; Matias, R; Lecoq, M; Granadeiro, JP; Strange, IJ</t>
  </si>
  <si>
    <t>Catry, Paulo; Phillips, Richard A.; Forster, Isaac P.; Matias, Rafael; Lecoq, Miguel; Granadeiro, Jose P.; Strange, Ian J.</t>
  </si>
  <si>
    <t>Brood-guarding duration in black-browed albatrosses Thalassarche melanophris: temporal, geographical and individual variation</t>
  </si>
  <si>
    <t>ANTARCTIC PETREL; WANDERING ALBATROSSES; BEHAVIOR; GROWTH; AGE; THERMOREGULATION; CHICKS; ENERGY; LONG; SIZE</t>
  </si>
  <si>
    <t>In birds, the period spent brooding or guarding young chicks is highly variable, but such variation has seldom been studied. Previous single-year studies of Antarctic petrels Thalassoica antarctica and grey-headed albatrosses Thalassarche chrysostoma revealed a pronounced seasonal decline in brood-guarding duration and gave rise to the 'synchronisation hypothesis', which suggests that some of the variation in the length of the brood-guarding stage is related to predictable seasonal changes in the risk of chick predation. We tested the predictions of this and three other hypotheses in a two-site, four-year study of the black-browed albatross T. melanophris. The existence of a pronounced seasonal decline in brood-guarding duration was apparent at both sites, and in years of contrasting food availability, providing further support for the 'synchronisation hypothesis'. Alternative explanations for this pattern are that short brood-guarding periods for late-hatched chicks result from a seasonal decline in food availability or from the fact that early nesting birds are of higher individual quality. However, these explanations are at odds with the absence of a seasonal decline in early chick growth or in probability of chick survival. Furthermore, adult quality (measured as past reproductive performance) had a weak and inconsistent effect on the duration of brood-guarding. Weather changes explained some of the variation in brood-guarding, but there were no differences between regions of contrasting climates. Individual pairs displayed a degree of inter-annual consistency in brood-guarding duration and, at least in some years, longer brood-guarding resulted in higher fledging probability. We speculate that a higher investment in brood-guarding increases the cost of reproduction, which counteracts other selective pressures that would otherwise lead to longer brood-guarding durations.</t>
  </si>
  <si>
    <t>[Catry, Paulo] ISPA, Ecoethol Res Unit, PT-1149041 Lisbon, Portugal; [Phillips, Richard A.; Forster, Isaac P.] British Antarctic Survey, NERC, Cambridge CB3 0ET, England; [Granadeiro, Jose P.] Univ Lisbon, Museo Nacl Hist Nat, CESAM, P-1699 Lisbon, Portugal</t>
  </si>
  <si>
    <t>UK Research &amp; Innovation (UKRI); Natural Environment Research Council (NERC); NERC British Antarctic Survey; Universidade de Lisboa</t>
  </si>
  <si>
    <t>Catry, P (corresponding author), ISPA, Ecoethol Res Unit, Rua Jardim Tabaco 34, PT-1149041 Lisbon, Portugal.</t>
  </si>
  <si>
    <t>paulo.catry@gmail.com</t>
  </si>
  <si>
    <t>Granadeiro, José Pedro/E-8060-2011; Catry, Paulo/I-5408-2013</t>
  </si>
  <si>
    <t>Granadeiro, José Pedro/0000-0002-7207-3474; Catry, Paulo/0000-0003-3000-0522</t>
  </si>
  <si>
    <t>Fundacao para a Ciencia e Tecnologia (FCT-Portugal) [UID 331/94]; Foreign &amp; Commonwealth Office [FAL 201]; Falkland Islands Government; [XXI BPD/11631/02]; [SFRH/BPD/30031/2006]; NERC [bas010017, bas0100025] Funding Source: UKRI; Natural Environment Research Council [bas0100025, bas010017] Funding Source: researchfish; Fundação para a Ciência e a Tecnologia [SFRH/BPD/30031/2006] Funding Source: FCT</t>
  </si>
  <si>
    <t>Fundacao para a Ciencia e Tecnologia (FCT-Portugal)(Fundacao para a Ciencia e a Tecnologia (FCT)); Foreign &amp; Commonwealth Office; Falkland Islands Government; ; ; NERC(UK Research &amp; Innovation (UKRI)Natural Environment Research Council (NERC)); Natural Environment Research Council(UK Research &amp; Innovation (UKRI)Natural Environment Research Council (NERC)); Fundação para a Ciência e a Tecnologia(Fundacao para a Ciencia e a Tecnologia (FCT))</t>
  </si>
  <si>
    <t>We are very grateful to the many fieldworkers, Dafydd Roberts and Ben Phalan in particular, who assisted with the study, and to John Croxall for supporting albatross research at Bird Island. The New Island Conservation Trust, an NGO and charity, supported field studies on their New Island reserve, through the supply of research facilities, accommodation and subsistence. This study was financed by Fundacao para a Ciencia e Tecnologia (FCT-Portugal) through Projecto Albatroz, as part of the Programa Plurianual (UI&amp;D 331/94) and by research grants Praxis XXI BPD/11631/02 and SFRH/BPD/30031/2006 to PC. Further support was received from the Foreign &amp; Commonwealth Office through an Overseas Territories Environment Programme (OTEP) grant (FAL 201), and from the Falkland Islands Government. Maria Strange, Shona Strange, Georgina Strange, Dan Birch and Helen Otley provided important logistical and moral support in the field and in Stanley. All work was approved by the Falkland Islands and South Georgia Governments.</t>
  </si>
  <si>
    <t>10.1111/j.1600-048X.2010.05029.x</t>
  </si>
  <si>
    <t>623IO</t>
  </si>
  <si>
    <t>WOS:000279733000012</t>
  </si>
  <si>
    <t>Carpenter, RJ; Truswell, EM; Harris, WK</t>
  </si>
  <si>
    <t>Carpenter, Raymond J.; Truswell, Elizabeth M.; Harris, Wayne K.</t>
  </si>
  <si>
    <t>Lauraceae fossils from a volcanic Palaeocene oceanic island, Ninetyeast Ridge, Indian Ocean: ancient long-distance dispersal?</t>
  </si>
  <si>
    <t>Deep Sea Drilling Program; fossil; historical biogeography; Kerguelen; Lauraceae; long-distance dispersal; Palaeocene; pollen; Site 214; vicariance</t>
  </si>
  <si>
    <t>SEED DISPERSAL; KERGUELEN PLATEAU; BIOGEOGRAPHY; EVOLUTION; VICARIANCE; PATTERNS; EOCENE; MITOCHONDRIAL; VEGETATION; RADIATION</t>
  </si>
  <si>
    <t>Aim Geological and fossil records are critical for historical biogeography studies. A plant fossil assemblage from a small, well-dated, transient late Palaeocene island was re-investigated with regard to regional geology and vicariance versus dispersal hypotheses. Location Deep Sea Drilling Program Leg 22, Site 214 on the Ninetyeast Ridge (NER) in the mid-Indian Ocean region. Methods Leaf cuticular material was recovered from residues from a previous palynofloral study of Site 214 sediments during the 1970s and identified. The palynoflora was reassessed. Results The only leaf cuticular material recovered with stomata can be placed in crown-group Lauraceae. It is confirmed that the palynoflora reflects the presence of a low-diversity island flora in the late Palaeocene, comprising ferns and mostly herbaceous angiosperms with readily dispersible propagules, and perhaps austral podocarps. Other pollen taxa of almost certain local origin were arecoid palms and taxa related to Chloranthaceae. The strong overall similarity of the palynoflora to Australo-Antarctic and New Zealand assemblages is also confirmed. Main conclusions Foliar fossils of Lauraceae demonstrate the occurrence of one of the world's largest, most widely distributed woody plant families on a late Palaeocene island. The presence of plants on this island could be explained by vicariance via a vegetated Upper Cretaceous Kerguelen Plateau, in part because crown-group Lauraceae may be at least this old. However, there are records of other taxa in the Kerguelen region that are anomalous with vicariance, plus evidence for a catastrophic biotic extinction event centred in the area in the latest Cretaceous. Plants were therefore most likely to have reached the island by means of dispersal. This suggests either the presence of presently unknown vegetated land nearby in the Kerguelen region in the late Palaeocene, or long-distance dispersal, probably from the Australian region. The dispersal of viable seeds could have been facilitated by birds or perhaps by ocean-surface drift with or without the assistance of ocean-going animals. The fossils allow that even small, short-lived islands could have acted as 'stepping stones' for biotic interchange between Australia and Africa, and perhaps other regions.</t>
  </si>
  <si>
    <t>[Carpenter, Raymond J.] Univ Adelaide, Sch Earth &amp; Environm Sci, Adelaide, SA 5005, Australia; [Truswell, Elizabeth M.] Australian Natl Univ, Res Sch Earth Sci, Canberra, ACT 0200, Australia; [Harris, Wayne K.] Brisbane Bot Gardens Mt Coot Tha, Dept Environm &amp; Resource Management, Queensland Herbarium, Toowong, Qld 4066, Australia</t>
  </si>
  <si>
    <t>University of Adelaide; Australian National University</t>
  </si>
  <si>
    <t>Carpenter, RJ (corresponding author), Univ Adelaide, Sch Earth &amp; Environm Sci, Adelaide, SA 5005, Australia.</t>
  </si>
  <si>
    <t>raymond.carpenter@adelaide.edu.au</t>
  </si>
  <si>
    <t>Truswell, Elizabeth/0000-0003-1848-6961; Carpenter, Raymond/0000-0001-7129-2870</t>
  </si>
  <si>
    <t>This research used samples provided by DSDP (now IODP) and first investigated by W.K.H. during the 1970s. We thank PIRSA Minerals Division (South Australia), and in particular Lyn Broadbridge for access to Site 214 pollen slides and residues. Australian Research Council funding to R.S. Hill assisted this research. E.M.T. acknowledges facilities provided during her tenure as a Visiting Fellow in the Research School of Earth Sciences, Australian National University. We are very grateful to Joanne Whittaker, University of Sydney, for the Indian Ocean maps, and also to Lisa Gahagan, University of Texas, for other advice concerning palaeomaps. Mike Coffin, University of Southampton, provided valuable advice on aspects of the evolution of the Kerguelen Plateau and NER.</t>
  </si>
  <si>
    <t>1365-2699</t>
  </si>
  <si>
    <t>10.1111/j.1365-2699.2010.02279.x</t>
  </si>
  <si>
    <t>612SR</t>
  </si>
  <si>
    <t>WOS:000278923500004</t>
  </si>
  <si>
    <t>Speirs, JC; Steinhoff, DF; McGowan, HA; Bromwich, DH; Monaghan, AJ</t>
  </si>
  <si>
    <t>Speirs, Johanna C.; Steinhoff, Daniel F.; McGowan, Hamish A.; Bromwich, David H.; Monaghan, Andrew J.</t>
  </si>
  <si>
    <t>Foehn Winds in the McMurdo Dry Valleys, Antarctica: The Origin of Extreme Warming Events</t>
  </si>
  <si>
    <t>ROSS ICE SHELF; POLAR MM5 SIMULATIONS; NUMERICAL SIMULATIONS; SOUTH FOEHN; VICTORIA VALLEY; KATABATIC WINDS; GRAVITY-WAVES; WRIGHT VALLEY; WIPP VALLEY; COATS LAND</t>
  </si>
  <si>
    <t>Foehn winds resulting from topographic modification of airflow in the lee of mountain barriers are frequently experienced in the McMurdo Dry Valleys (MDVs) of Antarctica. Strong foehn winds in the MDVs cause dramatic warming at onset and have significant effects on landscape forming processes; however, no detailed scientific investigation of foehn in the MDVs has been conducted. As a result, they are often misinterpreted as adiabatically warmed katabatic winds draining from the polar plateau. Herein observations from surface weather stations and numerical model output from the Antarctic Mesoscale Prediction System (AMPS) during foehn events in the MDVs are presented. Results show that foehn winds in the MDVs are caused by topographic modification of south-southwesterly airflow, which is channeled into the valleys from higher levels. Modeling of a winter foehn event identifies mountain wave activity similar to that associated with midlatitude foehn winds. These events are found to be caused by strong pressure gradients over the mountain ranges of the MDVs related to synoptic-scale cyclones positioned off the coast of Marie Byrd Land. Analysis of meteorological records for 2006 and 2007 finds an increase of 10% in the frequency of foehn events in 2007 compared to 2006, which corresponds to stronger pressure gradients in the Ross Sea region. It is postulated that the intra-and interannual frequency and intensity of foehn events in the MDVs may therefore vary in response to the position and frequency of cyclones in the Ross Sea region.</t>
  </si>
  <si>
    <t>[Speirs, Johanna C.; McGowan, Hamish A.] Univ Queensland, Sch Geog Planning &amp; Environm Management, Climate Res Grp, St Lucia, Qld, Australia; [Steinhoff, Daniel F.; Bromwich, David H.] Ohio State Univ, Byrd Polar Res Ctr, Polar Meteorol Grp, Columbus, OH 43210 USA; [Steinhoff, Daniel F.; Bromwich, David H.] Ohio State Univ, Dept Geog, Atmospher Sci Program, Columbus, OH 43210 USA; [Monaghan, Andrew J.] Natl Ctr Atmospher Res, Res Applicat Lab, Boulder, CO 80307 USA</t>
  </si>
  <si>
    <t>University of Queensland; University System of Ohio; Ohio State University; University System of Ohio; Ohio State University; National Center Atmospheric Research (NCAR) - USA</t>
  </si>
  <si>
    <t>Speirs, JC (corresponding author), Univ Queensland, Sch Geog Planning &amp; Environm Management, Climate Res Grp, Brisbane, Qld 4072, Australia.</t>
  </si>
  <si>
    <t>j.speirs@uq.edu.au</t>
  </si>
  <si>
    <t>Bromwich, David H/C-9225-2016; McGowan, Hamish/AAD-9607-2021</t>
  </si>
  <si>
    <t>Steinhoff, Daniel/0000-0002-4233-8750; Monaghan, Andrew/0000-0002-8170-2359</t>
  </si>
  <si>
    <t>National Science Foundation [ANT-0636523]; UCAR [S01-22901]; School of Geography, Planning and Environmental Management, The University of Queensland</t>
  </si>
  <si>
    <t>National Science Foundation(National Science Foundation (NSF)); UCAR; School of Geography, Planning and Environmental Management, The University of Queensland(University of Queensland)</t>
  </si>
  <si>
    <t>The authors thank the McMurdo LTER Program for use of automatic weather station data. This research is supported by the National Science Foundation via NSF Grant ANT-0636523 and UCAR Subcontract S01-22901. We also acknowledge the ongoing financial support of the School of Geography, Planning and Environmental Management, The University of Queensland. Finally, we are grateful for the constructive suggestions from the anonymous reviewers. This work was completed while Speirs was a visiting research fellow at the Byrd Polar Research Center, The Ohio State University.</t>
  </si>
  <si>
    <t>10.1175/2010JCLI3382.1</t>
  </si>
  <si>
    <t>628GA</t>
  </si>
  <si>
    <t>WOS:000280101500010</t>
  </si>
  <si>
    <t>Stevens, MM; Jackson, S; Bester, SA; Terblanche, JS; Chown, SL</t>
  </si>
  <si>
    <t>Stevens, Meagan M.; Jackson, Sue; Bester, Susan A.; Terblanche, John S.; Chown, Steven L.</t>
  </si>
  <si>
    <t>Oxygen limitation and thermal tolerance in two terrestrial arthropod species</t>
  </si>
  <si>
    <t>CTmax; CTmin; hyperoxia; hypoxia</t>
  </si>
  <si>
    <t>TEMPERATURE-DEPENDENT BIOGEOGRAPHY; SUB-ANTARCTIC CATERPILLAR; PRINGLEOPHAGA-MARIONI; MUSCLE POTENTIALS; CLIMATE-CHANGE; LIMITS DEPEND; RESPIROMETRY; DROSOPHILA; ADAPTATIONS; PLASTICITY</t>
  </si>
  <si>
    <t>Recent studies of marine invertebrates and fish have suggested that lower and upper critical temperatures (CTmin and CTmax) are coupled by a common mechanism: oxygen and capacity limitation of thermal tolerance (OCLT). Using thermolimit respirometry, we tested the predictions of this theory for terrestrial arthropods by measuring maxima and minima for both critical temperatures and metabolic rate in two arthropods, the isopod Porcellio scaber and the beetle Tenebrio molitor, at 40%, 21%, 10% and 2.5% ambient O-2. Critical temperatures were identified as particular points on both activity and (V)over dot(CO2) traces in four ways. In the first two instances, we identified the inflection points in regressions of absolute difference sum (ADS) residuals calculated for activity (aADS) and (V)over dot(CO2) (VI), respectively. In the third, we visually identified the lowest point before the post-mortal peak in CO2 release (PMV). Finally, we pinpointed the sudden drop in (V)over dot(CO2) at death, where (V)over dot(CO2) fell outside the 95% confidence intervals of the 5 min period immediately preceding the drop-off (CI). Minimum and maximum metabolic rates were determined using CO2 traces, and the temperatures corresponding to these identified as T-MetMin and T-MetMax. For both species, ambient oxygen concentration did not influence CTmin, minimum metabolic rate, or T-MetMin. By contrast, severe hypoxia (2.5% O-2) caused a 6.9 degrees C decline in activity-based CTmax for T. molitor and a 10.6 degrees C decline for P. scaber, relative to normoxia (21% O-2). The magnitude of this decrease differed between methods used to estimated critical thermal limits, highlighting the need for a standard method to determine these endpoints during thermolimit respirometry. Maximum metabolic rate also declined with decreasing ambient oxygen in both species. The combination of increasing metabolic rate and oxygen limitation affected upper thermal limits in these arthropods only in severe hypoxia (2.5% O-2). In both species, CTmin and CTmax responded differently to oxygen limitation, suggesting that this is not a common mechanism coupling upper and lower limits in terrestrial arthropods.</t>
  </si>
  <si>
    <t>[Jackson, Sue; Chown, Steven L.] Univ Stellenbosch, Dept Bot &amp; Zool, Ctr Invas Biol, ZA-7602 Matieland, South Africa; [Terblanche, John S.] Univ Stellenbosch, Dept Conservat Ecol &amp; Entomol, ZA-7602 Matieland, South Africa</t>
  </si>
  <si>
    <t>Stellenbosch University; Stellenbosch University</t>
  </si>
  <si>
    <t>Jackson, S (corresponding author), Univ Stellenbosch, Dept Bot &amp; Zool, Ctr Invas Biol, Private Bag X1, ZA-7602 Matieland, South Africa.</t>
  </si>
  <si>
    <t>sjack@sun.ac.za</t>
  </si>
  <si>
    <t>Terblanche, John/AAB-4457-2020; Chown, Steven/ABD-7646-2021; Chown, Steven/H-3347-2011</t>
  </si>
  <si>
    <t>Chown, Steven/0000-0001-6069-5105; Terblanche, John/0000-0001-9665-9405</t>
  </si>
  <si>
    <t>South African National Research Foundation (NRF) [FA2004032000006]</t>
  </si>
  <si>
    <t>South African National Research Foundation (NRF)(National Research Foundation - South Africa)</t>
  </si>
  <si>
    <t>We thank Elrike Marais and Jacques Deere for their assistance, and C. J. Klok and A. Kaiser for providing us with their thermolimit macro. Erika Nortje, Henry Davids and Charlene Janion provided valuable assistance in the laboratory. The referees provided incisive and helpful reviews for which we are grateful. This work was funded by a South African National Research Foundation (NRF) grant to S.L.C. (FA2004032000006).</t>
  </si>
  <si>
    <t>10.1242/jeb.040170</t>
  </si>
  <si>
    <t>609QJ</t>
  </si>
  <si>
    <t>WOS:000278671900013</t>
  </si>
  <si>
    <t>Poutanen, M; Ivins, ER</t>
  </si>
  <si>
    <t>Poutanen, Markku; Ivins, Erik R.</t>
  </si>
  <si>
    <t>Upper mantle dynamics and quaternary climate in cratonic areas (DynaQlim)-Understanding the glacial isostatic adjustment</t>
  </si>
  <si>
    <t>JOURNAL OF GEODYNAMICS</t>
  </si>
  <si>
    <t>GIA; Crustal dynamics; Climate; Glaciation; Data combination</t>
  </si>
  <si>
    <t>LATERAL VISCOSITY VARIATIONS; ANTARCTIC ICE-SHEET; INTRAPLATE SEISMICITY; STRAIN-RATES; LAND UPLIFT; TIDE-GAUGES; EARTHQUAKES; SURFACE; GPS; GREENLAND</t>
  </si>
  <si>
    <t>A substantial material flow, deep within the solid Earth, is caused by the periodic ocean-continent water transport of the Quaternary ice ages. That lateral transport is enormous, causing 120-135 m of equivalent global sea-level rise and fall, or about 45-50 Peta tonnes (1 Peta tonne = 1018 kg) of surface mass transfer. The global manifestation of the slow mantle flow response to this surface load is glacial isostatic adjustment (CIA). Measurements of this phenomenon offer a unique opportunity to retrieve information pertaining to both the Earth's upper mantle and the changing mass of glaciers and ice sheets during the past. The waxing and waning of ice mass is driven by long-term variations in climate. DynaQlim (upper mantle dynamics and quaternary climate in cratonic areas), a regional coordination committee of the International Lithosphere Program (ILP) since 2007, is focused on studying the relations between upper mantle dynamics, its composition and physical properties, temperature, rheology, and Quaternary climate. Combining historical and modern terrestrial and space-borne geodetic observations with seismological investigations, studies of the postglacial faults and continuum mechanical modelling of CIA, the research goal of DynaQlim is to offer new insights into properties of the lithosphere and upper mantle. The joint inversion of different types of observational data is an important step toward providing a better understanding of CIA on all levels of Earth sciences. A primary regional focus of DynaQlim is the study of cratonic areas of northern Canada and Scandinavia. Greenland and Antarctica are also of great interest, as they represent observational examples of ice sheet dynamics and mass change in response to relatively strong present-day climate forcing. (C) 2010 Elsevier Ltd. All rights reserved.</t>
  </si>
  <si>
    <t>[Poutanen, Markku] Finnish Geodet Inst, Masala 02430, Finland; [Ivins, Erik R.] CALTECH, Jet Prop Lab, Pasadena, CA 91109 USA</t>
  </si>
  <si>
    <t>The National Land Survey of Finland; Finnish Geospatial Research Institute (FGI); California Institute of Technology; National Aeronautics &amp; Space Administration (NASA); NASA Jet Propulsion Laboratory (JPL)</t>
  </si>
  <si>
    <t>Poutanen, M (corresponding author), Finnish Geodet Inst, Geodeetinrinne 2, Masala 02430, Finland.</t>
  </si>
  <si>
    <t>Markku.Poutanen@fgi.fi</t>
  </si>
  <si>
    <t>Ivins, Erik R/C-2416-2011; Poutanen, Matti/I-1700-2018</t>
  </si>
  <si>
    <t>Poutanen, Markku/0000-0001-9721-0589</t>
  </si>
  <si>
    <t>DynaQlim community; Academy of Finland [120212]; NASA; Academy of Finland (AKA) [120212] Funding Source: Academy of Finland (AKA)</t>
  </si>
  <si>
    <t>DynaQlim community; Academy of Finland(Research Council of Finland); NASA(National Aeronautics &amp; Space Administration (NASA)); Academy of Finland (AKA)(Research Council of Finland)</t>
  </si>
  <si>
    <t>The authors want to thank the DynaQlim community for the support of the project and joint effort to promote the CIA related research.; The research of Markku Poutanen was partly funded by the Academy of Finland, grant 120212. The research of Erik Ivins is funded by NASA's Earth Science Program, Solid Earth and Surface Processes Focus Area at the Jet Propulsion Laboratory, California Institution of Technology.</t>
  </si>
  <si>
    <t>0264-3707</t>
  </si>
  <si>
    <t>J GEODYN</t>
  </si>
  <si>
    <t>J. Geodyn.</t>
  </si>
  <si>
    <t>SI1</t>
  </si>
  <si>
    <t>10.1016/j.jog.2010.01.014</t>
  </si>
  <si>
    <t>604OC</t>
  </si>
  <si>
    <t>WOS:000278287400002</t>
  </si>
  <si>
    <t>Ferrari, R; Nikurashin, M</t>
  </si>
  <si>
    <t>Ferrari, Raffaele; Nikurashin, Maxim</t>
  </si>
  <si>
    <t>Suppression of Eddy Diffusivity across Jets in the Southern Ocean</t>
  </si>
  <si>
    <t>ANTARCTIC CIRCUMPOLAR CURRENT; HEAT FLUXES; TRANSPORT; DYNAMICS; PERMEABILITY; COEFFICIENTS; TROPOSPHERE; EXCHANGE; EDDIES; MODELS</t>
  </si>
  <si>
    <t>Geostrophic eddies control the meridional mixing of heat, carbon, and other climatically important tracers in the Southern Ocean. The rate of eddy mixing is typically quantified through an eddy diffusivity. There is an ongoing debate as to whether eddy mixing in enhanced in the core of the Antarctic Circumpolar Current or on its flanks. A simple expression is derived that predicts the rate of eddy mixing, that is, the eddy diffusivity, as a function of eddy and mean current statistics. This novel expression predicts suppression of the cross-jet eddy diffusivity in the core of the Antarctic Circumpolar Current, despite enhanced values of eddy kinetic energy. The expression is qualitatively and quantitatively validated by independent estimates of eddy mixing from altimetry observations. This work suggests that the meridional eddy diffusivity across the Antarctic Circumpolar Current is weaker than presently assumed because of the suppression of eddy mixing by the strong zonal current.</t>
  </si>
  <si>
    <t>[Ferrari, Raffaele; Nikurashin, Maxim] MIT, Cambridge, MA 02139 USA</t>
  </si>
  <si>
    <t>Massachusetts Institute of Technology (MIT)</t>
  </si>
  <si>
    <t>Ferrari, R (corresponding author), MIT, 77 Massachusetts Ave, Cambridge, MA 02139 USA.</t>
  </si>
  <si>
    <t>rferrari@mit.edu</t>
  </si>
  <si>
    <t>Nikurashin, Maxim/P-4018-2019; Ferrari, Raffaele/C-9337-2013; Nikurashin, Maxim/J-3506-2013</t>
  </si>
  <si>
    <t>Ferrari, Raffaele/0000-0002-3736-1956; Nikurashin, Maxim/0000-0002-5714-8343</t>
  </si>
  <si>
    <t>NSF [OCE-0825376]; Division Of Ocean Sciences; Directorate For Geosciences [0825376] Funding Source: National Science Foundation</t>
  </si>
  <si>
    <t>NSF(National Science Foundation (NSF)); Division Of Ocean Sciences; Directorate For Geosciences(National Science Foundation (NSF)NSF - Directorate for Geosciences (GEO))</t>
  </si>
  <si>
    <t>Discussions with P. Cessi, G. Flierl, J. Marshall, and A. Plumb greatly contributed to the improvement of this paper. We also acknowledge the support of NSF through Award OCE-0825376.</t>
  </si>
  <si>
    <t>10.1175/2010JPO4278.1</t>
  </si>
  <si>
    <t>638MP</t>
  </si>
  <si>
    <t>WOS:000280899300005</t>
  </si>
  <si>
    <t>Wolfe, CL; Cessi, P</t>
  </si>
  <si>
    <t>Wolfe, Christopher L.; Cessi, Paola</t>
  </si>
  <si>
    <t>What Sets the Strength of the Middepth Stratification and Overturning Circulation in Eddying Ocean Models?</t>
  </si>
  <si>
    <t>LARGE-SCALE CIRCULATION; ANTARCTIC CIRCUMPOLAR CURRENT; SOUTHERN-OCEAN; DIAPYCNAL DIFFUSION; POTENTIAL VORTICITY; ABYSSAL OCEAN; WIND; THERMOCLINE; TRANSPORT; EDDIES</t>
  </si>
  <si>
    <t>The processes maintaining stratification in the oceanic middepth (between approximately 1000 and 3000 m) are explored using an eddy-resolving general circulation model composed of a two-hemisphere, semienclosed basin with a zonal reentrant channel in the southernmost eighth of the domain. The middepth region lies below the wind-driven main thermocline but above the diffusively driven abyssal ocean. Here, it is argued that middepth stratification is determined primarily in the model's Antarctic Circumpolar Current. Competition between mean and eddy overturning in the channel leads to steeper isotherms and thus deeper stratification throughout the basin than would exist without the channel. Isotherms that outcrop only in the channel are nearly horizontal in the semienclosed portion of the domain, whereas isotherms that also outcrop in the Northern Hemisphere deviate from horizontal and are accompanied by geostrophically balanced meridional transport. A northern source of deep water (water with temperatures in the range of those in the channel) leads to the formation of a thick middepth thermostad. Changes in wind forcing over the channel influence the stratification throughout the domain. Since the middepth stratification is controlled by adiabatic dynamics in the channel, it becomes independent of the interior diffusivity kappa as kappa -&gt; 0. The meridional overturning circulation (MOC), as diagnosed by the mean meridional volume transport, also shows a tendency to become independent of kappa as kappa -&gt; 0, whereas the MOC diagnosed by water mass transport shows a continuing dependence on kappa as kappa -&gt; 0. A nonlocal scaling for MOC is developed that relates the strength of the northern MOC to the depth of isotherms in the southern channel. The results of this paper compare favorably to observations of large-scale neutral density in the World Ocean.</t>
  </si>
  <si>
    <t>[Wolfe, Christopher L.; Cessi, Paola] Univ Calif San Diego, Scripps Inst Oceanog, La Jolla, CA 92093 USA</t>
  </si>
  <si>
    <t>University of California System; University of California San Diego; Scripps Institution of Oceanography</t>
  </si>
  <si>
    <t>Wolfe, CL (corresponding author), Univ Calif San Diego, Scripps Inst Oceanog, 9500 Gilman Dr, La Jolla, CA 92093 USA.</t>
  </si>
  <si>
    <t>clwolfe@ucsd.edu</t>
  </si>
  <si>
    <t>Pitt Wolfe, Christopher/0000-0002-7062-2070</t>
  </si>
  <si>
    <t>U.S. Department of Energy Office of Science (BER) [DE-FG02-01ER63252]</t>
  </si>
  <si>
    <t>U.S. Department of Energy Office of Science (BER)(United States Department of Energy (DOE))</t>
  </si>
  <si>
    <t>Our research is supported by the U.S. Department of Energy Office of Science (BER) Grant DE-FG02-01ER63252. Computational resources were provided by the Argonne Leadership Computing Facility and the National Center for Computational Sciences through INCITE, the National Energy Research Center through SciDAC, and the San Diego Supercomputer Center through the CyberInfrastructure Partnership.</t>
  </si>
  <si>
    <t>10.1175/2010JPO4393.1</t>
  </si>
  <si>
    <t>WOS:000280899300006</t>
  </si>
  <si>
    <t>Farneti, R; Delworth, TL; Rosati, AJ; Griffies, SM; Zeng, FR</t>
  </si>
  <si>
    <t>Farneti, Riccardo; Delworth, Thomas L.; Rosati, Anthony J.; Griffies, Stephen M.; Zeng, Fanrong</t>
  </si>
  <si>
    <t>The Role of Mesoscale Eddies in the Rectification of the Southern Ocean Response to Climate Change</t>
  </si>
  <si>
    <t>ANTARCTIC CIRCUMPOLAR CURRENT; EDDY TRANSFER; CIRCULATION; TRANSPORT; SIMULATION; MODELS; WIND; RESOLUTION; STRATIFICATION; VARIABILITY</t>
  </si>
  <si>
    <t>Simulations from a fine-resolution global coupled model, the Geophysical Fluid Dynamics Laboratory Climate Model, version 2.4 (CM2.4), are presented, and the results are compared with a coarse version of the same coupled model, CM2.1, under idealized climate change scenarios. A particular focus is given to the dynamical response of the Southern Ocean and the role played by the eddies-parameterized or permitted-in setting the residual circulation and meridional density structure. Compared to the case in which eddies are parameterized and consistent with recent observational and idealized modeling studies, the eddy-permitting integrations of CM2.4 show that eddy activity is greatly energized with increasing mechanical and buoyancy forcings, buffering the ocean to atmospheric changes, and the magnitude of the residual oceanic circulation response is thus greatly reduced. Although compensation is far from being perfect, changes in poleward eddy fluxes partially compensate for the enhanced equatorward Ekman transport, leading to weak modifications in local isopycnal slopes, transport by the Antarctic Circumpolar Current, and overturning circulation. Since the presence of active ocean eddy dynamics buffers the oceanic response to atmospheric changes, the associated atmospheric response to those reduced ocean changes is also weakened. Further, it is hypothesized that present numerical approaches for the parameterization of eddy-induced transports could be too restrictive and prevent coarse-resolution models from faithfully representing the eddy response to variability and change in the forcing fields.</t>
  </si>
  <si>
    <t>[Farneti, Riccardo] Princeton Univ, Atmospher &amp; Ocean Sci Program, Princeton, NJ 08542 USA; [Delworth, Thomas L.; Rosati, Anthony J.; Griffies, Stephen M.; Zeng, Fanrong] NOAA, Geophys Fluid Dynam Lab, Princeton, NJ USA</t>
  </si>
  <si>
    <t>National Oceanic Atmospheric Admin (NOAA) - USA; Princeton University; National Oceanic Atmospheric Admin (NOAA) - USA</t>
  </si>
  <si>
    <t>Farneti, R (corresponding author), Princeton Univ, GFDL AOS Program, 201 Forrestal Rd, Princeton, NJ 08542 USA.</t>
  </si>
  <si>
    <t>riccardo.farneti@noaa.gov</t>
  </si>
  <si>
    <t>Griffies, Stephen Matthew/N-9144-2019; Farneti, Riccardo/B-5183-2011; Delworth, Thomas/C-5191-2014</t>
  </si>
  <si>
    <t>Griffies, Stephen Matthew/0000-0002-3711-236X; Farneti, Riccardo/0000-0001-7781-6436; Delworth, Thomas/0000-0003-4865-5391</t>
  </si>
  <si>
    <t>10.1175/2010JPO4353.1</t>
  </si>
  <si>
    <t>WOS:000280899300007</t>
  </si>
  <si>
    <t>Sloyan, BM; Talley, LD; Chereskin, TK; Fine, R; Holte, J</t>
  </si>
  <si>
    <t>Sloyan, Bernadette M.; Talley, Lynne D.; Chereskin, Teresa K.; Fine, Rana; Holte, James</t>
  </si>
  <si>
    <t>Antarctic Intermediate Water and Subantarctic Mode Water Formation in the Southeast Pacific: The Role of Turbulent Mixing</t>
  </si>
  <si>
    <t>DECADAL CHANGES; ENERGY FLUX; OCEAN; WIND; TEMPERATURE; CIRCULATION; TRANSPORT; OVERTURNS; THORPE; SCALES</t>
  </si>
  <si>
    <t>During the 2005 austral winter (late August-early October) and 2006 austral summer (February-mid-March) two intensive hydrographic surveys of the southeast Pacific sector of the Southern Ocean were completed. In this study the turbulent kinetic energy dissipation rate epsilon, diapycnal diffusivity kappa, and buoyancy flux J(b) are estimated from the CTD/O-2 and XCTD profiles for each survey. Enhanced kappa of O(10(-3) to 10(-4) m(2) s(-1)) is found near the Subantarctic Front (SAF) during both surveys. During the winter survey, enhanced kappa was also observed north of the subduction front,'' the northern boundary of the winter deep mixed layer north of the SAF. In contrast, the summer survey found enhanced kappa across the entire region north of the SAF below the shallow seasonal mixed layer. The enhanced kappa below the mixed layer decays rapidly with depth. A number of ocean processes are considered that may provide the energy flux necessary to support the observed diffusivity. The observed buoyancy flux (4.0 x 10(-8) m(2) s(-3)) surrounding the SAF during the summer survey is comparable to the mean buoyancy flux (0.57 x 10(-8) m(2) s(-3)) associated with the change in the interior stratification between austral summer and autumn, determined from Argo profiles. The authors suggest that reduced ocean stratification during austral summer and autumn, by interior mixing, preconditions the water column for the rapid development of deep mixed layers and efficient Antarctic Intermediate Water and Subantarctic Mode Water formation during austral winter and early spring.</t>
  </si>
  <si>
    <t>[Sloyan, Bernadette M.] CSIRO, Ctr Australian Weather &amp; Climate Res, Hobart, Tas, Australia; [Sloyan, Bernadette M.] CSIRO Wealth Oceans Natl Res Flagships, Hobart, Tas, Australia; [Talley, Lynne D.; Chereskin, Teresa K.; Holte, James] Univ Calif San Diego, Scripps Inst Oceanog, La Jolla, CA 92093 USA; [Fine, Rana] Univ Miami, Rosenstiel Sch Marine &amp; Atmospher Sci, Miami, FL 33149 USA</t>
  </si>
  <si>
    <t>Commonwealth Scientific &amp; Industrial Research Organisation (CSIRO); Commonwealth Scientific &amp; Industrial Research Organisation (CSIRO); University of California System; University of California San Diego; Scripps Institution of Oceanography; University of Miami</t>
  </si>
  <si>
    <t>Sloyan, BM (corresponding author), CSIRO Marine &amp; Atmospher Res, GPO 1538, Hobart, Tas 7001, Australia.</t>
  </si>
  <si>
    <t>bernadette.sloyan@csiro.au</t>
  </si>
  <si>
    <t>Sloyan, Bernadette/N-8989-2014</t>
  </si>
  <si>
    <t>Sloyan, Bernadette/0000-0003-0250-0167; Talley, Lynne/0000-0003-1574-729X; Chereskin, Teresa/0000-0003-1214-0978</t>
  </si>
  <si>
    <t>CSIRO Wealth from Oceans Flagship; Australian Climate Change Science Program; National Science Foundation [OCE-0327544, OCE-0424774]</t>
  </si>
  <si>
    <t>CSIRO Wealth from Oceans Flagship(Commonwealth Scientific &amp; Industrial Research Organisation (CSIRO)); Australian Climate Change Science Program; National Science Foundation(National Science Foundation (NSF))</t>
  </si>
  <si>
    <t>This paper is a contribution to the CSIRO Climate Change Research Program. BMS was funded by CSIRO Wealth from Oceans Flagship and the Australian Climate Change Science Program. We are grateful to the National Science Foundation for support of this work under NSF Grants OCE-0327544 (LDT, TKC, and JH) and OCE-0424774 (RF). We thank the captain and crew of the R/V Knorr and the SIO Oceano-graphic Data Facility for their excellent technical and logistical support during the surveys. Laura Herraiz Borreguero provided quality-controlled Argo data used in this study. Jules Hummon and Eric Firing gave advice and support for the ADCP data collection. Discussions with Trevor McDougall, Kurt Polzin, and Alberto Naviera Garabato and comments from Eric Firing and the reviewers were helpful.</t>
  </si>
  <si>
    <t>10.1175/2010JPO4114.1</t>
  </si>
  <si>
    <t>WOS:000280899300008</t>
  </si>
  <si>
    <t>Treguier, AM; Le Sommer, J; Molines, JM; de Cuevas, B</t>
  </si>
  <si>
    <t>Treguier, A. M.; Le Sommer, J.; Molines, J. M.; de Cuevas, B.</t>
  </si>
  <si>
    <t>Response of the Southern Ocean to the Southern Annular Mode: Interannual Variability and Multidecadal Trend</t>
  </si>
  <si>
    <t>ANTARCTIC CIRCUMPOLAR CURRENT; RESOLUTION; CIRCULATION; TRANSPORT; SCHEMES; CHANNEL; EDDIES; IMPACT; WINDS</t>
  </si>
  <si>
    <t>The authors evaluate the response of the Southern Ocean to the variability and multidecadal trend of the southern annular mode (SAM) from 1972 to 2001 in a global eddy-permitting model of the DRAKKAR project. The transport of the Antarctic Circumpolar Current (ACC) is correlated with the SAM at interannual time scales but exhibits a drift because of the thermodynamic adjustment of the model (the ACC transport decreases because of a low renewal rate of dense waters around Antarctica). The interannual variability of the eddy kinetic energy (EKE) and the ACC transport are uncorrelated, but the EKE decreases like the ACC transport over the three decades, even though meridional eddy fluxes of heat and buoyancy remain stable. The contribution of oceanic eddies to meridional transports is an important issue because a growth of the poleward eddy transport could, in theory, oppose the increase of the mean overturning circulation forced by the SAM. In the authors' model, the total meridional circulation at 50 degrees S is well correlated with the SAM index (and the Ekman transport) at interannual time scales, and both increase over three decades between 1972 and 2001. However, given the long-term drift, no SAM-linked trend in the eddy contribution to the meridional overturning circulation is detectable. The increase of the meridional overturning is due to the time-mean component and is compensated by an increased buoyancy gain at the surface. The authors emphasize that the meridional circulation does not vary in a simple relationship with the zonal circulation. The model solution points out that the zonal circulation and the eddy kinetic energy are governed by different mechanisms according to the time scale considered (interannual or decadal).</t>
  </si>
  <si>
    <t>[Treguier, A. M.] CNRS IRD IFREMER UBO, Lab Phys Oceans, UMR 6523, F-29280 Plouzane, France; [Le Sommer, J.; Molines, J. M.] UJF, LEGI, CNRS, INPG, Grenoble, France; [de Cuevas, B.] Natl Oceanog Ctr, Southampton, Hants, England</t>
  </si>
  <si>
    <t>Centre National de la Recherche Scientifique (CNRS); CNRS - National Institute for Earth Sciences &amp; Astronomy (INSU); Universite de Bretagne Occidentale; Ifremer; Institut de Recherche pour le Developpement (IRD); Communaute Universite Grenoble Alpes; Institut National Polytechnique de Grenoble; Universite Grenoble Alpes (UGA); Centre National de la Recherche Scientifique (CNRS); NERC National Oceanography Centre</t>
  </si>
  <si>
    <t>Treguier, AM (corresponding author), CNRS IRD IFREMER UBO, Lab Phys Oceans, UMR 6523, BP 70, F-29280 Plouzane, France.</t>
  </si>
  <si>
    <t>treguier@ifremer.fr</t>
  </si>
  <si>
    <t>Le Sommer, Julien/ABG-8801-2021; Treguier, Anne Marie/B-7497-2009</t>
  </si>
  <si>
    <t>Le Sommer, Julien/0000-0002-6882-2938; Treguier, Anne Marie/0000-0003-4569-845X</t>
  </si>
  <si>
    <t>CNRS; U.K. Natural Environmental Research Council; NERC [noc010010, noc010005] Funding Source: UKRI; Natural Environment Research Council [noc010005, noc010010] Funding Source: researchfish</t>
  </si>
  <si>
    <t>CNRS(Centre National de la Recherche Scientifique (CNRS)); U.K. 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</si>
  <si>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is part of the DRAKKAR project and benefited from numerical simulations carried out in France on two computing centers of GENCI (Grand Equipement National de Calcul Intensif), IDRIS in Orsay and CINES in Montpellier. It also benefited from simulations using the U.K. National Supercomputing Service, HECToR in Edinburgh. Authors A. M. Treguier, J. Le Sommer, and J. M. Molines are supported by CNRS; B. De Cuevas is supported by the U.K. Natural Environmental Research Council. We thank Julie Deshayes for suggesting improvements of the manuscript.</t>
  </si>
  <si>
    <t>10.1175/2010JPO4364.1</t>
  </si>
  <si>
    <t>WOS:000280899300015</t>
  </si>
  <si>
    <t>Gomi, Y; Fukuchi, M; Taniguchi, A</t>
  </si>
  <si>
    <t>Gomi, Yasushi; Fukuchi, Mitsuo; Taniguchi, Akira</t>
  </si>
  <si>
    <t>Diatom assemblages at subsurface chlorophyll maximum layer in the eastern Indian sector of the Southern Ocean in summer</t>
  </si>
  <si>
    <t>subsurface chlorophyll maximum; diatom assemblage; species composition; Southern Ocean; spatial-temporal variation</t>
  </si>
  <si>
    <t>COMMUNITY STRUCTURE; ATLANTIC SECTOR; PHYTOPLANKTON COMMUNITY; VERTICAL-DISTRIBUTION; SPECIES COMPOSITION; ANTARCTIC WATERS; WEDDELL-SEA; BIOMASS; VARIABILITY; AUSTRALIA</t>
  </si>
  <si>
    <t>We examined and compared species composition of the diatom assemblages in the surface mixed layer and subsurface chlorophyll maximum (SCM) layer in the eastern Indian Sector of the Southern Ocean during the summers of 2002 and 2003. In both years, the SCM formed below the mixed layer and within the temperature minimum layer. Among all diatom taxa (56 species and 10 generic groups) identified, 13 were classified as dominant taxa and they had wide variable cell sizes. This makes the SCM a widely available foraging site for a variety of grazers of different sizes. Bray-Curtis similarity index indicated that species composition of the assemblages was similar in the mixed layer and in the SCM at most stations. Cluster analysis revealed that three assemblages in the SCM detected in 2003 were clearly different from those from a single SCM assemblage in 2002. Comparisons among data from this and previous studies suggest that there are no unique SCM assemblages in the area, and that assemblages in the SCM have high regional and interannual variability in species composition, which would cause their availability for various grazers to be variable.</t>
  </si>
  <si>
    <t>[Gomi, Yasushi; Taniguchi, Akira] Tohoku Univ, Sch Agr Sci, Sendai, Miyagi 9818555, Japan; [Fukuchi, Mitsuo] Natl Inst Polar Res, Itabashi Ku, Tokyo 1738515, Japan</t>
  </si>
  <si>
    <t>Tohoku University; Research Organization of Information &amp; Systems (ROIS); National Institute of Polar Research (NIPR) - Japan</t>
  </si>
  <si>
    <t>Gomi, Y (corresponding author), Seikai Natl Fisheries Res Inst, 1551-8 Taira Machi, Nagasaki 8512213, Japan.</t>
  </si>
  <si>
    <t>ygomi53@affrc.go.jp</t>
  </si>
  <si>
    <t>national Japanese Antarctic Research Program (Ministry of Education, Culture, Sports, Science and Technology); Japan Society for the Promotion of Science [16101001]; Grants-in-Aid for Scientific Research [16101001] Funding Source: KAKEN</t>
  </si>
  <si>
    <t>national Japanese Antarctic Research Program (Ministry of Education, Culture, Sports, Science and Technology)(Ministry of Education, Culture, Sports, Science and Technology, Japan (MEXT));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</si>
  <si>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by the national Japanese Antarctic Research Program (Ministry of Education, Culture, Sports, Science and Technology); and the Grant-in- Aid for Scientific Research (S) (KAKENHI) by Japan Society for the Promotion of Science (Grant #: 16101001).</t>
  </si>
  <si>
    <t>10.1093/plankt/fbq031</t>
  </si>
  <si>
    <t>606RC</t>
  </si>
  <si>
    <t>WOS:000278443900006</t>
  </si>
  <si>
    <t>Castello, M</t>
  </si>
  <si>
    <t>Castello, M.</t>
  </si>
  <si>
    <t>Notes on the lichen genus Rhizoplaca from continental Antarctica and on some other species from northern Victoria Land</t>
  </si>
  <si>
    <t>LICHENOLOGIST</t>
  </si>
  <si>
    <t>Buellia; Caloplaca; flora; Omphalodina; taxonomy; Tephromela</t>
  </si>
  <si>
    <t>SOUTH GEORGIA; ADDITIONS; VEGETATION; FLORA</t>
  </si>
  <si>
    <t>Five taxa of the genera Omphalodina and Rhizoplaca known from continental Antarctica are reassessed in order to identify a remarkable species collected from northern Victoria Land, for which the new combination Rhizoplaca macleanii (C.W. Dodge) Castello is proposed here. This poorly known species is known only from continental Antarctica. Two synonyms are discussed: Omphalodina exsulans (Th. Fr.) C. W. Dodge and O. siplei (C. W. Dodge &amp; G. E. Baker) C. W. Dodge are synonyms of Rhizoplaca melanophthahna (DC.) Leuckert &amp; Poelt. The correct name of another species is Tephromela priestleyi (C. W. Dodge) Ovstedal. The name O. johnstonii (C. W. Dodge) C. W. Dodge should be abandoned, type material being too scanty for a reliable identification. A contribution to the flora of the Terra Nova Bay area (northern Victoria Land) is provided, with two additional species, including Buellia vilis Th. Fr. new to Antarctic regions, and two nomenclatural corrections.</t>
  </si>
  <si>
    <t>Univ Trieste, Dept Life Sci, I-34127 Trieste, Italy</t>
  </si>
  <si>
    <t>University of Trieste</t>
  </si>
  <si>
    <t>Castello, M (corresponding author), Univ Trieste, Dept Life Sci, Via Giorgieri 10, I-34127 Trieste, Italy.</t>
  </si>
  <si>
    <t>castello@units.it</t>
  </si>
  <si>
    <t>CASTELLO, Miris/0000-0002-5081-0365</t>
  </si>
  <si>
    <t>Italian National Antarctic Research Programme (PNRA); Italian National Museum of Antarctica (MNA)</t>
  </si>
  <si>
    <t>I wish to dedicate this work to B. D. Ryan whose notes guided the direction of this research. I thank the Curators of the involved herbaria, in particular Holger Thus (BM) for his kind help and the pictures of type material of Tephromela priestleyi, Anders Nordin for valuable information on revisions of type material of Omphalodina exsulans and FH for the loan of material from Dodge's herbarium. I thank two referees for helpful comments and linguistic corrections of the manuscript. This work was supported by the Italian National Antarctic Research Programme (PNRA) and the Italian National Museum of Antarctica (MNA).</t>
  </si>
  <si>
    <t>EDINBURGH BLDG, SHAFTESBURY RD, CB2 8RU CAMBRIDGE, ENGLAND</t>
  </si>
  <si>
    <t>0024-2829</t>
  </si>
  <si>
    <t>1096-1135</t>
  </si>
  <si>
    <t>Lichenologist</t>
  </si>
  <si>
    <t>10.1017/S0024282909990740</t>
  </si>
  <si>
    <t>Plant Sciences; Mycology</t>
  </si>
  <si>
    <t>619PO</t>
  </si>
  <si>
    <t>WOS:000279442300011</t>
  </si>
  <si>
    <t>Hart, T; Mann, R; Coulson, T; Pettorelli, N; Trathan, P</t>
  </si>
  <si>
    <t>Hart, Tom; Mann, Richard; Coulson, Tim; Pettorelli, Nathalie; Trathan, Phil</t>
  </si>
  <si>
    <t>Behavioural switching in a central place forager: patterns of diving behaviour in the macaroni penguin (Eudyptes chrysolophus)</t>
  </si>
  <si>
    <t>BIRD ISLAND; PREY; VARIABILITY; DEVICES; DEPTH; TIME; DIET</t>
  </si>
  <si>
    <t>Recording the activity of animals as they migrate or forage has proven hugely advantageous to understanding how animals use their environment. Where animals cannot be directly observed, the problem remains of how to identify distinct behaviours that represent an animal's decision-making process. An excellent example of this problem is that of foraging penguins, which travel to sea to find prey to provision their young. Without direct sampling of the prey field, we cannot calibrate patterns of movement with prey capture, and therefore we cannot determine how different activities link to decision-making. To overcome this, we use a hidden markov model (HMM), which is a machine-learning technique that seeks to identify the underlying states of a system from observable outputs. We apply HMM to determine classes of behaviour from repetitive dives. We take dive data from 103 breeding macaroni penguins at Bird Island, South Georgia, for which we have measures of weight gain over a trip. We identify two classes of behaviour; those of short-shallow and long-deep dives. Using these two behaviours, we calculate the transition probabilities between these states and analyse these data to determine what predicts variation in the transition probabilities. We found that the stage of reproduction during a season, the sex and year of an individual influenced the probability of transition between long-deep and short-shallow sequential dives. We also found differences in the hourly transition rates between the four reproductive stages (incubation, broodguard, crSche and premoult) over a daily cycle. We conclude that this application of HMMs for behavioural switching is potentially useful for other species and other types of recorded behaviour.</t>
  </si>
  <si>
    <t>[Hart, Tom; Pettorelli, Nathalie] Zool Soc London, Inst Zool, London NW1 4RY, England; [Hart, Tom; Coulson, Tim] Univ London Imperial Coll Sci Technol &amp; Med, Ascot SL5 7PY, Berks, England; [Hart, Tom; Trathan, Phil] British Antarctic Survey, Cambridge CB3 0ET, England; [Mann, Richard] Pattern Anal &amp; Machine Learning Res Grp, Dept Engn Sci, Oxford OX1 3PJ, England; [Mann, Richard] Univ Oxford, Dept Zool, Anim Behav Res Grp, Oxford OX1 3PS, England</t>
  </si>
  <si>
    <t>Zoological Society of London; Imperial College London; UK Research &amp; Innovation (UKRI); Natural Environment Research Council (NERC); NERC British Antarctic Survey; University of Oxford; University of Oxford</t>
  </si>
  <si>
    <t>Hart, T (corresponding author), Zool Soc London, Inst Zool, Regents Pk, London NW1 4RY, England.</t>
  </si>
  <si>
    <t>tom.hart@ioz.ac.uk</t>
  </si>
  <si>
    <t>Coulson, Tim/AAL-8148-2021; Pettorelli, Nathalie/AAW-8438-2021; Mann, Richard/N-9779-2014</t>
  </si>
  <si>
    <t>Coulson, Tim/0000-0001-9371-9003; Mann, Richard/0000-0003-0701-1274; Pettorelli, Nathalie/0000-0002-1594-6208</t>
  </si>
  <si>
    <t>Biotechnology and Biological Sciences Research Council; British Antarctic Survey; Natural Environment Research Council [bas0100025] Funding Source: researchfish; NERC [bas0100025] Funding Source: UKRI</t>
  </si>
  <si>
    <t>Biotechnology and Biological Sciences Research Council(UK Research &amp; Innovation (UKRI)Biotechnology and Biological Sciences Research Council (BBSRC)); British Antarctic Survey; Natural Environment Research Council(UK Research &amp; Innovation (UKRI)Natural Environment Research Council (NERC)); NERC(UK Research &amp; Innovation (UKRI)Natural Environment Research Council (NERC))</t>
  </si>
  <si>
    <t>This work was funded by a Biotechnology and Biological Sciences Research Council studentship and by the British Antarctic Survey under the Ecosystems core science programme. The authors gratefully acknowledge the help of Jane Tanton and Chris Green for data collection. Stephen Roberts provided code to apply the HMM algorithm to tag data. Alison Beresford gave comments on the manuscript. Jaume Forcada provided support with General Additive Models, and Owen Jones provided useful discussion on sub-sampling data and data manipulation in R. Although the provisions of the Animals (Scientific Procedures) Act 1986 do not apply to South Georgia, BAS endeavours to follow the Act as closely as possible. All procedure on animals complied with the Scientific Committee of Antarctic Research (SCAR) Code of Conduct for Use of Animals for Scientific Purposes in Antarctica (2006).</t>
  </si>
  <si>
    <t>10.1007/s00227-010-1428-2</t>
  </si>
  <si>
    <t>611RE</t>
  </si>
  <si>
    <t>WOS:000278837600010</t>
  </si>
  <si>
    <t>Asteroid crater under the Timor Sea connected to Antarctic ice sheet formation</t>
  </si>
  <si>
    <t>624YG</t>
  </si>
  <si>
    <t>WOS:000279857600009</t>
  </si>
  <si>
    <t>Ivanova, MA; Lorenz, CA; Nazarov, MA; Brandstaetter, F; Franchi, IA; Moroz, LV; Clayton, RN; Bychkov, AY</t>
  </si>
  <si>
    <t>Ivanova, Marina A.; Lorenz, Cyrill A.; Nazarov, Mikhail A.; Brandstaetter, Franz; Franchi, Ian A.; Moroz, Lyuba V.; Clayton, Robert N.; Bychkov, Andrew Yu.</t>
  </si>
  <si>
    <t>Dhofar 225 and Dhofar 735: Relationship to CM2 chondrites and metamorphosed carbonaceous chondrites, Belgica-7904 and Yamato-86720</t>
  </si>
  <si>
    <t>METEORITICAL BULLETIN; OXYGEN-ISOTOPE; ASSEMBLAGES; MATRIX</t>
  </si>
  <si>
    <t>Dhofar (Dho) 225 and Dho 735 are carbonaceous chondrites found in a hot desert and having affinities to Belgica-like Antarctic chondrites (Belgica [B-] 7904 and Yamato [Y-] 86720). Texturally they resemble CM2 chondrites, but differ in mineralogy, bulk chemistry and oxygen isotopic compositions. The texture and main mineralogy of Dho 225 and Dho 735 are similar to the CM2 chondrites, but unlike CM2 chondrites they do not contain any (P, Cr)-sulfides, nor tochilinite 6Fe(0.9)S*5(Fe,Mg)(OH)(2). H2O-contents of Dho 225 and Dho 735 (1.76 and 1.06 wt%) are lower than those of CM2 chondrites (2-18 wt%), but similar to those in the metamorphosed carbonaceous chondrites of the Belgica-like group. Bulk compositions of Dho 225 and Dho 735, as well as their matrices, have low Fe and S and low Fe/Si ratios relative to CM2 chondrites. X-ray powder diffraction patterns of the Dho 225 and Dho 735 matrices showed similarities to laboratory-heated Murchison CM2 chondrite and the transformation of serpentine to olivine. Dho 225 and 735's oxygen isotopic compositions are in the high 18O range on the oxygen diagram, close to the Belgica-like meteorites. This differs from the oxygen isotopic compositions of typical CM2 chondrites. Experimental results showed that the oxygen isotopic compositions of Dho 225 and Dhofar 725, could not be derived from those of typical CM2 chondrites via dehydration caused by thermal metamorphism. Dho 225 and Dho 735 may represent a group of chondrites whose primary material was different from typical CM2 chondrites and the Belgica-like meteorites, but they formed in an oxygen reservoir similar to that of the Belgica-like meteorites.</t>
  </si>
  <si>
    <t>[Ivanova, Marina A.; Lorenz, Cyrill A.; Nazarov, Mikhail A.] Russian Acad Sci, Vernadsky Inst, Moscow, Russia; [Brandstaetter, Franz] Nat Hist Museum, A-1014 Vienna, Austria; [Franchi, Ian A.] Open Univ, Milton Keynes MK7 6AA, Bucks, England; [Moroz, Lyuba V.] Univ Munster, Inst Planetol, D-48149 Munster, Germany; [Moroz, Lyuba V.] German Aerosp Ctr, Inst Planetary Res, D-12489 Berlin, Germany; [Clayton, Robert N.] Univ Chicago, Enrico Fermi Inst, Chicago, IL 60637 USA; [Bychkov, Andrew Yu.] Moscow MV Lomonosov State Univ, Moscow 119992, Russia</t>
  </si>
  <si>
    <t>Russian Academy of Sciences; Vernadsky Institute of Geochemistry &amp; Analytical Chemistry; Open University - UK; University of Munster; Helmholtz Association; German Aerospace Centre (DLR); University of Chicago; Lomonosov Moscow State University</t>
  </si>
  <si>
    <t>Ivanova, MA (corresponding author), Russian Acad Sci, Vernadsky Inst, Moscow, Russia.</t>
  </si>
  <si>
    <t>meteorite2000@mail.ru</t>
  </si>
  <si>
    <t>Bychkov, Andrey/R-6693-2016; Lorenz, Cyril/U-1783-2017</t>
  </si>
  <si>
    <t>Bychkov, Andrey/0000-0003-2560-6423; Lorenz, Cyril/0000-0002-7826-3287</t>
  </si>
  <si>
    <t>RFBR-BSTS [N14/04, 03-05-20008]; Austrian Academy of Sciences (FWF, Austria); PPARC, UK; Russian Academy of Sciences [18]; STFC [ST/F003102/1] Funding Source: UKRI; Science and Technology Facilities Council [ST/F003102/1] Funding Source: researchfish</t>
  </si>
  <si>
    <t>RFBR-BSTS; Austrian Academy of Sciences (FWF, Austria)(Austrian Science Fund (FWF)); PPARC, UK; Russian Academy of Sciences(Russian Academy of Sciences); STFC(UK Research &amp; Innovation (UKRI)Science &amp; Technology Facilities Council (STFC)); Science and Technology Facilities Council(UK Research &amp; Innovation (UKRI)Science &amp; Technology Facilities Council (STFC))</t>
  </si>
  <si>
    <t>We thank L. D. Barsukova, I. A. Roshchina and S. Galuzinskaya for their assistance in determination of bulk chemical compositions of Dho 225 and Dho 735. We also thank Theodoras Ntaflos for his assistance in microprobe analyses, as well as Martin Schmidt, Ulrich Schade, and Alexander Firsov for their assistance in SIRM analyses. We thank Michael Weisberg, Michael Zolensky, anonymous author, Jon Friedrich, Alan Rubin, and associate editor Cyrena Goodrich for their fruitful reviews and discussion, which led to improvement of the paper. This work was supported by grant RFBR-BSTS (projects N14/04 and 03-05-20008), Austrian Academy of Sciences (FWF, Austria) and by PPARC, UK. This work was also supported by Program no. 18 of the Russian Academy of Sciences.</t>
  </si>
  <si>
    <t>10.1111/j.1945-5100.2010.01064.x</t>
  </si>
  <si>
    <t>674CW</t>
  </si>
  <si>
    <t>WOS:000283712300008</t>
  </si>
  <si>
    <t>Dobrica, E; Engrand, C; Duprat, J; Gounelle, M</t>
  </si>
  <si>
    <t>Dobrica, E.; Engrand, C.; Duprat, J.; Gounelle, M.</t>
  </si>
  <si>
    <t>A STATISTICAL OVERVIEW OF CONCORDIA ANTARCTIC MICROMETEORITES</t>
  </si>
  <si>
    <t>73rd Annual Meeting of the Meteoritical-Society</t>
  </si>
  <si>
    <t>JUL 26-30, 2010</t>
  </si>
  <si>
    <t>New York, NY</t>
  </si>
  <si>
    <t>[Dobrica, E.; Engrand, C.; Duprat, J.] Univ Paris Sud, CNRS, UMR8609, CSNSM, F-91405 Orsay, France; [Gounelle, M.] CNRS, UMR 7202, LMCM, F-75005 Paris, France; [Gounelle, M.] MNHN, CP52, F-75005 Paris, France</t>
  </si>
  <si>
    <t>Centre National de la Recherche Scientifique (CNRS); CNRS - National Institute of Nuclear and Particle Physics (IN2P3); Universite Paris Cite; Universite Paris Saclay; Centre National de la Recherche Scientifique (CNRS); Museum National d'Histoire Naturelle (MNHN); Museum National d'Histoire Naturelle (MNHN)</t>
  </si>
  <si>
    <t>elena.dobrica@csnsm.in2p3.fr</t>
  </si>
  <si>
    <t>Dobrica, Elena/0000-0002-7653-3431</t>
  </si>
  <si>
    <t>A46</t>
  </si>
  <si>
    <t>633DC</t>
  </si>
  <si>
    <t>WOS:000280478700083</t>
  </si>
  <si>
    <t>Fries, M; Harvey, R; Wainwright, N; Jull, AJT; Steele, A</t>
  </si>
  <si>
    <t>Fries, Marc; Harvey, Ralph; Wainwright, Norman; Jull, A. J. T.; Steele, Andrew</t>
  </si>
  <si>
    <t>MICROBIAL CONTAMINATION STUDY OF ANTARCTIC METEORITES: AS-FOUND, POST-CURATION, AND LONG-TERM STORAGE</t>
  </si>
  <si>
    <t>[Fries, Marc] Jet Prop Lab, Pasadena, CA USA; [Harvey, Ralph] Case Western Reserve Univ, Cleveland, OH 44106 USA; [Wainwright, Norman] Charles River Labs, Wilmington, MA USA; [Jull, A. J. T.] Univ Arizona, Tucson, AZ USA; [Steele, Andrew] Carnegie Inst Washington, Geophys Lab, Washington, DC 20015 USA</t>
  </si>
  <si>
    <t>National Aeronautics &amp; Space Administration (NASA); NASA Jet Propulsion Laboratory (JPL); University System of Ohio; Case Western Reserve University; Charles River Laboratories; University of Arizona; Carnegie Institution for Science</t>
  </si>
  <si>
    <t>Marc.D.Fries@jpl.nasa.gov</t>
  </si>
  <si>
    <t>Steele, Andrew/A-3573-2013</t>
  </si>
  <si>
    <t>Steele, Andrew/0000-0001-9643-2841</t>
  </si>
  <si>
    <t>A59</t>
  </si>
  <si>
    <t>WOS:000280478700109</t>
  </si>
  <si>
    <t>Genge, MJ; Smith, H; Harvey, RP</t>
  </si>
  <si>
    <t>Genge, M. J.; Smith, H.; Harvey, R. P.</t>
  </si>
  <si>
    <t>ESKOLAITE IN AN ANTARCTIC MICROMETEORITE</t>
  </si>
  <si>
    <t>CHONDRITES</t>
  </si>
  <si>
    <t>[Genge, M. J.; Smith, H.] Univ London Imperial Coll Sci Technol &amp; Med, Impact &amp; Astromat Res Ctr, Dept Earth Sci &amp; Engn, London SW7 2AZ, England; [Harvey, R. P.] Case Western Reserve Univ, Dept Geol Sci, Cleveland, OH 44106 USA</t>
  </si>
  <si>
    <t>Imperial College London; University System of Ohio; Case Western Reserve University</t>
  </si>
  <si>
    <t>m.genge@imperial.ac.uk</t>
  </si>
  <si>
    <t>Science and Technology Facilities Council [ST/G002924/1] Funding Source: researchfish; STFC [ST/G002924/1] Funding Source: UKRI</t>
  </si>
  <si>
    <t>A62</t>
  </si>
  <si>
    <t>WOS:000280478700116</t>
  </si>
  <si>
    <t>Harvey, R; Karner, J; Taylor, S; Gow, T; Righter, K; Calaway, M; Harrington, R; McBride, K; Satterwhite, C; Nishiizumi, K</t>
  </si>
  <si>
    <t>Harvey, R.; Karner, J.; Taylor, S.; Gow, T.; Righter, K.; Calaway, M.; Harrington, R.; McBride, K.; Satterwhite, C.; Nishiizumi, K.</t>
  </si>
  <si>
    <t>PRELIMINARY OBSERVATIONS ON AN ANTARCTIC METEORITE FULLY ENCLOSED IN ICE</t>
  </si>
  <si>
    <t>[Harvey, R.; Karner, J.] Case Western Reserve Univ, Dept Geol Sci, Cleveland, OH 44106 USA; [Taylor, S.; Gow, T.] USA, Cold Reg Res &amp; Engn Lab, Hanover, NH 03755 USA; [Righter, K.; Calaway, M.; Harrington, R.; McBride, K.; Satterwhite, C.] NASA, Lyndon B Johnson Space Ctr, Houston, TX 77058 USA; [Nishiizumi, K.] Univ Calif Berkeley, Space Sci Lab, Berkeley, CA 94720 USA</t>
  </si>
  <si>
    <t>University System of Ohio; Case Western Reserve University; United States Department of Defense; United States Army; U.S. Army Corps of Engineers; U.S. Army Engineer Research &amp; Development Center (ERDC); Cold Regions Research &amp; Engineering Laboratory (CRREL); National Aeronautics &amp; Space Administration (NASA); NASA Johnson Space Center; University of California System; University of California Berkeley</t>
  </si>
  <si>
    <t>rph@case.edu</t>
  </si>
  <si>
    <t>A77</t>
  </si>
  <si>
    <t>WOS:000280478700146</t>
  </si>
  <si>
    <t>Kaiden, H; Kojima, H; Goderis, S</t>
  </si>
  <si>
    <t>Kaiden, H.; Kojima, H.; Goderis, S.</t>
  </si>
  <si>
    <t>METEORITE SEARCH IN ANTARCTICA BY THE 51ST JAPANESE ANTARCTIC RESEARCH EXPEDITION IN THE 2009-2010 FIELD SEASON</t>
  </si>
  <si>
    <t>[Kaiden, H.; Kojima, H.] Natl Inst Polar Res, Tachikawa, Tokyo 1908518, Japan; [Kaiden, H.; Kojima, H.] Grad Univ Adv Studies, Tachikawa, Tokyo 1908518, Japan; [Goderis, S.] Vrije Univ Brussel, B-1050 Brussels, Belgium</t>
  </si>
  <si>
    <t>Research Organization of Information &amp; Systems (ROIS); National Institute of Polar Research (NIPR) - Japan; Graduate University for Advanced Studies - Japan; Vrije Universiteit Brussel</t>
  </si>
  <si>
    <t>kaiden@nipr.ac.jp</t>
  </si>
  <si>
    <t>Goderis, Steven/F-9908-2011</t>
  </si>
  <si>
    <t>Goderis, Steven/0000-0002-6666-7153</t>
  </si>
  <si>
    <t>A100</t>
  </si>
  <si>
    <t>WOS:000280478700190</t>
  </si>
  <si>
    <t>Matsui, H; Ninagawa, K; Imae, N; Kojima, H</t>
  </si>
  <si>
    <t>Matsui, H.; Ninagawa, K.; Imae, N.; Kojima, H.</t>
  </si>
  <si>
    <t>THERMOLUMINESCENCE STUDY IN THE JAPANESE ANTARCTIC METEORITES COLLECTION: YAMATO 98 UNEQUILIBRATED ORDINARY CHONDRITES II</t>
  </si>
  <si>
    <t>[Matsui, H.; Ninagawa, K.] Okayama Univ Sci, Dept Appl Phys, Okayama 700, Japan; [Imae, N.; Kojima, H.] Natl Inst Polar Res, Tokyo 1908518, Japan</t>
  </si>
  <si>
    <t>Okayama University of Science; Research Organization of Information &amp; Systems (ROIS); National Institute of Polar Research (NIPR) - Japan</t>
  </si>
  <si>
    <t>s09pm14mh@std.ous.ac.jp</t>
  </si>
  <si>
    <t>A129</t>
  </si>
  <si>
    <t>WOS:000280478700247</t>
  </si>
  <si>
    <t>McBride, KM; Righter, K</t>
  </si>
  <si>
    <t>McBride, K. M.; Righter, K.</t>
  </si>
  <si>
    <t>COMPARISON OF US ANTARCTIC METEORITE COLLECTION TO OTHER COLD AND HOT DESERTS AND MODERN FALLS</t>
  </si>
  <si>
    <t>HISTORY</t>
  </si>
  <si>
    <t>[McBride, K. M.; Righter, K.] NASA, Lyndon B Johnson Space Ctr, Houston, TX 77058 USA</t>
  </si>
  <si>
    <t>National Aeronautics &amp; Space Administration (NASA); NASA Johnson Space Center</t>
  </si>
  <si>
    <t>kathleen.mcbride-1@nasa.gov</t>
  </si>
  <si>
    <t>A131</t>
  </si>
  <si>
    <t>WOS:000280478700251</t>
  </si>
  <si>
    <t>McBride, KM; Satterwhite, CE; Righter, K</t>
  </si>
  <si>
    <t>McBride, K. M.; Satterwhite, C. E.; Righter, K.</t>
  </si>
  <si>
    <t>CURATION OF ANTARCTIC METEORITES AT NASA JOHNSON SPACE CENTER</t>
  </si>
  <si>
    <t>[McBride, K. M.; Satterwhite, C. E.] NASA, Lyndon B Johnson Space Ctr, ESCG Jacobs Technol, Houston, TX 77058 USA; [Righter, K.] NASA, JSC, Houston, TX 77058 USA</t>
  </si>
  <si>
    <t>National Aeronautics &amp; Space Administration (NASA); NASA Johnson Space Center; National Aeronautics &amp; Space Administration (NASA); NASA Johnson Space Center</t>
  </si>
  <si>
    <t>WOS:000280478700252</t>
  </si>
  <si>
    <t>McCoy, TJ</t>
  </si>
  <si>
    <t>McCoy, T. J.</t>
  </si>
  <si>
    <t>A NEW VIEW OF ASTEROID PARTIAL DIFFERENTIATION: A LEGACY OF BRIAN MASON'S WORK ON ANTARCTIC METEORITES</t>
  </si>
  <si>
    <t>[McCoy, T. J.] Natl Museum Nat Hist, Smithsonian Inst, Dept Mineral Sci, Washington, DC 20560 USA</t>
  </si>
  <si>
    <t>Smithsonian Institution; Smithsonian National Museum of Natural History</t>
  </si>
  <si>
    <t>A132</t>
  </si>
  <si>
    <t>WOS:000280478700254</t>
  </si>
  <si>
    <t>Nesvorny, D; Jenniskens, P</t>
  </si>
  <si>
    <t>Nesvorny, D.; Jenniskens, P.</t>
  </si>
  <si>
    <t>COMETARY ORIGIN OF THE ZODIACAL CLOUD AND ANTARCTIC MICROMETEORITES</t>
  </si>
  <si>
    <t>davidn@boulder.swri.edu</t>
  </si>
  <si>
    <t>Nuñez, David Lira/M-7602-2016</t>
  </si>
  <si>
    <t>Nuñez, David Lira/0000-0002-2466-2952</t>
  </si>
  <si>
    <t>A151</t>
  </si>
  <si>
    <t>WOS:000280478700291</t>
  </si>
  <si>
    <t>Park, J; Nyquist, LE; Bogard, DD; Garrison, DH; Shih, CY; Mikouchi, T; Misawa, K</t>
  </si>
  <si>
    <t>Park, J.; Nyquist, L. E.; Bogard, D. D.; Garrison, D. H.; Shih, C. Y.; Mikouchi, T.; Misawa, K.</t>
  </si>
  <si>
    <t>ARGON ANALYSES OF LHERZOLIC SHERGOTTITES Y984028 AND Y000097</t>
  </si>
  <si>
    <t>EXCESS AR-40; ORIGIN</t>
  </si>
  <si>
    <t>[Park, J.] Lunar &amp; Planetary Inst, Lyndon B Johnson Space Ctr, ARES, Houston, TX 77058 USA; [Park, J.; Nyquist, L. E.; Bogard, D. D.] NASA, George C Marshall Space Flight Ctr, Space Sci Off, Houston, TX 35812 USA; [Park, J.] NASA, Huntsville, AL 35805 USA; [Park, J.] Univ Alabama, Huntsville, AL 77058 USA; [Shih, C. Y.] ESCG Barrios Technol, Houston, TX 77058 USA; [Shih, C. Y.] ESCG Jacobs Engn, Dept Earth &amp; Planetary Sci, Bunkyo Ku, Houston, TX 77058 USA; [Mikouchi, T.] Univ Tokyo, Natl Inst Polar Res, Tokyo 1908518, Japan; [Misawa, K.] Antarctic Meteorites Res Ctr, Tokyo, Japan</t>
  </si>
  <si>
    <t>National Aeronautics &amp; Space Administration (NASA); NASA Johnson Space Center; National Aeronautics &amp; Space Administration (NASA); NASA Marshall Space Flight Center; NASA Johnson Space Center; National Aeronautics &amp; Space Administration (NASA); University of Alabama System; University of Alabama Huntsville; University of Tokyo; Research Organization of Information &amp; Systems (ROIS); National Institute of Polar Research (NIPR) - Japan</t>
  </si>
  <si>
    <t>Jisun.park-1@nasa.gov</t>
  </si>
  <si>
    <t>A162</t>
  </si>
  <si>
    <t>WOS:000280478700314</t>
  </si>
  <si>
    <t>Xie, Z; Li, X; Sharp, TG; De Carli, PS</t>
  </si>
  <si>
    <t>Xie, Z.; Li, X.; Sharp, T. G.; De Carli, P. S.</t>
  </si>
  <si>
    <t>RINGWOODITE RIMS AROUND OLIVINE CORES IN SHOCK-INDUCED MELT VEINS OF AN ANTARCTIC CHONDRITE: MECHANISMS OF TRANSFORMATION AND FE-MG DIFFUSION</t>
  </si>
  <si>
    <t>HIGH-PRESSURE MINERALS; L6 CHONDRITE; CONSTRAINTS; PHASES</t>
  </si>
  <si>
    <t>[Xie, Z.; Li, X.] Nanjing Univ, Nanjing 210008, Peoples R China; [Sharp, T. G.] Arizona State Univ, Tempe, AZ 85287 USA; [De Carli, P. S.] SRI Int, Menlo Pk, CA 94025 USA</t>
  </si>
  <si>
    <t>Nanjing University; Arizona State University; Arizona State University-Tempe; SRI International</t>
  </si>
  <si>
    <t>zhidongx@nju.edu.cn</t>
  </si>
  <si>
    <t>A219</t>
  </si>
  <si>
    <t>WOS:000280478700424</t>
  </si>
  <si>
    <t>Blanchette, RA; Held, BW; Arenz, BE; Jurgens, JA; Baltes, NJ; Duncan, SM; Farrell, RL</t>
  </si>
  <si>
    <t>Blanchette, Robert A.; Held, Benjamin W.; Arenz, Brett E.; Jurgens, Joel A.; Baltes, Nicolas J.; Duncan, Shona M.; Farrell, Roberta L.</t>
  </si>
  <si>
    <t>An Antarctic Hot Spot for Fungi at Shackleton's Historic Hut on Cape Royds</t>
  </si>
  <si>
    <t>SOFT-ROT FUNGI; EXPEDITION HUTS; ROSS ISLAND; DIVERSITY; WOOD; DETERIORATION; SOILS; REGION</t>
  </si>
  <si>
    <t>The historic expedition huts located in the Ross Sea Region of the Antarctic and the thousands of artifacts left behind by the early explorers represent important cultural heritage from the Heroic Era of Polar exploration. The hut at Cape Royds built by Ernest Shackleton and members of the 1907-1908 British Antarctic Expedition has survived the extreme Antarctic environment for over 100 years, but recent studies have shown many forms of deterioration are causing serious problems, and microbial degradation is evident in the historic wood. Conservation work to reduce moisture at the hut required removal of fodder, wood, and many different types of organic materials from the stables area on the north side of the structure allowing large numbers of samples to be obtained for these investigations. In addition, wood from historic food storage boxes exposed in a ravine adjacent to the hut were also sampled. Fungi were cultured on several different media, and pure cultures were obtained and identified by sequencing of the internal transcribed spacer region of rDNA. From the 69 cultures of filamentous fungi obtained, the most predominant genera were Cadophora (44%) followed by Thielavia (17%) and Geomyces (15%). Other fungi found included Cladosporium, Chaetomium, and isolates identified as being in Pezizomycotina, Onygenales, Nectriaceae, and others. No filamentous basidiomycetes were found. Phylogenetic analyses of the Cadophora species showed great species diversity present revealing Cadophora malorum, Cadophora luteo-olivacea, Cadophora fastigiata, as well as Cadophora sp. 4E71-1, a C. malorum-like species, and Cadophora sp. 7R16-1, a C. fastigiata-like species. Scanning electron microscopy showed extensive decay was present in the wood samples with type 1 and type 2 forms of soft rot evident in pine and birch wood, respectively. Fungi causing decay in the historic wooden structures and artifacts are of great concern, and this investigation provides insight into the identity and species diversity of fungi found at the site. The historic woods and other organic materials at this site represent a large input of carbon into the Antarctic environment. This as well as nutrient additions from the nearby Ad,lie penguin (Pygoscelis adeliae) colony and favorable conditions for fungal growth at Cape Royds appear responsible for the significant fungal diversity, and where extensive decay is taking place in wood in contact with the ground.</t>
  </si>
  <si>
    <t>[Blanchette, Robert A.; Held, Benjamin W.; Arenz, Brett E.; Jurgens, Joel A.; Baltes, Nicolas J.] Univ Minnesota, Dept Plant Pathol, St Paul, MN 55108 USA; [Duncan, Shona M.; Farrell, Roberta L.] Univ Waikato, Dept Biol Sci, Hamilton 3216, New Zealand</t>
  </si>
  <si>
    <t>University of Minnesota System; University of Minnesota Twin Cities; University of Waikato</t>
  </si>
  <si>
    <t>Blanchette, RA (corresponding author), Univ Minnesota, Dept Plant Pathol, 1991 Upper Buford Circle, St Paul, MN 55108 USA.</t>
  </si>
  <si>
    <t>robertb@umn.edu</t>
  </si>
  <si>
    <t>Antarctic Heritage Trust; National Science Foundation [0537143]; Division Of Polar Programs; Directorate For Geosciences [0537143] Funding Source: National Science Foundation</t>
  </si>
  <si>
    <t>Antarctic Heritage Trust; National Science Foundation(National Science Foundation (NSF)); Division Of Polar Programs; Directorate For Geosciences(National Science Foundation (NSF)NSF - Directorate for Geosciences (GEO))</t>
  </si>
  <si>
    <t>We thank Nigel Watson and conservators of the Antarctic Heritage Trust for their support and cooperation during this study, support personnel of Scott Base and McMurdo Station for their assistance in conducting this research in Antarctica, and Antarctica New Zealand and National Science Foundation for logistic support. We also thank David Harrowfield and Adam Wild for their helpful suggestions to the manuscript. This research is based upon work supported by the National Science Foundation Grant No. 0537143.</t>
  </si>
  <si>
    <t>10.1007/s00248-010-9664-z</t>
  </si>
  <si>
    <t>636BA</t>
  </si>
  <si>
    <t>WOS:000280701500003</t>
  </si>
  <si>
    <t>Heinonen, JS; Luttinen, AV</t>
  </si>
  <si>
    <t>Heinonen, Jussi S.; Luttinen, Arto V.</t>
  </si>
  <si>
    <t>Mineral chemical evidence for extremely magnesian subalkaline melts from the Antarctic extension of the Karoo large igneous province</t>
  </si>
  <si>
    <t>MINERALOGY AND PETROLOGY</t>
  </si>
  <si>
    <t>DRONNING-MAUD-LAND; FLOOD BASALTS; MANTLE PLUME; EAST ANTARCTICA; TRACE-ELEMENT; BREAK-UP; HIGH-MG; OLIVINE; MAGMAS; LITHOSPHERE</t>
  </si>
  <si>
    <t>We present a comprehensive mineral chemical dataset (similar to 400 analyses) on subalkaline meimechitic (Mg-number = 74-80) and ferropicritic (Mg-number = 67-69) dike samples from the Antarctic extension of the Karoo large igneous province (LIP) in Vestfjella, western Dronning Maud Land. Some of the meimechites, previously considered to be cumulates from ferropicritic magmas, are characterized by forsteritic olivine (with core composition up to Fo(92)) that is in, or close to Fe-Mg equilibrium with the host rock. The olivines are subhedral to euhedral, contain Ti-rich (volcanic) spinel inclusions, have a high CaO content (a parts per thousand yen0.19 wt. %), and are thus unlikely to represent xenocrysts from mantle peridotite. Igneous amphibole is found in olivine-hosted, crystallized melt inclusions, indicating that the parental magmas had a H2O content of 1-2 wt. %. The olivine data suggests generation of extremely MgO-rich (up to 25 wt. %) melts during the Karoo magmatism. Based on our petrogenetic modeling, such melts are likely to have originated from the partial melting of garnet peridotite at high pressures (5-6 GPa) and mantle potential temperatures (&gt; 1,600A degrees C) that are compatible with the involvement of a mantle plume in the generation of the Karoo LIP. A geochemical comparison of the Vestfjella meimechites with meimechites from the Siberian Traps LIP and the assumed komatiitic parental melts of the Horingbai picrites (Parana-Etendeka LIP) reveals key similarities, suggesting that all these suites were generated from broadly similar sources and/or by similar melting processes in anomalously hot subcontinental mantle.</t>
  </si>
  <si>
    <t>[Heinonen, Jussi S.] Univ Helsinki, Dept Geosci &amp; Geog, FI-00014 Helsinki, Finland; [Luttinen, Arto V.] Univ Helsinki, Finnish Museum Nat Hist, FI-00014 Helsinki, Finland</t>
  </si>
  <si>
    <t>University of Helsinki; University of Helsinki</t>
  </si>
  <si>
    <t>jussi.s.heinonen@helsinki.fi; arto.luttinen@helsinki.fi</t>
  </si>
  <si>
    <t>Heinonen, Jussi/L-6152-2013</t>
  </si>
  <si>
    <t>Heinonen, Jussi/0000-0001-8998-4357; Luttinen, Arto Vesa/0000-0002-3129-0392</t>
  </si>
  <si>
    <t>Academy of Finland [210640, 129910]; Academy of Finland (AKA) [210640, 129910] Funding Source: Academy of Finland (AKA)</t>
  </si>
  <si>
    <t>Academy of Finland(Research Council of Finland); Academy of Finland (AKA)(Research Council of Finland)</t>
  </si>
  <si>
    <t>The comments of Liya Kogarko and an anonymous reviewer, and the editorial remarks by Lalou Gwalani, Edward Sarmiento, and Johann Raith helped to improve the manuscript and are greatly appreciated. Nicholas Arndt, Sebastien Pilet, Sally Gibson, and Colin Devey thoughtfully provided useful suggestions on an earlier draft of the manuscript and guided us towards a more focused treatment of the subject. The linguistic form was checked by the staff of Aakkosto Tmi. We thank the FINNARP crew for assiduous field assistance during Antarctic expeditions. Helena Korkka prepared high-quality thin sections and Bo Johanson, Lassi Pakkanen, and Marjaleena Lehtonen (Geological Survey of Finland) provided invaluable support with the mineral analyses. This work was supported by the Academy of Finland (grant numbers: 210640 to J.H. and 129910 to A.L.) and is a contribution to IPY project Plates and Gates (#77; Eol 1264).</t>
  </si>
  <si>
    <t>0930-0708</t>
  </si>
  <si>
    <t>1438-1168</t>
  </si>
  <si>
    <t>MINER PETROL</t>
  </si>
  <si>
    <t>Mineral. Petrol.</t>
  </si>
  <si>
    <t>10.1007/s00710-010-0115-9</t>
  </si>
  <si>
    <t>Geochemistry &amp; Geophysics; Mineralogy</t>
  </si>
  <si>
    <t>627WA</t>
  </si>
  <si>
    <t>WOS:000280073300004</t>
  </si>
  <si>
    <t>González-Wevar, CA; Nakano, T; Cañete, JI; Poulin, E</t>
  </si>
  <si>
    <t>Gonzalez-Wevar, Claudio A.; Nakano, Tomoyuki; Canete, Juan I.; Poulin, Elie</t>
  </si>
  <si>
    <t>Molecular phylogeny and historical biogeography of Nacella (Patellogastropoda: Nacellidae) in the Southern Ocean</t>
  </si>
  <si>
    <t>Antarctic Circumpolar Current; Cellana; Middle-Miocene climatic transition; Vicariance; Long-distance dispersal; Trans-oceanic discontinuities; True limpets; Cytochrome oxidase subunit I; Cytochrome b</t>
  </si>
  <si>
    <t>DNA-SEQUENCES; ANTARCTIC OCEAN; DIVERGENCE TIME; EVOLUTION; MOLLUSCA; LIMPETS; GASTROPODA; INVERTEBRATES; REPRODUCTION; PATELLIDAE</t>
  </si>
  <si>
    <t>The evolution and the historical biogeography of the Southern Ocean marine benthic fauna are closely related to major tectonic and climatic changes that occurred in this region during the last 55 million years (Ma). Several families, genera and even species of marine organisms are shared between distant biogeographic provinces in this region. This pattern of distribution in marine benthic invertebrates has been commonly explained by vicariant speciation due to plate tectonics. However, recent molecular studies have provided new evidence for long-distance dispersion as a plausible explanation of biogeographical patterns in the Southern Ocean. True limpets of the genus Nacella are currently distributed in different biogeographic regions of the Southern Ocean such as Antarctica, Kerguelen Province, southern New Zealand Antipodean Province, North-Central Chile and South American Magellanic Province. Here, we present phylogenetic reconstructions using two mitochondrial DNA markers (Cytochrome Oxidase I and Cytochrome b) to look into the relationships among Nocella species and to determine the origin and diversification of the genus. Phylogenies were reconstructed using two methods, Maximum Parsimony and Bayesian Inference, while divergence time among Nacella species was estimated following a relaxed Bayesian approach. For this purpose, we collected inter- and subtidal species belonging to four biogeographic regions in the Southern Ocean: Antarctica, Kerguelen Province, Central Chile, and Magellanic Province. Our molecular results agree with previous morphological and molecular studies supporting the monophyly of Nacella and its sister relationship with Cellana. Two rounds of diversification are recognized in the evolution of Nacella. The first one occurred at the end of the Miocene and gave rise to the main lineages, currently distributed in Antarctica, South America or Kerguelen Province. Large genetic divergence was detected among Nacella species from these distant biogeographic provinces emphasizing the significance of trans-oceanic discontinuities and suggesting long-distance dispersal was relatively unimportant. The second diversification round consisted of a more recent Pleistocene radiation in the Magellanic region. In this province, different morphological species of Nacella exhibit extreme low levels of genetic divergence with absence of reciprocal monophyly among them. According to our time estimation, the origin and diversification of Nacella in the Southern Ocean is more recent (&lt;15 MY) than the expected under the hypothesis of vicariant speciation due to plate tectonics. The evolution of this genus seems to be closely related to drastic climatic and oceanographic changes in the Southern Ocean during the middle-Miocene climatic transition. In spite of the high number of species described for the Magellanic Province, molecular results indicate that these species are the most derived ones in the evolution of the genus and therefore that the Magellanic region does not need to correspond to the origin center of Nacella. The absence of genetic divergence among these species supports a very recent radiation process accompanied by rapid morphological and ecological diversification. (C) 2010 Elsevier Inc. All rights reserved.</t>
  </si>
  <si>
    <t>[Gonzalez-Wevar, Claudio A.; Poulin, Elie] Univ Chile, Fac Ciencias, Dept Ciencias Ecol, Inst Ecol &amp; Biodiversidad,Lab Ecol Mol, Santiago, Chile; [Nakano, Tomoyuki] Natl Museum Nat &amp; Sci, Dept Geol &amp; Paleontol, Tokyo, Japan; [Canete, Juan I.] Univ Magallanes, Dept Recursos Nat, Punta Arenas, Chile</t>
  </si>
  <si>
    <t>Universidad de Chile; National Museum of Nature and Science; Universidad de Magallanes</t>
  </si>
  <si>
    <t>Poulin, E (corresponding author), Univ Chile, Fac Ciencias, Dept Ciencias Ecol, Inst Ecol &amp; Biodiversidad,Lab Ecol Mol, Palmeras 3425, Santiago, Chile.</t>
  </si>
  <si>
    <t>epoulin@uchile.cl</t>
  </si>
  <si>
    <t>González-Wevar, Claudio Alejandro/AAD-6513-2021; Poulin, Elie/C-2654-2012; Canete, Juan/GRS-4620-2022</t>
  </si>
  <si>
    <t>Poulin, Elie/0000-0001-7736-0969; Nakano, Tomoyuki/0009-0008-0109-1289</t>
  </si>
  <si>
    <t>INACH [B_01_07, 02-02, 13-05]; Conicyt [D-21060218]; IDEAWILD; Institute of Ecology and Biodiversity, Universidad de Chile [P05-002 ICM, PFB 023]; ECOS [C06B02]; Japan Society for Promotion of Science; Universidad de Magallanes [0273]; CAML; EBA-SCAR; PRO-SUL-Brazil</t>
  </si>
  <si>
    <t>INACH; Conicyt(Comision Nacional de Investigacion Cientifica y Tecnologica (CONICYT)); IDEAWILD; Institute of Ecology and Biodiversity, Universidad de Chile; ECOS; Japan Society for Promotion of Science(Ministry of Education, Culture, Sports, Science and Technology, Japan (MEXT)Japan Society for the Promotion of Science); Universidad de Magallanes; CAML; EBA-SCAR; PRO-SUL-Brazil</t>
  </si>
  <si>
    <t>This study was supported by the Grants INACH B_01_07, Conicyt Ph.D. Grant Nos. D-21060218 and IDEAWILD to C.G., and by the Projects P05-002 ICM and PFB 023 (Institute of Ecology and Biodiversity, Universidad de Chile) and INACH 02-02, 13-05 and ECOS C06B02 to E.P. and C.G.; Grant-in-Aid for JSPS Fellows No. 207024 to T.N. from the Japan Society for Promotion of Science. Research Program 0273, Universidad de Magallanes to J.I.C. Thanks is also due to international program as CAML, EBA-SCAR and PRO-SUL-Brazil for encouraging and supporting Antarctic research in Evolution.</t>
  </si>
  <si>
    <t>10.1016/j.ympev.2010.02.001</t>
  </si>
  <si>
    <t>608MX</t>
  </si>
  <si>
    <t>WOS:000278589500010</t>
  </si>
  <si>
    <t>Sigman, DM; Hain, MP; Haug, GH</t>
  </si>
  <si>
    <t>Sigman, Daniel M.; Hain, Mathis P.; Haug, Gerald H.</t>
  </si>
  <si>
    <t>The polar ocean and glacial cycles in atmospheric CO2 concentration</t>
  </si>
  <si>
    <t>ANTARCTIC SEA-ICE; SOUTHERN-OCEAN; CARBON-CYCLE; RADIOCARBON AGES; CLIMATE; TEMPERATURE; IRON; STRATIFICATION; PACIFIC; PRODUCTIVITY</t>
  </si>
  <si>
    <t>Global climate and the atmospheric partial pressure of carbon dioxide (p(CO2atm)) are correlated over recent glacial cycles, with lower p(CO2atm) during ice ages, but the causes of the p(CO2atm) changes are unknown. The modern Southern Ocean releases deeply sequestered CO2 to the atmosphere. Growing evidence suggests that the Southern Ocean CO2 'leak' was stemmed during ice ages, increasing ocean CO2 storage. Such a change would also have made the global ocean more alkaline, driving additional ocean CO2 uptake. This explanation for lower ice-age p(CO2atm), if correct, has much to teach us about the controls on current ocean processes.</t>
  </si>
  <si>
    <t>[Sigman, Daniel M.; Hain, Mathis P.] Princeton Univ, Dept Geosci, Princeton, NJ 08544 USA; [Hain, Mathis P.; Haug, Gerald H.] Univ Potsdam, Inst Geosci, DFG Leibniz Ctr Earth Surface Proc &amp; Climate Stud, D-14476 Potsdam, Germany; [Haug, Gerald H.] ETH, Dept Earth Sci, Inst Geol, CH-8092 Zurich, Switzerland</t>
  </si>
  <si>
    <t>Princeton University; University of Potsdam; Swiss Federal Institutes of Technology Domain; ETH Zurich</t>
  </si>
  <si>
    <t>Sigman, DM (corresponding author), Princeton Univ, Dept Geosci, Guyot Hall, Princeton, NJ 08544 USA.</t>
  </si>
  <si>
    <t>sigman@princeton.edu</t>
  </si>
  <si>
    <t>Sigman, Daniel M./IYJ-2613-2023; Sigman, Daniel M./A-2649-2008; Hain, Mathis P/I-5252-2012</t>
  </si>
  <si>
    <t>Sigman, Daniel M./0000-0002-7923-1973; Hain, Mathis P/0000-0002-8478-1857</t>
  </si>
  <si>
    <t>US NSF; German DFG; Humboldt Foundation; MacArthur Foundation; Siebel Energy Grand Challenge at Princeton</t>
  </si>
  <si>
    <t>US NSF(National Science Foundation (NSF)); German DFG(German Research Foundation (DFG)); Humboldt Foundation(Alexander von Humboldt Foundation); MacArthur Foundation; Siebel Energy Grand Challenge at Princeton</t>
  </si>
  <si>
    <t>We thank J. F. Adkins, R. F. Anderson, and J. Lynch-Stieglitz for discussions. Support was provided by the US NSF, the German DFG, the Humboldt and MacArthur Foundations, the Siebel Energy Grand Challenge at Princeton, and O. Happel.</t>
  </si>
  <si>
    <t>1476-4687</t>
  </si>
  <si>
    <t>10.1038/nature09149</t>
  </si>
  <si>
    <t>618HW</t>
  </si>
  <si>
    <t>WOS:000279343800033</t>
  </si>
  <si>
    <t>Jenkins, A; Dutrieux, P; Jacobs, SS; McPhail, SD; Perrett, JR; Webb, AT; White, D</t>
  </si>
  <si>
    <t>Jenkins, Adrian; Dutrieux, Pierre; Jacobs, Stanley S.; McPhail, Stephen D.; Perrett, James R.; Webb, Andrew T.; White, David</t>
  </si>
  <si>
    <t>Observations beneath Pine Island Glacier in West Antarctica and implications for its retreat</t>
  </si>
  <si>
    <t>ICE-SHEET; AMUNDSEN SEA; STABILITY</t>
  </si>
  <si>
    <t>Thinning ice in West Antarctica, resulting from acceleration in the flow of outlet glaciers, is at present contributing about 10% of the observed rise in global sea level(1). Pine Island Glacier in particular has shown nearly continuous acceleration(2,3) and thinning(4,5), throughout the short observational record. The floating ice shelf that forms where the glacier reaches the coast has been thinning rapidly(6), driven by changes in ocean heat transport beneath it. As a result, the line that separates grounded and floating ice has retreated inland(7). These events have been postulated as the cause for the inland thinning and acceleration(8,9). Here we report evidence gathered by an autonomous underwater vehicle operating beneath the ice shelf that Pine Island Glacier was recently grounded on a transverse ridge in the sea floor. Warm sea water now flows through a widening gap above the submarine ridge, rapidly melting the thick ice of the newly formed upstream half of the ice shelf. The present evolution of Pine Island Glacier is thus part of a longer-term trend that has moved the downstream limit of grounded ice inland by 30 km, into water that is 300 m deeper than over the ridge crest. The pace and ultimate extent of such potentially unstable retreat(10) are central to the debate over the possibility of widespread ice-sheet collapse triggered by climate change(11,12).</t>
  </si>
  <si>
    <t>[Jenkins, Adrian; Dutrieux, Pierre] British Antarctic Survey, Nat Environm Res Council, Cambridge CB3 0ET, England; [Jacobs, Stanley S.] Columbia Univ, Lamont Doherty Earth Observ, New York, NY 10964 USA; [McPhail, Stephen D.; Perrett, James R.; Webb, Andrew T.; White, David] Natl Oceanog Ctr, Southampton SO14 3ZH, Hants, England</t>
  </si>
  <si>
    <t>UK Research &amp; Innovation (UKRI); Natural Environment Research Council (NERC); NERC British Antarctic Survey; Columbia University; NERC National Oceanography Centre</t>
  </si>
  <si>
    <t>Jenkins, A (corresponding author), British Antarctic Survey, Nat Environm Res Council, Cambridge CB3 0ET, England.</t>
  </si>
  <si>
    <t>Jenkins, Adrian/IUN-2406-2023; Dutrieux, Pierre/GVS-2890-2022</t>
  </si>
  <si>
    <t>Dutrieux, Pierre/0000-0002-8066-934X; Jenkins, Adrian/0000-0002-9117-0616</t>
  </si>
  <si>
    <t>UK Natural Environment Research Council [NE/G001367/1]; US National Science Foundation [ANT0632282]; Natural Environment Research Council [NE/G001367/1, bas0100028, noc010003] Funding Source: researchfish; NERC [bas0100028, noc010003, NE/G001367/1] Funding Source: UKRI</t>
  </si>
  <si>
    <t>UK Natural Environment Research Council(UK Research &amp; Innovation (UKRI)Natural Environment Research Council (NERC)); US National Science Foundation(National Science Foundation (NSF)); Natural Environment Research Council(UK Research &amp; Innovation (UKRI)Natural Environment Research Council (NERC)); NERC(UK Research &amp; Innovation (UKRI)Natural Environment Research Council (NERC))</t>
  </si>
  <si>
    <t>We thank the Captain and crew of Nathaniel B Palmer and NBP09-01 cruise participants for assistance with the AUV operations. This work was financially supported by the UK Natural Environment Research Council (NE/G001367/1) and the US National Science Foundation (ANT0632282). R. Howlett, G. Griffiths, K. Nicholls and S. Jenkins commented on the manuscript.</t>
  </si>
  <si>
    <t>10.1038/NGEO890</t>
  </si>
  <si>
    <t>618SH</t>
  </si>
  <si>
    <t>WOS:000279375500012</t>
  </si>
  <si>
    <t>Chmel, A; Smirnov, V; Golovanov, O</t>
  </si>
  <si>
    <t>Chmel, Alexandre; Smirnov, Victor; Golovanov, Oleg</t>
  </si>
  <si>
    <t>Variability of scaling parameters in non-conservative systems: Geophysical aspect</t>
  </si>
  <si>
    <t>PHYSICA A-STATISTICAL MECHANICS AND ITS APPLICATIONS</t>
  </si>
  <si>
    <t>Sea ice drift dynamics; b-value; Energy conservation; Olami-Feder-Christensen model</t>
  </si>
  <si>
    <t>SELF-ORGANIZED CRITICALITY; CRITICAL-POINT BEHAVIOR; SEA-ICE COVER; B-VALUE; ASPERITY MODEL; EARTHQUAKES; RUPTURE; SEISMICITY; COMPLEXITY; CALIFORNIA</t>
  </si>
  <si>
    <t>Newly obtained data on the critical dynamics of the drifting/fracturing sea ice in the Arctic Ocean were analyzed and compared with published data on the dynamic processes in the Earth's crust. Substantial similarities were found in the scaling behavior of both geophysical systems; the most important of them is the b-value space/time variability including a pre-failure drop of this parameter. The b-value pattern of the ensemble of drifting ice floes is an analogue of the b-value distribution over areas and depths in tectonic structures. A common feature of the pre-failure state in the cryosphere and in the Earth's crust is the increased degree of the energy conservation that manifests itself both in the sea ice consolidation prior to basin-wide ice pack fragmentations, and in involving harder geological formations in the fracture process before earthquakes, respectively. From the viewpoint of the conservative SOC concept, this relation between the system's conservativity and the occurrence of large-scale fracture events means that the expected scale level of failure is determined by the system's closeness to true SOC behavior. (C) 2010 Elsevier B.V. All rights reserved.</t>
  </si>
  <si>
    <t>[Chmel, Alexandre] Russian Acad Sci, Fracture Phys Dept, AF Ioffe Physicotech Inst, St Petersburg 194021, Russia; [Smirnov, Victor; Golovanov, Oleg] Arctic &amp; Antarctic Res Inst, St Petersburg 199397, Russia</t>
  </si>
  <si>
    <t>Russian Academy of Sciences; St. Petersburg Scientific Centre of the Russian Academy of Sciences; Ioffe Physical Technical Institute; Arctic &amp; Antarctic Research Institute</t>
  </si>
  <si>
    <t>Chmel, A (corresponding author), Russian Acad Sci, Fracture Phys Dept, AF Ioffe Physicotech Inst, St Petersburg 194021, Russia.</t>
  </si>
  <si>
    <t>chmel@mail.ioffe.ru</t>
  </si>
  <si>
    <t>0378-4371</t>
  </si>
  <si>
    <t>1873-2119</t>
  </si>
  <si>
    <t>PHYSICA A</t>
  </si>
  <si>
    <t>Physica A</t>
  </si>
  <si>
    <t>10.1016/j.physa.2010.02.055</t>
  </si>
  <si>
    <t>598HB</t>
  </si>
  <si>
    <t>WOS:000277824800015</t>
  </si>
  <si>
    <t>Wolf, L; Rizzini, L; Stracke, R; Ulm, R; Rensing, SA</t>
  </si>
  <si>
    <t>Wolf, Luise; Rizzini, Luca; Stracke, Ralf; Ulm, Roman; Rensing, Stefan A.</t>
  </si>
  <si>
    <t>The Molecular and Physiological Responses of Physcomitrella patens to Ultraviolet-B Radiation</t>
  </si>
  <si>
    <t>PLANT PHYSIOLOGY</t>
  </si>
  <si>
    <t>TRANSCRIPTION FACTOR HY5; UV-B; SIGNAL-TRANSDUCTION; ANTARCTIC MOSS; DNA-DAMAGE; GENE; EVOLUTION; STRESS; EXPRESSION; PLANTS</t>
  </si>
  <si>
    <t>Ultraviolet-B (UV-B) radiation present in sunlight is an important trigger of photomorphogenic acclimation and stress responses in sessile land plants. Although numerous moss species grow in unshaded habitats, our understanding of their UV-B responses is very limited. The genome of the model moss Physcomitrella patens, which grows in sun-exposed open areas, encodes signaling and metabolic components that are implicated in the UV-B response in flowering plants. In this study, we describe the response of P. patens to UV-B radiation at the morphological and molecular levels. We find that P. patens is more capable of surviving UV-B stress than Arabidopsis (Arabidopsis thaliana) and describe the differential expression of approximately 400 moss genes in response to UV-B radiation. A comparative analysis of the UV-B response in P. patens and Arabidopsis reveals both distinct and conserved pathways.</t>
  </si>
  <si>
    <t>[Wolf, Luise; Rizzini, Luca; Ulm, Roman; Rensing, Stefan A.] Univ Freiburg, Fac Biol, Inst Biol, D-79104 Freiburg, Germany; [Wolf, Luise; Rensing, Stefan A.] Univ Freiburg, Fac Biol, Freiburg Initiat Syst Biol, D-79104 Freiburg, Germany; [Stracke, Ralf] Univ Bielefeld, Fac Biol, D-33594 Bielefeld, Germany</t>
  </si>
  <si>
    <t>University of Freiburg; University of Freiburg; University of Bielefeld</t>
  </si>
  <si>
    <t>Rensing, SA (corresponding author), Univ Freiburg, Fac Biol, Inst Biol, D-79104 Freiburg, Germany.</t>
  </si>
  <si>
    <t>stefan.rensing@biologie.uni-freiburg.de</t>
  </si>
  <si>
    <t>Rizzini, Luca/AAV-4799-2020</t>
  </si>
  <si>
    <t>Rizzini, Luca/0000-0001-6950-0167; Wolf, Luise/0000-0001-9417-3364; Stracke, Ralf/0000-0002-9261-2279; Ulm, Roman/0000-0001-8014-7392</t>
  </si>
  <si>
    <t>German Federal Ministry of Education and Research [0313921]; Collaborative Research Center [746]; German Research Foundation [UL341/1-1]</t>
  </si>
  <si>
    <t>German Federal Ministry of Education and Research(Federal Ministry of Education &amp; Research (BMBF)); Collaborative Research Center; German Research Foundation(German Research Foundation (DFG))</t>
  </si>
  <si>
    <t>This work was supported by the German Federal Ministry of Education and Research (grant no. 0313921, Freiburg Initiative for Systems Biology, to S.A.R.) and by Collaborative Research Center 746 and the Emmy Noether Program of the German Research Foundation (grant no. UL341/1-1 to R.U.).</t>
  </si>
  <si>
    <t>0032-0889</t>
  </si>
  <si>
    <t>1532-2548</t>
  </si>
  <si>
    <t>PLANT PHYSIOL</t>
  </si>
  <si>
    <t>Plant Physiol.</t>
  </si>
  <si>
    <t>10.1104/pp.110.154658</t>
  </si>
  <si>
    <t>619AX</t>
  </si>
  <si>
    <t>WOS:000279400200019</t>
  </si>
  <si>
    <t>Barrera-Oro, E; Alescio, N; Moreira, E; Marschoff, E</t>
  </si>
  <si>
    <t>Barrera-Oro, Esteban; Alescio, Nadia; Moreira, Eugenia; Marschoff, Enrique</t>
  </si>
  <si>
    <t>Using scales to clarify the transition from blue-phase to brown-phase fingerling in Notothenia rossii from the South Shetland Islands</t>
  </si>
  <si>
    <t>Antarctic coastal fish; Age; Juvenile stages; Growth curve</t>
  </si>
  <si>
    <t>POTTER COVE; MARMORATA FISCHER; SCOTIA ARC; FISH; AGE; ANTARCTICA; BIOLOGY; GEORGIA; GROWTH; WATERS</t>
  </si>
  <si>
    <t>Scales and whole otoliths were read for age determination in early stages of Notothenia rossii caught in Potter Cove, South Shetland Islands, in summer seasons 2003-2006 and 2008. The sample comprised blue-phase pelagic fingerlings of 7.0-7.6 cm (TL) of age group 0 year and demersal brown-phase fingerlings/juveniles of 8.5-20.9 cm and predominant age groups 1-2 years. Counting of sclerites facilitated the interpretation of the rings, particularly in the central scale. To clarify two previous issues of controversy, we deduce that the duration of the offshore pelagic blue-phase fingerling stage is less than one year before migration to the nearshore demersal habitat. Furthermore, the first well-defined ring in scales corresponded to the first annulus, while a contiguous ring was a secondary ring sometimes deposited after the first winter during the second year of life, attributable to a shift of habitat from pelagic to demersal. A von Bertalanffy growth curve was computed by combining age/length data of the juvenile phase of N. rossii from this and a previous study at Potter Cove with literature data from the offshore adult population, resulting in the following equation: L(t) = 86.9 (1 - c(-0.091(t-0.668))).</t>
  </si>
  <si>
    <t>[Barrera-Oro, Esteban; Marschoff, Enrique] Inst Antartico Argentino, Buenos Aires, DF, Argentina; [Barrera-Oro, Esteban; Alescio, Nadia; Moreira, Eugenia] Consejo Nacl Invest Cient &amp; Tecn, RA-1033 Buenos Aires, DF, Argentina; [Barrera-Oro, Esteban] Museo Argentino Ciencias Nat Bernardino Rivadavia, Buenos Aires, DF, Argentina</t>
  </si>
  <si>
    <t>Instituto Antartico Argentino; Consejo Nacional de Investigaciones Cientificas y Tecnicas (CONICET); Museo Argentino de Ciencias Naturales Bernardino Rivadavia (MACN)</t>
  </si>
  <si>
    <t>Barrera-Oro, E (corresponding author), Inst Antartico Argentino, Cerrito 1248,1010AAZ, Buenos Aires, DF, Argentina.</t>
  </si>
  <si>
    <t>MOREIRA, EUGENIA/0000-0002-3704-1696</t>
  </si>
  <si>
    <t>10.1007/s00300-010-0763-6</t>
  </si>
  <si>
    <t>612KN</t>
  </si>
  <si>
    <t>WOS:000278897300001</t>
  </si>
  <si>
    <t>Bascuñán-Godoy, L; García-Plazaola, JI; Bravo, LA; Corcuera, LJ</t>
  </si>
  <si>
    <t>Bascunan-Godoy, Luisa; Garcia-Plazaola, Jose I.; Bravo, Leon A.; Corcuera, Luis J.</t>
  </si>
  <si>
    <t>Leaf functional and micro-morphological photoprotective attributes in two ecotypes of Colobanthus quitensis from the Andes and Maritime Antarctic</t>
  </si>
  <si>
    <t>Antarctic plants; Andean plants; Ecotypes; Low temperatures stress; High light stress; Photoprotection strategies</t>
  </si>
  <si>
    <t>MEMBRANE-PROTEIN DAMAGE; HARVESTING COMPLEX-II; LOW-TEMPERATURE; XANTHOPHYLL CYCLE; VASCULAR PLANTS; PHOTOSYSTEM-II; PHOTOSYNTHETIC PERFORMANCE; CHLOROPHYLL FLUORESCENCE; CHLOROPLAST MEMBRANES; COLD-ACCLIMATION</t>
  </si>
  <si>
    <t>Colobanthus quitensis (Kunth) Bartl. (Cariophyllaceae) is distributed from Mexico to the Maritime Antarctic. It grows forming inconspicuous populations in humid and cold sites along high elevations in the Andes Mountains. Mediterranean Andes is characterized by a wider oscillation of diurnal and seasonal temperature, while the Maritime Antarctic is characterized by permanent low temperatures. Both places may experience high irradiance during sunny days (reaching up to 2,000 mu mol photons m(-2) s(-1)); however, the frequency of sunny days in the Maritime Antarctica is significantly lower (less than 20% of the whole growing season). We study whether acclimation to each environment relies on different photoprotective mechanisms. The Andean ecotype that has a longer growing season and a higher light integral reduces light absorption by the development of smaller chloroplasts with lower stacking granum area and down-regulation of Lhcb2. It also enhances the dissipation of the excess of absorbed energy by higher level of de-epoxidation of xanthophylls pool. On the other hand, the Antarctic ecotype which has developed under a shorter growing season, with lower total irradiance and continuous low temperatures, maximizes photochemical process even at low temperatures and it has a lower light-harvesting/core complex ratio and higher level of photoprotection supplied by an unusually high beta-carotene and xanthophylls cycle pool. It resembles a well full light acclimated plant, probably due to higher excitation pressure imposed by lower temperature even at moderate irradiance. It is suggested that the biochemical plasticity of this species, highlighted by the development of these different strategies, is essential to cope successfully with these particular environments.</t>
  </si>
  <si>
    <t>[Bascunan-Godoy, Luisa; Bravo, Leon A.; Corcuera, Luis J.] Univ Concepcion, Dept Bot, Fac Ciencias Nat &amp; Oceanog, Concepcion, Chile; [Bascunan-Godoy, Luisa] Univ La Serena, Ctr Estudios Avanzados Zonas Aridas, La Serena, Chile; [Garcia-Plazaola, Jose I.] Univ Basque Country, Dept Biol Vegetal &amp; Ecol, E-48080 Bilbao, Spain</t>
  </si>
  <si>
    <t>Universidad de Concepcion; Universidad de La Serena; University of Basque Country</t>
  </si>
  <si>
    <t>Bravo, LA (corresponding author), Univ Concepcion, Dept Bot, Fac Ciencias Nat &amp; Oceanog, Casilla 160-C,Correo 3, Concepcion, Chile.</t>
  </si>
  <si>
    <t>lebravo@udec.cl</t>
  </si>
  <si>
    <t>Bravo, León/AAO-8437-2020; Bascunan-Godoy, Luisa/H-7357-2015; Godoy, Luisa Bascunan/AAF-2978-2019; Bravo, Leon/H-9251-2018; Corcuera, Luis J/G-1714-2014; Garcia-Plazaola, Jose Ignacio/B-8188-2009</t>
  </si>
  <si>
    <t>Bravo, León/0000-0003-4705-4842; Bascunan-Godoy, Luisa/0000-0001-8346-7295; Godoy, Luisa Bascunan/0000-0001-8346-7295; Bravo, Leon/0000-0003-4705-4842; Garcia-Plazaola, Jose Ignacio/0000-0001-6498-975X</t>
  </si>
  <si>
    <t>Spanish Ministry of Education and Science [FONDECYT 1060910, BFU 2007-62637]; INACH; CONICYT; [UPV/EHU-GV IT-299-07]</t>
  </si>
  <si>
    <t>Spanish Ministry of Education and Science(Spanish Government); INACH; CONICYT(Comision Nacional de Investigacion Cientifica y Tecnologica (CONICYT));</t>
  </si>
  <si>
    <t>Luisa Bascunan thanks INACH for the logistics and permits to study and collect plant material in protected areas in the Maritime Antarctic and the Polish Station Arctowski for the use of their facilities. This research was also supported by FONDECYT 1060910, BFU 2007-62637 from the Spanish Ministry of Education and Science and research project UPV/EHU-GV IT-299-07. Bascunan-Godoy thanks INACH for a fellowship to support of her Doctoral Thesis and CONICYT for a graduate fellowship.</t>
  </si>
  <si>
    <t>10.1007/s00300-010-0765-4</t>
  </si>
  <si>
    <t>WOS:000278897300002</t>
  </si>
  <si>
    <t>McGaughran, A; Convey, P; Stevens, MI; Chown, SL</t>
  </si>
  <si>
    <t>McGaughran, Angela; Convey, Peter; Stevens, Mark I.; Chown, Steven L.</t>
  </si>
  <si>
    <t>Metabolic rate, genetic and microclimate variation among springtail populations from sub-Antarctic Marion Island</t>
  </si>
  <si>
    <t>Antarctica; Metabolic rate; Genetics; Microclimate; Springtail; Variability</t>
  </si>
  <si>
    <t>VICTORIA LAND; OXYGEN-CONSUMPTION; TERRESTRIAL; HETEROZYGOSITY; INSECTS; REPRODUCTION; TEMPERATURE; VARIABILITY; SENSITIVITY; SEQUENCES</t>
  </si>
  <si>
    <t>Measurement of metabolic rates (made at 10A degrees C) of individuals of the springtail Cryptopygus antarcticus travei from six geographically distinct populations on sub-Antarctic Marion Island were combined with mitochondrial DNA (COI) haplotype analysis to examine in parallel both physiological and genetic variation of distinct populations. We found evidence of genetic differentiation among populations and a general indication of long-term isolation with limited gene flow. While we found support for an overall pattern of metabolic rate structure among populations from different geographic locations on the island (mean rate = 0.0009-0.0029 mu l O-2 mu g(-1) h(-1) for populations of a mean individual mass of 8-26 mu g), we were unable to demonstrate a coherent common pattern between this and genetic variation. However, spatial structure in metabolic rate variation was strongly related to the extent of variability in microclimate among sites, and also showed some indication of a phylogeographic signal. Thus, over the relatively short timescale of Marion Island's history (&lt; 1 million years), the periodic geographic barriers that have driven population differentiation from a molecular perspective may also have resulted in some physiological differentiation of populations.</t>
  </si>
  <si>
    <t>[McGaughran, Angela] Massey Univ, Allan Wilson Ctr Mol Ecol &amp; Evolut, Palmerston North, New Zealand; [Convey, Peter] British Antarctic Survey, Nat Environm Res Council, Cambridge CB3 OET, England; [Stevens, Mark I.] S Australian Museum, Adelaide, SA 5000, Australia; [Stevens, Mark I.] Flinders Univ S Australia, Sch Biol Sci, Adelaide, SA 5001, Australia; [Chown, Steven L.] Univ Stellenbosch, Dept Bot &amp; Zool, Ctr Invas Biol, ZA-7602 Matieland, South Africa</t>
  </si>
  <si>
    <t>Massey University; UK Research &amp; Innovation (UKRI); Natural Environment Research Council (NERC); NERC British Antarctic Survey; Flinders University South Australia; Stellenbosch University</t>
  </si>
  <si>
    <t>McGaughran, A (corresponding author), Massey Univ, Allan Wilson Ctr Mol Ecol &amp; Evolut, Private Bag 11-222, Palmerston North, New Zealand.</t>
  </si>
  <si>
    <t>Chown, Steven/ABD-7646-2021; Convey, Peter/AAV-5728-2020; McGaughran, Angela/C-5916-2014; Chown, Steven/H-3347-2011</t>
  </si>
  <si>
    <t>Convey, Peter/0000-0001-8497-9903; McGaughran, Angela/0000-0002-3429-8699; Chown, Steven/0000-0001-6069-5105</t>
  </si>
  <si>
    <t>New Zealand Tertiary Education Commission; Natural Environment Research Council [bas0100025] Funding Source: researchfish; NERC [bas0100025] Funding Source: UKRI</t>
  </si>
  <si>
    <t>New Zealand Tertiary Education Commission; Natural Environment Research Council(UK Research &amp; Innovation (UKRI)Natural Environment Research Council (NERC)); NERC(UK Research &amp; Innovation (UKRI)Natural Environment Research Council (NERC))</t>
  </si>
  <si>
    <t>We thank T. Hawes and two anonymous reviewers for constructive comments on an earlier version of the manuscript. We thank members of the Centre for Invasion Biology, University of Stellenbosch, and colleagues on Marion Island, particularly Valdon Smith, Charlene Scheepers and Elrike Marais. AM was supported by a New Zealand Tertiary Education Commission Top Achievers Doctoral Scholarship. This paper forms a contribution to the SCAR EBA research programme.</t>
  </si>
  <si>
    <t>10.1007/s00300-010-0767-2</t>
  </si>
  <si>
    <t>WOS:000278897300004</t>
  </si>
  <si>
    <t>Wittmann, A; Held, C; Pörtner, H; Sartoris, F</t>
  </si>
  <si>
    <t>Wittmann, Astrid C.; Held, Christoph; Poertner, Hans O.; Sartoris, Franz J.</t>
  </si>
  <si>
    <t>Ion regulatory capacity and the biogeography of Crustacea at high southern latitudes</t>
  </si>
  <si>
    <t>Antarctic; Haemolymph ion composition; Decapoda; Isopoda; Amphipoda; Magnesium</t>
  </si>
  <si>
    <t>HEMOLYMPH MAGNESIUM; DECAPOD CRUSTACEANS; SEROLID ISOPODS; BLUE-CRAB; TEMPERATURE; SULFATE; GILLS; COLD; INVERTEBRATES; ANTARCTICA</t>
  </si>
  <si>
    <t>Brachyuran and anomuran decapod crabs do not occur in the extremely cold waters of the Antarctic continental shelf whereas caridean and other shrimp-like decapods, amphipods and isopods are highly abundant. Differing capacities for extracellular ion regulation, especially concerning magnesium, have been hypothesised to determine cold tolerance and by that the biogeography of Antarctic crustaceans. Magnesium is known to have a paralysing effect, which is even more distinct in the cold. As only few or no data exist on haemolymph ionic composition of Sub-Antarctic and Antarctic crustaceans, haemolymph samples of 12 species from these regions were analysed for the concentrations of major inorganic ions (Na+, K+, Ca2+, Mg2+, Cl-, SO4 (2-)) by ion chromatography. Cation relationships guaranteed neuromuscular excitability in all species. Sulphate and potassium correlated positively with magnesium concentration. The Antarctic caridean decapod as well as the amphipods maintained low (6-20% of ambient sea water magnesium concentration), Sub-Antarctic brachyuran and anomuran crabs as well as the Antarctic isopods high (54-96% of ambient sea water magnesium concentration) haemolymph magnesium levels. In conclusion, magnesium regulation may explain the biogeography of decapods, but not that of the peracarids.</t>
  </si>
  <si>
    <t>[Wittmann, Astrid C.; Held, Christoph; Poertner, Hans O.; Sartoris, Franz J.] Alfred Wegener Inst Polar &amp; Marine Res, D-27570 Bremerhaven, Germany</t>
  </si>
  <si>
    <t>Helmholtz Association; Alfred Wegener Institute, Helmholtz Centre for Polar &amp; Marine Research</t>
  </si>
  <si>
    <t>Wittmann, A (corresponding author), Alfred Wegener Inst Polar &amp; Marine Res, Handelshafen 12, D-27570 Bremerhaven, Germany.</t>
  </si>
  <si>
    <t>Astrid.Wittmann@awi.de</t>
  </si>
  <si>
    <t>Pörtner, Hans-O./ISU-9397-2023; Pörtner, Hans-O./K-9429-2016</t>
  </si>
  <si>
    <t>Pörtner, Hans-O./0000-0001-6535-6575; Wittmann, Astrid/0000-0002-4839-5633; Sartoris, Franz-Josef/0000-0001-7228-3220</t>
  </si>
  <si>
    <t>Deutsche Forschungsgemeinschaft [SA 1713, He 3391/3]; National Science Foundation [OPP V01-32032]</t>
  </si>
  <si>
    <t>Deutsche Forschungsgemeinschaft(German Research Foundation (DFG)); National Science Foundation(National Science Foundation (NSF))</t>
  </si>
  <si>
    <t>We would like to thank Timo Hirse and Florian Leese for sample collection. We greatly appreciate the help of the crew of RV Polarstern during the transport of live animals. The experiments comply with the current laws of the country in which they were performed. This study was supported by Deutsche Forschungsgemeinschaft grants no. SA 1713 and He 3391/3 and by National Science Foundation grant no. OPP V01-32032. This is publication 25 of the ICEFISH cruise 2004.</t>
  </si>
  <si>
    <t>10.1007/s00300-010-0768-1</t>
  </si>
  <si>
    <t>WOS:000278897300005</t>
  </si>
  <si>
    <t>Lo Giudice, A; Casella, P; Caruso, C; Mangano, S; Bruni, V; De Domenico, M; Michaud, L</t>
  </si>
  <si>
    <t>Lo Giudice, A.; Casella, P.; Caruso, C.; Mangano, S.; Bruni, V.; De Domenico, M.; Michaud, L.</t>
  </si>
  <si>
    <t>Occurrence and characterization of psychrotolerant hydrocarbon-oxidizing bacteria from surface seawater along the Victoria Land coast (Antarctica)</t>
  </si>
  <si>
    <t>Ross Sea; ARDRA; Cultivable bacteria; Hydrocarburic substrate specificity</t>
  </si>
  <si>
    <t>TERRA-NOVA BAY; ARCTIC SEA-ICE; ROSS SEA; MICROBIAL COMMUNITIES; DEGRADING BACTERIA; MARINE-BACTERIA; DIESEL-OIL; CRUDE-OIL; PHYLOGENETIC DIVERSITY; SCOTT BASE</t>
  </si>
  <si>
    <t>A total of 253 hydrocarbon-oxidizing bacterial isolates were achieved from eight Antarctic surface seawater samples enriched on diesel oil at 4A degrees C. Isolates were screened by amplified ribosomal DNA restriction analysis prior to 16S rRNA gene sequencing. Sequences were compared to those in available databases using the Basic Local Alignment Search Tool network service to determine their approximate phylogenetic affiliations. The majority of the isolates were affiliated to the Actinobacteria (75.9%) and the Gamma-Proteobacteria (22.9%). The Alpha- and Beta-Proteobacteria represented 0.8 and 0.4% of total isolates, respectively. The Actinobacteria were predominantly allocated to the genera Arthrobacter, Cryobacterium and Rhodococcus. The Gamma-Proteobacteria were mainly found to be related to the genus Pseudomonas. Conversely, the Alpha- and Beta-Proteobacterial isolates shared the highest degree of sequence identity with unclassified bacteria. Differences in the distribution of the detected phylotypes were observed among the analyzed samples. Isolates representing each phylotype were selected for further characterization, including phenotypic assays and screening for the growth ability in the presence of individual hydrocarburic substrates as the sole supplied carbon and energy source. Isolates possessed different patterns of substrate utilization. Aliphatic hydrocarbons supported the growth of a higher number of isolates than aromatics. Results confirm the ability of our Antarctic marine bacteria to utilize hydrocarbons at low temperature and therefore suggesting that isolates with different substrate specificities can act in nature as a consortium in the utilization of complex hydrocarburic mixtures.</t>
  </si>
  <si>
    <t>[Lo Giudice, A.; Caruso, C.; Mangano, S.; Bruni, V.; De Domenico, M.; Michaud, L.] Univ Messina, DBAEM, I-98166 Messina, Italy</t>
  </si>
  <si>
    <t>University of Messina</t>
  </si>
  <si>
    <t>Casella, Patrizia/AAV-6384-2020</t>
  </si>
  <si>
    <t>Casella, Patrizia/0000-0001-7683-4317</t>
  </si>
  <si>
    <t>Italian Ministry of Education and Research [PNRA 2004/1.6]; Museo Nazionale dell'Antartide (MNA); Programma Nazionale di Ricerche in Antartide (PNRA)</t>
  </si>
  <si>
    <t>Italian Ministry of Education and Research(Ministry of Education, Universities and Research (MIUR)); Museo Nazionale dell'Antartide (MNA); Programma Nazionale di Ricerche in Antartide (PNRA)</t>
  </si>
  <si>
    <t>L. Michaud and A. Lo Giudice wish to thank all of the staff at Mario Zucchelli Station for the logistic help and support which made possible the expedition. Our thanks also to Asim Bej, Odd Gunnar Brakstad and an anonymous reviewer for helpful comments on the manuscript, and to Emma Mell and Elise Engler for the English revision. This research was supported by grants from the Programma Nazionale di Ricerche in Antartide (PNRA), Italian Ministry of Education and Research (PEA 2004, Research Project PNRA 2004/1.6) and from the Museo Nazionale dell'Antartide (MNA).</t>
  </si>
  <si>
    <t>10.1007/s00300-010-0770-7</t>
  </si>
  <si>
    <t>WOS:000278897300006</t>
  </si>
  <si>
    <t>Becker, S; Graeve, M; Bischof, K</t>
  </si>
  <si>
    <t>Becker, Susanne; Graeve, Martin; Bischof, Kai</t>
  </si>
  <si>
    <t>Photosynthesis and lipid composition of the Antarctic endemic rhodophyte Palmaria decipiens: effects of changing light and temperature levels</t>
  </si>
  <si>
    <t>Antarctica; Palmaria decipiens; Lipid composition; Photosynthesis</t>
  </si>
  <si>
    <t>FATTY-ACID-COMPOSITION; UV-RADIATION; POTTER COVE; SEA-ICE; MACROALGAE; ACCLIMATION; RED; PHOTOINHIBITION; REQUIREMENTS; DYNAMICS</t>
  </si>
  <si>
    <t>In coastal waters, Antarctic rhodophytes are exposed to harsh environmental conditions throughout the year, like low water temperatures ranging from -1.8A degrees C to 2A degrees C and high light during the summer season. Photosynthetic performance under these conditions may be affected by slowed down enzymatic reactions and the increased generation of reactive oxygen species. The consequence might be a chronic photoinhibition of photosynthetic primary reactions related to increased fragmentation of the D1 reaction centre protein in photosystem II. It is hypothesized that changes in lipid composition of biomembranes may represent an adaptive trait to maintain D1 turnover in response to temperature variation. The interactive effects of high light and low temperature were studied on an endemic Antarctic red alga, Palmaria decipiens, sampled from two shore levels, intertidal and subtidal, and exposed to mesocosm experiments using two levels of natural solar radiation and two different temperature regimes (2-5A degrees C and 5-10A degrees C). During the experimental period of 23 days, maximum quantum yield of photosynthesis decreased in all treatments, with the intertidal specimens exposed at 5-10A degrees C being most affected. On the pigment level, a decreasing ratio of phycobiliproteins to chlorophyll a was found in all treatments. A pronounced decrease in D1 protein concentration occurred in subtidal specimens exposed at 2-5A degrees C. Marked changes in lipid composition, i.e. the ratio of saturated to unsaturated fatty acids, indicated an effective response of specimens to temperature change. Results provide new insights into mechanisms of stress adaptation in this key species of shallow Antarctic benthic communities.</t>
  </si>
  <si>
    <t>[Becker, Susanne; Bischof, Kai] Univ Bremen, Dept Marine Bot, D-28359 Bremen, Germany; [Graeve, Martin] Alfred Wegener Inst, D-27570 Bremerhaven, Germany</t>
  </si>
  <si>
    <t>University of Bremen; Helmholtz Association; Alfred Wegener Institute, Helmholtz Centre for Polar &amp; Marine Research</t>
  </si>
  <si>
    <t>Becker, S (corresponding author), Univ Bremen, Dept Marine Bot, Leobener Str NW2, D-28359 Bremen, Germany.</t>
  </si>
  <si>
    <t>sbecker@ipoe.uni-kiel.de</t>
  </si>
  <si>
    <t>Graeve, Martin/B-5751-2017</t>
  </si>
  <si>
    <t>Graeve, Martin/0000-0002-2294-1915; Bischof, Kai/0000-0002-4497-1920</t>
  </si>
  <si>
    <t>Deutsche Forschungsgemeinschaft (DFG) [Bi 772/7-1,2,3]</t>
  </si>
  <si>
    <t>Deutsche Forschungsgemeinschaft (DFG)(German Research Foundation (DFG))</t>
  </si>
  <si>
    <t>Funding by the Deutsche Forschungsgemeinschaft (DFG, Bi 772/7-1,2,3) is gratefully acknowledged. We are also thankful to Christian Wiencke as well as the AWI diving team for logistic support and sample supply. SB is grateful for Marie-Louise Kroon's help during the Antarctic campaign. The study has been performed upon agreement for cooperation between the Direccion Nacional del Antarctico (Argentina) and the Alfred Wegener Institute (Germany).</t>
  </si>
  <si>
    <t>10.1007/s00300-010-0772-5</t>
  </si>
  <si>
    <t>WOS:000278897300007</t>
  </si>
  <si>
    <t>Krafft, BA; Melle, W; Knutsen, T; Bagoien, E; Broms, C; Ellertsen, B; Siegel, V</t>
  </si>
  <si>
    <t>Krafft, B. A.; Melle, W.; Knutsen, T.; Bagoien, E.; Broms, C.; Ellertsen, B.; Siegel, V.</t>
  </si>
  <si>
    <t>Distribution and demography of Antarctic krill in the Southeast Atlantic sector of the Southern Ocean during the austral summer 2008</t>
  </si>
  <si>
    <t>Antarctic krill; Euphausia superba; Southern Ocean; Zooplankton; Demography</t>
  </si>
  <si>
    <t>EUPHAUSIA-SUPERBA; SALP/KRILL INTERACTIONS; POPULATION-DYNAMICS; BRANSFIELD STRAIT; SEA; PHYTOPLANKTON; PENINSULA; GEORGIA; BIOMASS; SWARMS</t>
  </si>
  <si>
    <t>This study documents horizontal distribution and demography of Antarctic krill (Euphausia superba) from the Southern Ocean during January-March 2008. The cruise predominantly occurred in CCAMLR Subarea 48.6, where knowledge about the ecosystem is limited. E. superba were not found north of 52A degrees S. The biomass, estimated from trawl catches, was highest (63.09 g/m(2)) at a station 680 km southeast of Bouvetoya and at two stations 1,400 and 600 km southeast and southwest of Bouvetoya, 54.67 and 61.38 g/m(2), respectively. Body length ranged from 19 to 61 mm (N = 8,538), with a mean of 42.0 +/- A 6.4 mm (SD). The overall sex ratio was 1:1, 46.2% males (13.2% adults and 33.0% subadults), 46.1% females (33.6% adults and 12.5% subadults), while 7.5% were juveniles. Trawl stations dominated by adults were found west and north of Bouvetoya. Stations with high proportions of subadults and juveniles were mainly found southeast of the island. Four cluster groups were differentiated: analyzing data on krill sex proportions, maturity stages, hydrography, nutrients and chlorophyll concentrations. Two groups represented stations located in the northern part of the study area, where E. superba were absent; water temperatures were higher and the nutrient concentrations lower compared to the groups where E. superba were present. This study shows that bathymetric features like the North Weddell Ridge including Bouvetoya are important for concentrating krill probably due to water mass characteristics and advective processes which influence regional krill demography. The southern regions of CCAMLR sector 48.6 are essential for understanding regional krill recruitment and production.</t>
  </si>
  <si>
    <t>[Krafft, B. A.; Melle, W.; Knutsen, T.; Bagoien, E.; Broms, C.; Ellertsen, B.] Inst Marine Res, N-5817 Bergen, Norway; [Siegel, V.] Seafisheries Res Inst, D-22767 Hamburg, Germany</t>
  </si>
  <si>
    <t>Institute of Marine Research - Norway</t>
  </si>
  <si>
    <t>Krafft, BA (corresponding author), Inst Marine Res, POB 1870, N-5817 Bergen, Norway.</t>
  </si>
  <si>
    <t>bjorn.krafft@imr.no</t>
  </si>
  <si>
    <t>Knutsen, Tor/0000-0003-3531-5611</t>
  </si>
  <si>
    <t>Royal Norwegian Ministry of Fisheries and Coastal affairs; Institute of Marine Research; University of Bergen; Norwegian Antarctic Research Expeditions (NARE); Norwegian Research Council, StatoilHydro; Norwegian Petroleum Directorate; BMBF [MGS 03F046A]</t>
  </si>
  <si>
    <t>Royal Norwegian Ministry of Fisheries and Coastal affairs; Institute of Marine Research; University of Bergen; Norwegian Antarctic Research Expeditions (NARE); Norwegian Research Council, StatoilHydro(Research Council of Norway); Norwegian Petroleum Directorate; BMBF(Federal Ministry of Education &amp; Research (BMBF))</t>
  </si>
  <si>
    <t>AKES (Antarctic Krill and Ecosystem Studies) was supported by the Royal Norwegian Ministry of Fisheries and Coastal affairs, the Institute of Marine Research, the University of Bergen, the Norwegian Antarctic Research Expeditions (NARE), the Norwegian Research Council, StatoilHydro, and the Norwegian Petroleum Directorate. Dr V. Siegel was supported by the German LAKRIS Project (BMBF MGS 03F046A). We thank Dr P. Wiebe, Department of Biology, Wood Hole Oceanographic Institution, USA, for help and advice during the survey and Dr. G. A. Tarling and the British Antarctic Survey for valuable help with species determination both prior to and after the cruise. We would also like to extend our gratitude to the crew of the RV G. O. Sars.</t>
  </si>
  <si>
    <t>10.1007/s00300-010-0774-3</t>
  </si>
  <si>
    <t>WOS:000278897300008</t>
  </si>
  <si>
    <t>Nesti, I; Ropert-Coudert, Y; Kato, A; Beaulieu, M; Focardi, S; Olmastroni, S</t>
  </si>
  <si>
    <t>Nesti, Irene; Ropert-Coudert, Yan; Kato, Akiko; Beaulieu, Michael; Focardi, Silvano; Olmastroni, Silvia</t>
  </si>
  <si>
    <t>Diving behaviour of chick-rearing Ad,lie Penguins at Edmonson Point, Ross Sea</t>
  </si>
  <si>
    <t>Diving behaviour; Adelie penguin; Breeding stages; Sea-ice; Edmonson Point</t>
  </si>
  <si>
    <t>ADELIE PENGUINS; PYGOSCELIS-ADELIAE; BECHERVAISE-ISLAND; FORAGING BEHAVIOR; ICE CONDITIONS; KRILL; PERFORMANCE; ABUNDANCE; CONSTRAINTS; ANTARCTICA</t>
  </si>
  <si>
    <t>The diving behaviour of chick-rearing Ad,lie penguins of Edmonson Point, Ross Sea, was analysed over two summer seasons (1994-1995 and 1995-1996). In 1994-1995, the study area was characterized by fast-ice persistency throughout season and by higher pack ice concentration than the following year, when fast-ice retreated earlier. Both females' and males' behaviour were examined, and we then compared diving characteristic between years and between guard and crSche stages of chick rearing. We found that changes in fast-ice extent influenced the transit times between colony and foraging grounds and that females conducted longer foraging trips, dived for longer periods and made more dives than males. The diving parameters were affected neither by the sex nor by the year, but differed between the breeding stages. Parents guarding chicks had longer dive and bottom phase durations than in crSche (dive duration: guard = 48 s, crSche = 42 s; bottom duration: guard = 34 s, crSche = 26 s), whilst they had shorter recovery times (e.g. post dive duration) (guard = 29 s, crSche = 32 s). Possible causes for the observed differences in diving behaviours are discussed.</t>
  </si>
  <si>
    <t>[Nesti, Irene; Focardi, Silvano; Olmastroni, Silvia] Univ Siena, Dipartimento Sci Ambientali G Sarfatti, Sez Ecol Applicata, I-53100 Siena, Italy; [Ropert-Coudert, Yan; Kato, Akiko; Beaulieu, Michael] Univ Strasbourg, CNRS, Dept Ecol Physiol &amp; Ethol, Inst Pluridisciplinaire Hubert Curien,UMR 7178, F-67087 Strasbourg 2, France</t>
  </si>
  <si>
    <t>University of Siena; Universites de Strasbourg Etablissements Associes; Universite de Strasbourg; Centre National de la Recherche Scientifique (CNRS); CNRS - National Institute of Nuclear and Particle Physics (IN2P3)</t>
  </si>
  <si>
    <t>Nesti, I (corresponding author), Univ Siena, Dipartimento Sci Ambientali G Sarfatti, Sez Ecol Applicata, Via Mattioli 4, I-53100 Siena, Italy.</t>
  </si>
  <si>
    <t>irene.nesti@gmail.com</t>
  </si>
  <si>
    <t>Kato, Akiko/W-2447-2019; Beaulieu, Michaël/A-5261-2011; OLMASTRONI, Silvia/G-6267-2018</t>
  </si>
  <si>
    <t>Beaulieu, Michaël/0000-0002-9948-269X; OLMASTRONI, Silvia/0000-0002-9319-9914; Kato, Akiko/0000-0002-8947-3634</t>
  </si>
  <si>
    <t>Italian National Programme on Antarctic Research (PNRA); Ministry of University and Research (MIUR); Erasmus Placement programme</t>
  </si>
  <si>
    <t>Italian National Programme on Antarctic Research (PNRA); Ministry of University and Research (MIUR)(Ministry of Education, Universities and Research (MIUR)); Erasmus Placement programme</t>
  </si>
  <si>
    <t>This project has been funded by the Italian National Programme on Antarctic Research (PNRA) and Ministry of University and Research (MIUR). Australian Antarctic Division provided the APMS. We are grateful to the Australian and Italian researchers who contributed to the data collection in the field and to V. Volpi for GIS and sea-ice data elaboration. Erasmus Placement programme funded I. N. scientific training at IPHC-DEPE CNRS, France. We would like to thank Roger James Kirkwood and the other anonymous reviewers that made valuable comments that contributed to improve this manuscript.</t>
  </si>
  <si>
    <t>10.1007/s00300-010-0775-2</t>
  </si>
  <si>
    <t>WOS:000278897300009</t>
  </si>
  <si>
    <t>Ruhland, CT; Krna, MA</t>
  </si>
  <si>
    <t>Ruhland, Christopher T.; Krna, Matthew A.</t>
  </si>
  <si>
    <t>Effects of salinity and temperature on Deschampsia antarctica</t>
  </si>
  <si>
    <t>Deschampsia antarctica; Osmoregulation; Proline; Salt tolerance; Soil salinity; Temperature</t>
  </si>
  <si>
    <t>ULTRAVIOLET-B RADIATION; VASCULAR PLANTS; COLOBANTHUS-QUITENSIS; ARGENTINE ISLANDS; ABIOTIC STRESSES; PENINSULA AREA; CLIMATE-CHANGE; WATER-STRESS; SHORT-TERM; GROWTH</t>
  </si>
  <si>
    <t>Deschampsia antarctica is one of two species of vascular plants native to Antarctica. Populations of D. antarctica have become established on recently exposed glacial forelands on the Antarctic Peninsula and these plants may rely upon nutrient inputs from hauled out mammals, seabirds and sea spray. However, not much is known about the ability of these plants to tolerate salinity stress. We examined the effects of salinity and temperature on growth, reproduction, chlorophyll fluorescence and water relations of D. antarctica. In addition, we analysed concentrations of free proline in leaves and roots as previous studies have found large increases in the concentration of this amino acid in response to environmental stress. The growth chamber experiment was a 3 x 3 (temperature x salinity) complete factorial. Plants were grown at three temperature regimes: 7A degrees/7A degrees C, 12A degrees/7A degrees C, and 20A degrees/7A degrees C day/night and three salinity levels: &lt; 0.02 decismen per metre (dS m(-1); low salinity), 2.5 dS m(-1) (medium salinity), and 5.0 dS m(-1) (high salinity) for 66 days. Warmer temperatures improved leaf and tiller production as well as leaf and root length, which is consistent with previous findings on this species. Salinity reduced final root length by 6 and 13% in the medium and high-salinity treatments, respectively. Plants growing in medium and high-salinity treatments had xylem pressures that were more negative and higher free-proline concentrations, suggesting that proline may act as an osmoregulant in D. antarctica.</t>
  </si>
  <si>
    <t>[Ruhland, Christopher T.; Krna, Matthew A.] Minnesota State Univ, Trafton Sci Ctr TS242, Dept Biol Sci, Mankato, MN 56001 USA</t>
  </si>
  <si>
    <t>Minnesota State Colleges &amp; Universities; Minnesota State University Mankato</t>
  </si>
  <si>
    <t>Ruhland, CT (corresponding author), Minnesota State Univ, Trafton Sci Ctr TS242, Dept Biol Sci, Mankato, MN 56001 USA.</t>
  </si>
  <si>
    <t>christopher.ruhland@mnsu.edu</t>
  </si>
  <si>
    <t>National Science Foundation [OPP-0230579]; College of Graduate Studies and Research at Minnesota State University</t>
  </si>
  <si>
    <t>National Science Foundation(National Science Foundation (NSF)); College of Graduate Studies and Research at Minnesota State University</t>
  </si>
  <si>
    <t>This research was supported by the National Science Foundation Office of Polar Programs (Grant OPP-0230579) and a Summer Research Grant from The College of Graduate Studies and Research at Minnesota State University to CTR. We thank Mary Morgan for assistance with proline determinations and Drs. Thomas A Day and Fusheng Xiong for assistance with seed collection.</t>
  </si>
  <si>
    <t>10.1007/s00300-010-0764-5</t>
  </si>
  <si>
    <t>WOS:000278897300013</t>
  </si>
  <si>
    <t>Dibbern, JS</t>
  </si>
  <si>
    <t>Dibbern, J. Stephen</t>
  </si>
  <si>
    <t>Fur seals, whales and tourists: a commercial history of Deception Island, Antarctica</t>
  </si>
  <si>
    <t>Deception Island in the South Shetland Islands was the site of some of the earliest commercial activity to be carried out in the Antarctic with the early 19th century hunting of Antarctic fur seals. Nearly a century later it was the site of the most extensive anchorage for the reconstructed ships and ocean liners used as non-pelagic whale processing factories. Deception was also the site of what is the only successful land based commercial activity in Antarctic history. The Hektor whaling station operated in Whalers Bay from 1912 until 1931. Most of the remains of the station have now been obliterated by the volcanic activity that occurred in the late 1960s and 1970. By the later part of the twentieth century Deception Island had become a regular stop for the growing Antarctic tourist cruise industry. No other place in Antarctica has been so thoroughly identified with commercial activity.</t>
  </si>
  <si>
    <t>Dibbern, JS (corresponding author), 5996 Via Lane, Crozet, VA 22932 USA.</t>
  </si>
  <si>
    <t>victoriadibbern@aol.com</t>
  </si>
  <si>
    <t>10.1017/S0032247409008651</t>
  </si>
  <si>
    <t>Science Citation Index Expanded (SCI-EXPANDED); Arts &amp; Humanities Citation Index (A&amp;HCI)</t>
  </si>
  <si>
    <t>611QE</t>
  </si>
  <si>
    <t>WOS:000278834200003</t>
  </si>
  <si>
    <t>Ainley, DG</t>
  </si>
  <si>
    <t>Ainley, David G.</t>
  </si>
  <si>
    <t>A history of the exploitation of the Ross Sea, Antarctica</t>
  </si>
  <si>
    <t>SOUTHERN ELEPHANT SEALS; CONTINENTAL-SHELF; MARINE ECOSYSTEM; MINKE WHALES; OCEAN; PENGUINS; CLIMATE; SECTOR; ICE</t>
  </si>
  <si>
    <t>Recent analyses of anthropogenic impacts on marine systems have shown that the Ross Sea is the least affected stretch of ocean on Earth, although historical effects were not included in those studies. Herein the literature is reviewed in order to quantify the extent of extraction of biological resources from the Ross Sea continental shelf and slope from the start of the 20th century. There was none before that time. An intense extraction of Weddell seals Leptonychotes weddellii by the expeditions of the 'heroic' period and then by New Zealand to feed sled dogs in the 1950-1980s caused the McMurdo Sound population to decrease permanently. Otherwise no other sealing occurred. Blue whales Balaenoptera musculus intermedia were extirpated from waters of the shelf break front during the 1920s, and have not reappeared. Minke whales B. bonaerensis probably expanded into the blue whale vacated habitat, but were then hunted during the 1970-1980s; their population has since recovered. Some minke whales are now taken in 'scientific whaling', twice more from the slope compared to the shelf. Other hunted cetaceans never occurred over the shelf and very few ever occurred in slope waters, and therefore their demise from whaling does not apply to the Ross Sea. No industrial fishing occurred in the Ross Sea until the 1996-1997 summer, when a fishery for Antarctic toothfish Dissostichus mawsoni was initiated, especially along the slope. This fishery has grown since then with effects on the ecosystem recently becoming evident. There is probably no other ocean area where the details of biological exploitation can be so elucidated. It appears that the Ross Sea continental shelf remains the least affected of any on the globe. However the same cannot be said of the slope.</t>
  </si>
  <si>
    <t>HT Harvey &amp; Associates, Los Gatos, CA 95032 USA</t>
  </si>
  <si>
    <t>Ainley, DG (corresponding author), HT Harvey &amp; Associates, 983 Univ Ave,Bldg D, Los Gatos, CA 95032 USA.</t>
  </si>
  <si>
    <t>dainley@penguinscience.com</t>
  </si>
  <si>
    <t>NSF [OPP 0440643]</t>
  </si>
  <si>
    <t>This paper was prepared under NSF grant OPP 0440643, but the thoughts expressed are not necessarily those of the National Science Foundation. The paper was greatly improved by the comments of T.A. Branch, R.L. Brownell and P. Penhale. The first and second persons named also provided access to International Whaling Commission databases. I thank them for their help.</t>
  </si>
  <si>
    <t>10.1017/S003224740999009X</t>
  </si>
  <si>
    <t>WOS:000278834200005</t>
  </si>
  <si>
    <t>Gan, I</t>
  </si>
  <si>
    <t>Gan, Irina</t>
  </si>
  <si>
    <t>Soviet Antarctic plans after the International Geophysical Year: changes in policy</t>
  </si>
  <si>
    <t>The final months of the International Geophysical Year of 1957-1958 were a period when the political and scientific future of the Antarctic was being shaped, with many of the participating countries reassessing their policies regarding the South Polar region. This paper explores the thinking of both political and scientific figures in the USSR that helped mould Soviet Antarctic policy during this time and demonstrates that the two perspectives did not necessarily coincide. The political perspective is exemplified by the deputy chairman of the USSR council of ministers and member of the central committee of the Communist Party of the Soviet Union Aleksei Kosygin, and the scientific perspective by the deputy director of the Arctic and Antarctic Research Institute, Mikhail Somov. The fact that there was interplay between both viewpoints when planning the Soviet post IGY Antarctic programmes shows that political considerations did not always prevail over the scientific, with national prestige being an area in which their interests overlapped. Ultimately, Somov was instrumental in reducing to some extent the effects of the Soviet government's attempts to curtail Soviet Antarctic research operations when it was reassessing its policy in the light of new international initiatives regarding future collaboration in the Antarctic.</t>
  </si>
  <si>
    <t>Univ Tasmania, Inst Antarctic &amp; So Ocean Studies, Hobart, Tas 7001, Australia</t>
  </si>
  <si>
    <t>Gan, I (corresponding author), Univ Tasmania, Inst Antarctic &amp; So Ocean Studies, Private Bag 77, Hobart, Tas 7001, Australia.</t>
  </si>
  <si>
    <t>igan@postoffice.utas.edu.au</t>
  </si>
  <si>
    <t>10.1017/S0032247409008456</t>
  </si>
  <si>
    <t>WOS:000278834200006</t>
  </si>
  <si>
    <t>Ibáñez, ED; Costa, M</t>
  </si>
  <si>
    <t>del Acebo Ibanez, Enrique; Costa, Mariano</t>
  </si>
  <si>
    <t>Antarctic environmental problems: attitudes and behaviours of young inhabitants of two Argentine cities (Buenos Aires and San Carlos de Bariloche)</t>
  </si>
  <si>
    <t>This study tries to show how the different modes of the fact of urban dwelling relate to the different forms and types of behaviour and representations of reality in relation to the present and future environmental problems, and their probable and desirable solutions, of Antarctica. On the basis of a theoretical socio-ecological and socio-existential discussion, together with a 'rootedness' approach, the results of a comparative study on young inhabitants (15-25 years old) of the Patagonian city of San Carlos de Bariloche, and the city of Buenos Aires, are analysed in order to ascertain their representations, perceptions, attitudes, and behaviours, in relation to Antarctica, its environmental problems, and possible solutions to them. 'Rootedness' is considered as a 'total phenomenon': multidimensional and interdependent among its different dimensions, spatial, social, and cultural, and also as an explanatory variable, together with anomie, (taken in this context as being an individual and/or structural situation that emerged when subjects do not feel that the current normative and axiological framework applies to them), participation, and consumerism. These variables were measured and related to different attitudes and behaviours of the young inhabitants in question. Individuals with a high 'rootedness' level, and a low anomie level tend to identify environmental problems as dealing with immediate human action in terms of depredation and/or direct pollution. At the same time, this type of social actor ('rooted' and not anomie) tends to give priority as a solution to the socialisation and information processes. Perhaps a clear visualisation, coupled with a clear experience of the normative-axiological web of a given society could anchor individuals so that they could be in a better position to identify environmental problems, as well as possible causes and solutions thereof. A high grade of anomie causes subjects to envisage the future in a most pessimistic way. Control and punishment as a means of remedying environmental problems tend to be emphasised predominantly among subjects within the 20-25 age range, and within a higher percentage of females. The same solution is also suggested by individuals suffering from a low actual, as well as potential, participation level. Antarctica tends to be seen as the Terra Incognita. The high percentage of subjects that do not answer or say that they do not know the Antarctic issue can be summed up as a predominant 'couldn't-care-less', indifference many young people demonstrate with respect to the continent. The imaginary Antarctica, as a fruit of an aesthetic, poetic. and utopian vision is predominantly present among young people with a lower level of consumerism orientated life, a low anomie level and a high grade of potential participation, that is, individuals endowed with sufficient energy to experience and go ahead in concepts in which Antarctica rises as a metaphor of beauty, mystery, purity, virginity, and as the last shelter. Conversely, a more pragmatic and conflict aimed vision of Antarctica is to be found in a higher ratio among young people with the highest socio-economic level (SEL).</t>
  </si>
  <si>
    <t>[del Acebo Ibanez, Enrique] Fdn High Studies Antarctica &amp; Extreme Environm, Natl Council Sci Res, Buenos Aires, DF, Argentina; [Costa, Mariano] FASTA Univ Bariloche, RA-8400 San Carlos De Bariloche, Rio Negro, Argentina</t>
  </si>
  <si>
    <t>Ibáñez, ED (corresponding author), Fdn High Studies Antarctica &amp; Extreme Environm, Natl Council Sci Res, Ayacucho 926,4 B,C1111AAD, Buenos Aires, DF, Argentina.</t>
  </si>
  <si>
    <t>edelacebo@yahoo.com</t>
  </si>
  <si>
    <t>10.1017/S0032247409990404</t>
  </si>
  <si>
    <t>WOS:000278834200007</t>
  </si>
  <si>
    <t>Wienecke, B</t>
  </si>
  <si>
    <t>Wienecke, Barbara</t>
  </si>
  <si>
    <t>The history of the discovery of emperor penguin colonies, 1902-2004</t>
  </si>
  <si>
    <t>APTENODYTES-FORSTERI; ROSS SEA; ANTARCTICA; ISLAND</t>
  </si>
  <si>
    <t>This article summarises the history of the discovery of emperor penguin Aptenodytes forsteri colonies. Emperor penguins were probably first seen on James Cook's second voyage (1773-1775) but were not recorded as a separate species until 1844. The first breeding colony of these birds was found in 1902 and a further 32 were sighted over the next century. The total number of colonies is still unknown but today satellite technology is aiding the process of discovery.</t>
  </si>
  <si>
    <t>Australian Antarctic Div, Kingston, Tas 7050, Australia</t>
  </si>
  <si>
    <t>Wienecke, B (corresponding author), Australian Antarctic Div, 203 Channel Highway, Kingston, Tas 7050, Australia.</t>
  </si>
  <si>
    <t>Barbara.Wienecke@aad.gov.au</t>
  </si>
  <si>
    <t>10.1017/S0032247409990283</t>
  </si>
  <si>
    <t>WOS:000278834200009</t>
  </si>
  <si>
    <t>Woehler, EJ; Blight, L; Bullock, I</t>
  </si>
  <si>
    <t>Woehler, Eric J.; Blight, Louise; Bullock, Ian</t>
  </si>
  <si>
    <t>Ornithological observations at Eckener Point, Antarctic Peninsula</t>
  </si>
  <si>
    <t>[Woehler, Eric J.] Univ Tasmania, Sch Zool, Hobart, Tas 7000, Australia; [Blight, Louise] Procellaria Res &amp; Consulting, Victoria, BC V9A 5C3, Canada; [Blight, Louise] Univ British Columbia, Ctr Appl Conservat Res, Vancouver, BC V6T 1Z4, Canada; [Bullock, Ian] Tegfan, St Davids SA62 6QP, Pembroke, Wales</t>
  </si>
  <si>
    <t>University of Tasmania; University of British Columbia</t>
  </si>
  <si>
    <t>Woehler, EJ (corresponding author), Univ Tasmania, Sch Zool, Hobart, Tas 7000, Australia.</t>
  </si>
  <si>
    <t>eric.woehler@utas.edu.au</t>
  </si>
  <si>
    <t>Woehler, Eric/0000-0002-1125-0748</t>
  </si>
  <si>
    <t>10.1017/S003224740999012X</t>
  </si>
  <si>
    <t>WOS:000278834200011</t>
  </si>
  <si>
    <t>Young, JW; Guest, MA; Lansdell, M; Phleger, CF; Nichols, PD</t>
  </si>
  <si>
    <t>Young, Jock W.; Guest, Michaela A.; Lansdell, Matt; Phleger, Charles F.; Nichols, Peter D.</t>
  </si>
  <si>
    <t>Discrimination of prey species of juvenile swordfish Xiphias gladius (Linnaeus, 1758) using signature fatty acid analyses</t>
  </si>
  <si>
    <t>International Symposium on Climate Impacts on Oceanic Top Predators (CLIOTOP)</t>
  </si>
  <si>
    <t>DEC 03-07, 2007</t>
  </si>
  <si>
    <t>La Paz, MEXICO</t>
  </si>
  <si>
    <t>EASTERN AUSTRALIA; YELLOWFIN TUNA; BIOCHEMICAL-COMPOSITION; ISOTOPIC EVIDENCE; FEEDING ECOLOGY; TROPHIC MARKERS; MIDWATER FISHES; FOOD-WEB; OCEAN; DIET</t>
  </si>
  <si>
    <t>Signature lipid and fatty acid analysis were used to discriminate the diet of swordfish (Xiphias gladius, orbital fork length: 60-203 cm) from waters off eastern Australia. The fatty acid (FA) composition of a range of known prey (squid, myctophids, and other fishes) of swordfish, taken from stomach samples and from net tows, was compared with that of the white muscle tissue (WMT) of swordfish from the same region. Swordfish muscle was lipid rich (average 24-42% dry weight), as was the skeleton (28-41%). The robustness of the approach was also tested by comparison against a key squid prey species that was collected and stored using different protocols: (i) fresh frozen, (ii) fresh frozen, then thawed, and (iii) stomach content collection. The FA profiles were generally similar, with the ratio of docosahexaenoic acid (DHA) and palmitic acid (16:0) in particular showing no significant difference. Major fatty acids in swordfish WMT were 18: 1 omega 9c, 16:0,22:6(0, and 18:0. Multidimensional scaling showed that the swordfish WMT grouped closely with small fish prey including myctophids, and not with squid. Squid contained markedly higher 22:6 omega 3 than swordfish. Individual prey species of the myctophidae could also be separated by the same technique. These results were supported by traditional stomach content analyses (SCA) that showed fish were the dominant prey for small swordfish sampled from southern waters whereas squid were the main prey in more northern waters, matching the FA patterns we found for the two regions. We propose that where general diet patterns are established, signature FA analysis has good potential to compliment or in some cases, replace temporal and spatial monitoring of trophic pathways for swordfish and other marine species. Crown Copyright (C) 2010 Published by Elsevier Ltd. All rights reserved.</t>
  </si>
  <si>
    <t>[Young, Jock W.; Lansdell, Matt; Phleger, Charles F.; Nichols, Peter D.] CSIRO Wealth Oceans Marine &amp; Atmospher Res, Hobart, Tas 7001, Australia; [Guest, Michaela A.] Tasmanian Aquaculture &amp; Fisheries Inst, Taroona, Tas 7053, Australia; [Phleger, Charles F.; Nichols, Peter D.] Antarctic &amp; Climate Ecosyst Cooperat Res Ctr, Hobart, Tas 7000, Australia</t>
  </si>
  <si>
    <t>Commonwealth Scientific &amp; Industrial Research Organisation (CSIRO); University of Tasmania; Antarctic Climate &amp; Ecosystems Cooperative Research Centre (ACE CRC)</t>
  </si>
  <si>
    <t>Young, JW (corresponding author), CSIRO Marine &amp; Atmospher Res, GPO Box 1538, Hobart, Tas 7001, Australia.</t>
  </si>
  <si>
    <t>jock.young@csiro.au</t>
  </si>
  <si>
    <t>Lansdell, Matt/F-1869-2013; Young, jock/A-1682-2012; Nichols, Peter D/C-5128-2011</t>
  </si>
  <si>
    <t>10.1016/j.pocean.2010.04.028</t>
  </si>
  <si>
    <t>626ZC</t>
  </si>
  <si>
    <t>WOS:000280006100013</t>
  </si>
  <si>
    <t>Scheffer, A; Trathan, PN; Collins, M</t>
  </si>
  <si>
    <t>Scheffer, Annette; Trathan, Philip N.; Collins, Martin</t>
  </si>
  <si>
    <t>Foraging behaviour of King Penguins (Aptenodytes patagonicus) in relation to predictable mesoscale oceanographic features in the Polar Front Zone to the north of South Georgia</t>
  </si>
  <si>
    <t>ANTARCTIC CIRCUMPOLAR CURRENT; DIEL VERTICAL MIGRATION; SEA-SURFACE TEMPERATURE; WARM-CORE EDDY; DIVING BEHAVIOR; CROZET ARCHIPELAGO; FALKLAND ISLANDS; SATELLITE TRACKING; KERGUELEN ISLANDS; MARINE PREDATOR</t>
  </si>
  <si>
    <t>Marine predators are thought to utilise oceanic features adjusting their foraging strategy in a scale-dependent manner. Thus, they are thought to dynamically alter their foraging behaviour in response to environmental conditions encountered. In this study, we examined the foraging behaviour of King Penguins (Aptenodytes patagonicus) breeding at South Georgia in relation to predictable and stable oceanographic features. We studied penguins during their long post-laying foraging trips during December 2005 and January 2006. For this investigation, we undertook a simultaneous analysis of ARGOS satellite-tracking data and Mk 7 Wild Life Computers Time Depth Recorder (TDR) dive data. To investigate correlations between foraging behaviour and oceanographic conditions, we used SST data from January 2006 from MODIS satellite AQUA. To determine changes in search effort, first passage time (FPT) was calculated; for analysis of dive behaviour, we used several dive parameters that are thought to be reliable indicators of changes in foraging behaviour. King Penguins appeared to target predictable mesoscale features in the Polar Front Zone (PFZ), either a warm-core eddy in the PFZ or regions of strong temperature gradients at oceanic fronts. Two different trip types could be distinguished: direct trips with a straight path to one foraging area at the edge of an eddy or at a thermal front, and circular trips where birds foraged along strong thermal gradients at the northern limit of the PFZ. It is likely that both trip types were a direct consequence of prey encounter rates and distributions, both of which are likely to be associated with these oceanographic features. Circular trips often included passages across the centre of an eddy where birds made deep foraging dives, but remained only a short time in the eddy, possibly because prey were too deep. All birds showed Area Restricted Search (ARS) at scales of &lt;10 km. The two trip types had different ARS patterns, with clear ARS hotspots for direct trips and several ARS hotspots over the whole duration of the trip for circular trips. Dive behaviour had clear relationships with the changing water temperature and the time of day, presumably in response to different prey distribution. Especially for direct trips, dive behaviour showed significant differences within and outside of ARS hotspots. Thus, King Penguins appear to target predictable mesoscale features in the PFZ. They use ARS in different patterns to exploit the environment and adjust their foraging strategy and diving behaviour depending upon conditions they encountered. Diving behaviour showed correlations to ARS patterns, especially for direct trips, which may represent a favourable foraging strategy. The presence of predictable oceanic features allows King Penguins to focus their foraging effort, presumably allowing them to increase their foraging success and decrease their diving effort. (C) 2010 Elsevier Ltd. All rights reserved.</t>
  </si>
  <si>
    <t>[Scheffer, Annette; Trathan, Philip N.; Collins, Martin] British Antarctic Survey, NERC, Cambridge, England</t>
  </si>
  <si>
    <t>Scheffer, A (corresponding author), British Antarctic Survey, NERC, High Cross,Madingley Rd, Cambridge, England.</t>
  </si>
  <si>
    <t>annhef@bas.ac.uk</t>
  </si>
  <si>
    <t>, Martin/ABE-6728-2020; Collins, Martin A/J-8560-2017</t>
  </si>
  <si>
    <t>, Martin/0000-0001-7132-8650;</t>
  </si>
  <si>
    <t>10.1016/j.pocean.2010.04.008</t>
  </si>
  <si>
    <t>WOS:000280006100022</t>
  </si>
  <si>
    <t>Jung, T; Balsamo, G; Bechtold, P; Beljaars, ACM; Köhler, M; Miller, MJ; Morcrette, JJ; Orr, A; Rodwell, MJ; Tompkins, AM</t>
  </si>
  <si>
    <t>Jung, T.; Balsamo, G.; Bechtold, P.; Beljaars, A. C. M.; Koehler, M.; Miller, M. J.; Morcrette, J-J; Orr, A.; Rodwell, M. J.; Tompkins, A. M.</t>
  </si>
  <si>
    <t>The ECMWF model climate: Recent progress through improved physical parametrizations</t>
  </si>
  <si>
    <t>systematic error; precipitation; atmospheric circulation; blocking; synoptic activity; convectively coupled waves; seamless approach; tropical-extratropical interaction</t>
  </si>
  <si>
    <t>INTEGRATED FORECAST SYSTEM; RADIATIVE-TRANSFER; PARAMETERIZATION; REPRESENTATION; VARIABILITY; CIRCULATION; IMPACT; WAVES; FIELD</t>
  </si>
  <si>
    <t>The progress achieved since 2005 in simulating today's climate with the European Centre for Medium-Range Weather Forecasts (ECMWF) model through improved physical parametrizations is described. Results are based on climate integrations at an intermediate horizontal resolution (T(L)159) using major model versions employed operationally at ECMWF since June 2005. Recent improvements to the physical parametrization package are shown to substantially reduce long-standing systematic model deficiencies in the tropical precipitation, convectively coupled tropical waves, and circulation features in the Northern Hemisphere Extratropics including synoptic-scale variability and Euro-Atlantic blocking. The climate integrations are augmented by a set of monthly forecast experiments. By considering the atmospheric response in a seamless sense, i.e. from time-scales of hours to many months, an attempt is made to understand the impact of changes to the convection and radiation schemes. Overall, the largest and mostly beneficial impact results from the introduction of a major revision to the convection scheme made in November 2007. This is true for systematic errors in the Tropics and Extratropics over a wide range of time-scales as well as for the short-range and medium-range deterministic forecast skill over the Northern Hemisphere. Copyright (C) 2010 Royal Meteorological Society</t>
  </si>
  <si>
    <t>[Jung, T.; Balsamo, G.; Bechtold, P.; Beljaars, A. C. M.; Koehler, M.; Miller, M. J.; Morcrette, J-J; Orr, A.; Rodwell, M. J.; Tompkins, A. M.] European Ctr Medium Range Weather Forecasts, Reading RG1 9AX, Berks, England; [Tompkins, A. M.] Abdus Salaam Int Ctr Theoret Phys, Trieste, Italy; [Orr, A.] British Antarctic Survey, Cambridge CB3 0ET, England</t>
  </si>
  <si>
    <t>European Centre for Medium-Range Weather Forecasts (ECMWF); Abdus Salam International Centre for Theoretical Physics (ICTP); UK Research &amp; Innovation (UKRI); Natural Environment Research Council (NERC); NERC British Antarctic Survey</t>
  </si>
  <si>
    <t>Jung, T (corresponding author), European Ctr Medium Range Weather Forecasts, Shinfield Pk, Reading RG1 9AX, Berks, England.</t>
  </si>
  <si>
    <t>jung@ecmwf.int</t>
  </si>
  <si>
    <t>Balsamo, Gianpaolo/I-3362-2013; Jung, Thomas/J-5239-2012; Tompkins, Adrian/N-6472-2013</t>
  </si>
  <si>
    <t>Balsamo, Gianpaolo/0000-0002-1745-3634; Jung, Thomas/0000-0002-2651-1293; Tompkins, Adrian/0000-0003-0975-6691; Bechtold, Peter/0000-0002-1967-3382; Rodwell, Mark John/0000-0001-5986-5218</t>
  </si>
  <si>
    <t>10.1002/qj.634</t>
  </si>
  <si>
    <t>644TD</t>
  </si>
  <si>
    <t>WOS:000281403100003</t>
  </si>
  <si>
    <t>Berg, S; Wagner, B; White, DA; Melles, M</t>
  </si>
  <si>
    <t>Berg, Sonja; Wagner, Bernd; White, Duanne A.; Melles, Martin</t>
  </si>
  <si>
    <t>No significant ice-sheet expansion beyond present ice margins during the past 4500 yr at Rauer Group, East Antarctica</t>
  </si>
  <si>
    <t>QUATERNARY RESEARCH</t>
  </si>
  <si>
    <t>Rauer Group; Glacial re-advance; Holocene; Marine sediments; East Antarctica</t>
  </si>
  <si>
    <t>PRYDZ BAY; HISTORY; CLIMATE; REGION</t>
  </si>
  <si>
    <t>The history of glacial advances and retreats of the East Antarctic ice sheet during the Holocene is not well-known, due to limited field evidence in both the marine and terrestrial realm. A 257-cm-long sediment core was recovered from a marine inlet in the Rauer Group, East Antarctica, 1.8 km in front of the present ice-sheet margin. Radiocarbon dating and lithological characteristics reveal that the core comprises a complete marine record since 4500 yr. A significant ice-sheet expansion beyond present ice margins therefore did not occur during this period. (C) 2010 University of Washington. Published by Elsevier Inc. All rights reserved.</t>
  </si>
  <si>
    <t>[Berg, Sonja; Wagner, Bernd; Melles, Martin] Univ Cologne, Inst Geol &amp; Mineral, D-50674 Cologne, Germany; [White, Duanne A.] Macquarie Univ, Dept Phys Geog, N Ryde, NSW 2109, Australia</t>
  </si>
  <si>
    <t>University of Cologne; Macquarie University</t>
  </si>
  <si>
    <t>Berg, S (corresponding author), Univ Cologne, Inst Geol &amp; Mineral, D-50674 Cologne, Germany.</t>
  </si>
  <si>
    <t>sberg0@uni-koeln.de</t>
  </si>
  <si>
    <t>Wagner, Bernd/J-4682-2012; White, Duanne A/E-6919-2012; Berg, Sonja/AAW-3817-2021; Melles, Martin/J-4070-2012</t>
  </si>
  <si>
    <t>Wagner, Bernd/0000-0002-1369-7893; Melles, Martin/0000-0003-0977-9463; White, Duanne/0000-0003-0740-2072; Berg, Sonja/0000-0002-9629-6007</t>
  </si>
  <si>
    <t>German Research Foundation [ME1169/15-1 and WA 2109/2-1]</t>
  </si>
  <si>
    <t>German Research Foundation(German Research Foundation (DFG))</t>
  </si>
  <si>
    <t>The project is funded by the German Research Foundation (grants ME1169/15-1 and WA 2109/2-1).</t>
  </si>
  <si>
    <t>0033-5894</t>
  </si>
  <si>
    <t>1096-0287</t>
  </si>
  <si>
    <t>QUATERNARY RES</t>
  </si>
  <si>
    <t>Quat. Res.</t>
  </si>
  <si>
    <t>10.1016/j.yqres.2010.04.004</t>
  </si>
  <si>
    <t>623RA</t>
  </si>
  <si>
    <t>WOS:000279758300004</t>
  </si>
  <si>
    <t>Curry, BB; Konen, ME; Larson, TH; Yansa, CH; Hackley, KC; Alexanderson, H; Lowell, TV</t>
  </si>
  <si>
    <t>Curry, B. Brandon; Konen, Michael E.; Larson, Timothy H.; Yansa, Catherine H.; Hackley, Keith C.; Alexanderson, Helena; Lowell, Thomas V.</t>
  </si>
  <si>
    <t>The DeKalb mounds of northeastern Illinois as archives of deglacial history and postglacial environments</t>
  </si>
  <si>
    <t>Deglaciation; Ice-walled lake; Pingo; Ostracode; Plant macrofossil</t>
  </si>
  <si>
    <t>FRESHWATER OSTRACODES; ISOTOPIC COMPOSITION; ICE; CANADA; WATER; PLAINS; OXYGEN</t>
  </si>
  <si>
    <t>The type DeKalb mounds of northeastern Illinois, USA (42.0 degrees N, -88.7 degrees W), are formed of basal sand and gravel overlain by rhythmically bedded fines, and weathered sand and gravel. Generally from 2 to 7 m thick, the fines include abundant fossils of ostracodes and uncommon leaves and stems of tundra plants. Rare chironomid head capsules, pillclam shells, and aquatic plant macrofossils also have been observed. Radiocarbon ages on the tundra plant fossils from the type region range from 20,420 to 18,560 cal yr BP. Comparison of radiocarbon ages of terrestrial plants from type area ice-walled lake plains and adjacent kettle basins indicate that the topographic inversion to ice-free conditions occurred from 18,560 and 16,650 cal yr BP. Outside the type area, the oldest reliable age of tundra plant fossils in DeKalb mound sediment is 21,680 cal yr BP; the mound occurs on the northern arm of the Ransom Moraine (-88.5436 degrees W, 41.5028 degrees N). The youngest age, 16,250 cal yr BP, is associated with a mound on the Deerfield Moraine (-87.9102 degrees W, 42.4260 degrees N) located about 9 km east of Lake Michigan. The chronology of individual successions indicates the lakes persisted on the periglacial landscape for about 300 to 1500 yr. (C) 2010 University of Washington. Published by Elsevier Inc. All rights reserved.</t>
  </si>
  <si>
    <t>[Curry, B. Brandon; Larson, Timothy H.; Hackley, Keith C.] Univ Illinois, Illinois State Geol Survey, Inst Nat Resource Sustainabil, Champaign, IL 61820 USA; [Konen, Michael E.] No Illinois Univ, Dept Geog, De Kalb, IL 60115 USA; [Yansa, Catherine H.] Michigan State Univ, Dept Geog, E Lansing, MI 48824 USA; [Alexanderson, Helena] Stockholm Univ, Dept Phys Geog &amp; Quaternary Geol, SE-10691 Stockholm, Sweden; [Lowell, Thomas V.] Univ Cincinnati, Dept Geol, Cincinnati, OH 45221 USA</t>
  </si>
  <si>
    <t>University of Illinois System; University of Illinois Urbana-Champaign; Northern Illinois University; Michigan State University; Stockholm University; University System of Ohio; University of Cincinnati</t>
  </si>
  <si>
    <t>Curry, BB (corresponding author), Univ Illinois, Illinois State Geol Survey, Inst Nat Resource Sustainabil, 615 E Peabody Dr, Champaign, IL 61820 USA.</t>
  </si>
  <si>
    <t>curry@isgs.illinois.edu</t>
  </si>
  <si>
    <t>Lowell, Thomas/0000-0001-7826-0636</t>
  </si>
  <si>
    <t>Corner Science and Education Foundation; Illinois State Geological Survey</t>
  </si>
  <si>
    <t>We thank Craig Vinson and family for generous property access, and appreciate their curiosity regarding the landscape that they farm and live on. The manuscript was initially presented on the 2008 Friends of the Pleistocene (Midwest Cell) field excursion. We are grateful for the thoughtful reviews and ideas of Kent Syverson, Tim Fisher, Steven Brown, Richard Baker and an anonymous reviewer. Funding for the radiocarbon ages was provided by the Corner Science and Education Foundation, and by the Illinois State Geological Survey. The bathymetric data from Taymyr is courtesy of Dr. Dmitri Bolshiyanov, Arctic and Antarctic Research Institute, St. Petersburg, Russia. Publication authorized by the Director, Illinois State Geological Survey.</t>
  </si>
  <si>
    <t>10.1016/j.yqres.2010.04.009</t>
  </si>
  <si>
    <t>WOS:000279758300011</t>
  </si>
  <si>
    <t>Miller, GH; Brigham-Grette, J; Alley, RB; Anderson, L; Bauch, HA; Douglas, MSV; Edwards, ME; Elias, SA; Finney, BP; Fitzpatrick, JJ; Funder, SV; Herbert, TD; Hinzman, LD; Kaufman, DS; MacDonald, GM; Polyak, L; Robock, A; Serreze, MC; Smol, JP; Spielhagen, R; White, JWC; Wolfe, AP; Wolff, EW</t>
  </si>
  <si>
    <t>Miller, G. H.; Brigham-Grette, J.; Alley, R. B.; Anderson, L.; Bauch, H. A.; Douglas, M. S. V.; Edwards, M. E.; Elias, S. A.; Finney, B. P.; Fitzpatrick, J. J.; Funder, S. V.; Herbert, T. D.; Hinzman, L. D.; Kaufman, D. S.; MacDonald, G. M.; Polyak, L.; Robock, A.; Serreze, M. C.; Smol, J. P.; Spielhagen, R.; White, J. W. C.; Wolfe, A. P.; Wolff, E. W.</t>
  </si>
  <si>
    <t>Temperature and precipitation history of the Arctic</t>
  </si>
  <si>
    <t>LAST GLACIAL MAXIMUM; SOUTHWEST YUKON-TERRITORY; OXYGEN-ISOTOPE RECORDS; ABRUPT CLIMATE-CHANGE; MEDIEVAL WARM PERIOD; TREE-RING CHRONOLOGY; LONG-CHAIN ALKENONES; CENTRAL BROOKS RANGE; HOLOCENE CLIMATE; HIGH-RESOLUTION</t>
  </si>
  <si>
    <t>As the planet cooled from peak warmth in the early Cenozoic, extensive Northern Hemisphere ice sheets developed by 2.6 Ma ago, leading to changes in the circulation of both the atmosphere and oceans. From similar to 2.6 to similar to 1.0 Ma ago, ice sheets came and went about every 41 ka, in pace with cycles in the tilt of Earth's axis, but for the past 700 ka, glacial cycles have been longer, lasting 100 ka, separated by brief, warm interglaciations, when sea level and ice volumes were close to present. The cause of the shift from 41 ka to 100 ka glacial cycles is still debated. During the penultimate interglaciation, similar to 130 to similar to 120 ka ago, solar energy in summer in the Arctic was greater than at any time subsequently. As a consequence, Arctic summers were 5 degrees C warmer than at present, and almost all glaciers melted completely except for the Greenland Ice Sheet, and even it was reduced in size substantially from its present extent. With the loss of land ice, sea level was about 5 m higher than present, with the extra melt coming from both Greenland and Antarctica as well as small glaciers. The Last Glacial Maximum (LGM) peaked similar to 21 ka ago, when mean annual temperatures over parts of the Arctic were as much as 20 degrees C lower than at present. Ice recession was well underway 16 ka ago, and most of the Northern Hemisphere ice sheets had melted by 6 ka ago. Solar energy reached a summer maximum (9% higher than at present) similar to 11 ka ago and has been decreasing since then, primarily in response to the precession of the equinoxes. The extra energy elevated early Holocene summer temperatures throughout the Arctic 1-3 degrees C above 20th century averages, enough to completely melt many small glaciers throughout the Arctic, although the Greenland Ice Sheet was only slightly smaller than at present. Early Holocene summer sea ice limits were substantially smaller than their 20th century average, and the flow of Atlantic water into the Arctic Ocean was substantially greater. As summer solar energy decreased in the second half of the Holocene, glaciers re-established or advanced, sea ice expanded, and the flow of warm Atlantic water into the Arctic Ocean diminished. Late Holocene cooling reached its nadir during the Little Ice Age (about 1250-1850 AD), when sun-blocking volcanic eruptions and perhaps other causes added to the orbital cooling, allowing most Arctic glaciers to reach their maximum Holocene extent. During the warming of the past century, glaciers have receded throughout the Arctic, terrestrial ecosystems have advanced northward, and perennial Arctic Ocean sea ice has diminished. Here we review the proxies that allow reconstruction of Quaternary climates and the feedbacks that amplify climate change across the Arctic. We provide an overview of the evolution of climate from the hot-house of the early Cenozoic through its transition to the ice-house of the Quaternary, with special emphasis on the anomalous warmth of the middle Pliocene, early Quaternary warm times, the Mid Pleistocene transition, warm interglaciations of marine isotope stages 11, 5e, and 1, the stage 3 interstadial, and the peak cold of the last glacial maximum. (C) 2010 Elsevier Ltd. All rights reserved.</t>
  </si>
  <si>
    <t>[Miller, G. H.; White, J. W. C.] Univ Colorado, Inst Arctic &amp; Alpine Res, Boulder, CO 80309 USA; [Miller, G. H.; White, J. W. C.] Univ Colorado, Dept Geol Sci, Boulder, CO 80309 USA; [Brigham-Grette, J.] Univ Massachusetts, Dept Geosci, Amherst, MA 01003 USA; [Alley, R. B.] Penn State Univ, Dept Geosci, University Pk, PA 16802 USA; [Alley, R. B.] Penn State Univ, Earth &amp; Environm Syst Inst, University Pk, PA 16802 USA; [Anderson, L.; Fitzpatrick, J. J.] US Geol Survey, Denver, CO 80225 USA; [Bauch, H. A.] IFM GEOMAR, Mainz Acad Sci Humanities &amp; Literature, D-24148 Kiel, Germany; [Douglas, M. S. V.; Wolfe, A. P.] Univ Alberta, Dept Earth &amp; Atmospher Sci, Edmonton, AB T6G 2E3, Canada; [Edwards, M. E.] Univ Southampton, Sch Geog, Southampton SO17 1BJ, Hants, England; [Elias, S. A.] Univ London, Dept Geog, Egham TW20 0EX, Surrey, England; [Finney, B. P.] Idaho State Univ, Dept Biol Sci, Pocatello, ID 83209 USA; [Funder, S. V.] Univ Copenhagen, Geol Museum, DK-1350 Copenhagen K, Denmark; [Herbert, T. D.] Brown Univ, Dept Geol Sci, Providence, RI 02912 USA; [Hinzman, L. D.] Univ Alaska Fairbanks, Water &amp; Environm Res Ctr, Fairbanks, AK 99775 USA; [Kaufman, D. S.] No Arizona Univ, Sch Earth Sci &amp; Environm Sustainabil, Flagstaff, AZ 86011 USA; [MacDonald, G. M.] Univ Calif Los Angeles, Dept Geog, Los Angeles, CA 90095 USA; [Polyak, L.] Ohio State Univ, Byrd Polar Res Ctr, Columbus, OH 43210 USA; [Robock, A.] Rutgers State Univ, Dept Environm Sci, New Brunswick, NJ 08901 USA; [Serreze, M. C.] Univ Colorado, NSIDC, Cooperat Inst Res Environm Sci, Boulder, CO 80309 USA; [Smol, J. P.] Queens Univ, Dept Biol, Kingston, ON K7L 3N6, Canada; [Spielhagen, R.] IFM GEOMAR, Leibniz Inst Marine Sci, D-24148 Kiel, Germany; [Wolff, E. W.] British Antarctic Survey, Cambridge CB3 0ET, England</t>
  </si>
  <si>
    <t>University of Colorado System; University of Colorado Boulder; University of Colorado System; University of Colorado Boulder; University of Massachusetts System; University of Massachusetts Amherst; Pennsylvania Commonwealth System of Higher Education (PCSHE); Pennsylvania State University; Pennsylvania State University - University Park; Pennsylvania Commonwealth System of Higher Education (PCSHE); Pennsylvania State University; Pennsylvania State University - University Park; United States Department of the Interior; United States Geological Survey; Helmholtz Association; GEOMAR Helmholtz Center for Ocean Research Kiel; University of Alberta; University of Southampton; University of London; Royal Holloway University London; Idaho; Idaho State University; University of Copenhagen; Brown University; University of Alaska System; University of Alaska Fairbanks; Northern Arizona University; University of California System; University of California Los Angeles; University System of Ohio; Ohio State University; Rutgers University System; Rutgers University New Brunswick; University of Colorado System; University of Colorado Boulder; Queens University - Canada; Helmholtz Association; GEOMAR Helmholtz Center for Ocean Research Kiel; UK Research &amp; Innovation (UKRI); Natural Environment Research Council (NERC); NERC British Antarctic Survey</t>
  </si>
  <si>
    <t>Miller, GH (corresponding author), Univ Colorado, Inst Arctic &amp; Alpine Res, Boulder, CO 80309 USA.</t>
  </si>
  <si>
    <t>gmiller@colorado.edu</t>
  </si>
  <si>
    <t>White, James W.C./A-7845-2009; Smol, John P/A-8838-2015; Wolff, Eric W/D-7925-2014; Wolfe, Alexander P/G-6867-2011; Kaufman, Darrell S/A-2471-2008; Spielhagen, Robert F./HMD-2002-2023; Hinzman, Larry D/B-3309-2013; Robock, Alan/B-6385-2016</t>
  </si>
  <si>
    <t>Wolff, Eric W/0000-0002-5914-8531; Smol, John/0000-0002-2499-6696; Elias, Scott/0000-0002-1498-1060; Robock, Alan/0000-0002-6319-5656</t>
  </si>
  <si>
    <t>United States National Science Foundation; Canadian Natural Sciences and Engineering Research Council; [ARC 0714074]; [ATM-0318479]; [0531211]; [0424589]; [0806387]; [0537593]; [0519512]; [ARC-0612473]; [ARC-0806999]; [OPP-0652838]; [ARC-0455043]; [ARC-0531040]; [ARC-0531302]; Directorate For Geosciences; Office of Polar Programs (OPP) [0909310, 0806999] Funding Source: National Science Foundation; NERC [bas0100024] Funding Source: UKRI; Natural Environment Research Council [bas0100024] Funding Source: researchfish</t>
  </si>
  <si>
    <t>United States National Science Foundation(National Science Foundation (NSF)); Canadian Natural Sciences and Engineering Research Council(Natural Sciences and Engineering Research Council of Canada (NSERC)); ; ; ; ; ; ; ; ; ; ; ; ; ; Directorate For Geosciences;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</si>
  <si>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We express our appreciation to the Earth Surface Processes Team of the U.S. Geological Survey in Denver for assistance in ms preparation. The following authors each acknowledge at least partial support from the United States National Science Foundation as follows: GHM, grants ARC 0714074 and ATM-0318479; RBA, grants 0531211 and 0424589; JWCVV, grants 0806387, 0537593 and 0519512; LP, grants ARC-0612473 and ARC-0806999; LDH, grant OPP-0652838; DSK, grant ARC-0455043; MCS, grants ARC-0531040, ARC-0531302. MSVD, JPS, and APW collectively acknowledge financial support through grants from the Canadian Natural Sciences and Engineering Research Council, and logistical support from the Polar Continental Shelf Project.</t>
  </si>
  <si>
    <t>1873-457X</t>
  </si>
  <si>
    <t>15-16</t>
  </si>
  <si>
    <t>10.1016/j.quascirev.2010.03.001</t>
  </si>
  <si>
    <t>623RB</t>
  </si>
  <si>
    <t>WOS:000279758400002</t>
  </si>
  <si>
    <t>Polyak, L; Alley, RB; Andrews, JT; Brigham-Grette, J; Cronin, TM; Darby, DA; Dyke, AS; Fitzpatrick, JJ; Funder, S; Holland, M; Jennings, AE; Miller, GH; O'Regan, M; Savelle, J; Serreze, M; St John, K; White, JWC; Wolff, E</t>
  </si>
  <si>
    <t>Polyak, Leonid; Alley, Richard B.; Andrews, John T.; Brigham-Grette, Julie; Cronin, Thomas M.; Darby, Dennis A.; Dyke, Arthur S.; Fitzpatrick, Joan J.; Funder, Svend; Holland, Marika; Jennings, Anne E.; Miller, Gifford H.; O'Regan, Matt; Savelle, James; Serreze, Mark; St John, Kristen; White, James W. C.; Wolff, Eric</t>
  </si>
  <si>
    <t>History of sea ice in the Arctic</t>
  </si>
  <si>
    <t>KAP KOBENHAVN FORMATION; NORTH-ATLANTIC; HOLOCENE CLIMATE; ATMOSPHERIC CIRCULATION; THERMOHALINE CIRCULATION; ENVIRONMENTAL-CHANGE; BALAENA-MYSTICETUS; LATE TERTIARY; NORDIC SEAS; SURFACE CONDITIONS</t>
  </si>
  <si>
    <t>Arctic sea-ice extent and volume are declining rapidly. Several studies project that the Arctic Ocean may become seasonally ice-free by the year 2040 or even earlier. Putting this into perspective requires information on the history of Arctic sea-ice conditions through the geologic past. This information can be provided by proxy records from the Arctic Ocean floor and from the surrounding coasts. Although existing records are far from complete, they indicate that sea ice became a feature of the Arctic by 47 Ma, following a pronounced decline in atmospheric pCO(2) after the Paleocene-Eocene Thermal Optimum, and consistently covered at least part of the Arctic Ocean for no less than the last 13-14 million years. Ice was apparently most widespread during the last 2-3 million years, in accordance with Earth's overall cooler climate. Nevertheless, episodes of considerably reduced sea ice or even seasonally ice-free conditions occurred during warmer periods linked to orbital variations. The last low-ice event related to orbital forcing (high insolation) was in the early Holocene, after which the northern high latitudes cooled overall, with some superimposed shorterterm (multidecadal to millennial-scale) and lower-magnitude variability. The current reduction in Arctic ice cover started in the late 19th century, consistent with the rapidly warming climate, and became very pronounced over the last three decades. This ice loss appears to be unmatched over at least the last few thousand years and unexplainable by any of the known natural variabilities. (C) 2010 Elsevier Ltd. All rights reserved.</t>
  </si>
  <si>
    <t>[Polyak, Leonid] Ohio State Univ, Byrd Polar Res Ctr, Columbus, OH 43210 USA; [Alley, Richard B.] Penn State Univ, University Pk, PA 16802 USA; [Brigham-Grette, Julie] Univ Massachusetts, Amherst, MA 01003 USA; [Cronin, Thomas M.] US Geol Survey, Reston, VA 22092 USA; [Darby, Dennis A.] Old Dominion Univ, Norfolk, VA USA; [Dyke, Arthur S.] Geol Survey Canada, Ottawa, ON, Canada; [Fitzpatrick, Joan J.] US Geol Survey, Denver, CO 80225 USA; [Funder, Svend] Univ Copenhagen, Copenhagen, Denmark; [Holland, Marika; Serreze, Mark] Univ Colorado, Cooperat Inst Res Environm Sci, Boulder, CO 80309 USA; [O'Regan, Matt] Stockholm Univ, S-10691 Stockholm, Sweden; [Savelle, James] McGill Univ, Montreal, PQ, Canada; [St John, Kristen] James Madison Univ, Harrisonburg, VA 22807 USA; [Wolff, Eric] British Antarctic Survey, Cambridge CB3 0ET, England</t>
  </si>
  <si>
    <t>University System of Ohio; Ohio State University; Pennsylvania Commonwealth System of Higher Education (PCSHE); Pennsylvania State University; Pennsylvania State University - University Park; University of Massachusetts System; University of Massachusetts Amherst; United States Department of the Interior; United States Geological Survey; Old Dominion University; Natural Resources Canada; Lands &amp; Minerals Sector - Natural Resources Canada; Geological Survey of Canada; United States Department of the Interior; United States Geological Survey; University of Copenhagen; University of Colorado System; University of Colorado Boulder; Stockholm University; McGill University; James Madison University; UK Research &amp; Innovation (UKRI); Natural Environment Research Council (NERC); NERC British Antarctic Survey</t>
  </si>
  <si>
    <t>Polyak, L (corresponding author), Ohio State Univ, Byrd Polar Res Ctr, Columbus, OH 43210 USA.</t>
  </si>
  <si>
    <t>polyak.1@osu.edu</t>
  </si>
  <si>
    <t>White, James W.C./A-7845-2009; Darby, Dennis A./A-9219-2010; Wolff, Eric W/D-7925-2014; O'Regan, Matt/B-2157-2010; O'Regan, Matt/P-6277-2019</t>
  </si>
  <si>
    <t>Wolff, Eric W/0000-0002-5914-8531; O'Regan, Matt/0000-0002-6046-1488; Holland, Marika/0000-0001-5621-8939</t>
  </si>
  <si>
    <t>US National Science Foundation [0612473, 0806999, 0806387, 0537593, 0519512, 0531211, 0424589, 0714074, 0318479]; US Geological Survey; NERC [bas0100024] Funding Source: UKRI; Natural Environment Research Council [bas0100024] Funding Source: researchfish; Directorate For Geosciences; Div Atmospheric &amp; Geospace Sciences [0318479] Funding Source: National Science Foundation; Directorate For Geosciences; Division Of Polar Programs [0714074] Funding Source: National Science Foundation; Directorate For Geosciences; Office of Polar Programs (OPP) [0806999] Funding Source: National Science Foundation</t>
  </si>
  <si>
    <t>US National Science Foundation(National Science Foundation (NSF)); US Geological Survey(United States Geological Survey); 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t>
  </si>
  <si>
    <t>Work on this paper was partially supported by the US National Science Foundation awards 0612473, 0806999, 0806387, 0537593, 0519512, 0531211, 0424589, 0714074, and 0318479, and by the Earth Surface Dynamics Program of the US Geological Survey. We thank J. England and an anonymous reviewer for constructive comments.</t>
  </si>
  <si>
    <t>10.1016/j.quascirev.2010.02.010</t>
  </si>
  <si>
    <t>WOS:000279758400005</t>
  </si>
  <si>
    <t>Fretwell, PT; Hodgson, DA; Watcham, EP; Bentley, MJ; Roberts, SJ</t>
  </si>
  <si>
    <t>Fretwell, P. T.; Hodgson, D. A.; Watcham, E. P.; Bentley, M. J.; Roberts, S. J.</t>
  </si>
  <si>
    <t>Holocene isostatic uplift of the South Shetland Islands, Antarctic Peninsula, modelled from raised beaches</t>
  </si>
  <si>
    <t>SEA-LEVEL CHANGES; LAND UPLIFT; ICE SHELF; HISTORY; SCOTLAND; DEGLACIATION; RETREAT; CURVES; COAST</t>
  </si>
  <si>
    <t>We present new isobases constraining the Holocene isostatic uplift of the South Shetland Islands, northern Antarctic Peninsula, based on evidence from raised shorelines. Holocene shorelines were described and surveyed at fifteen sites to determine the spatial variability of relative sea level (RSL) change across the South Shetland Islands, and provide new spatial RSL change corrections for the region. Results show that the highest shoreline is a transgressive feature, correlated by geomorphological evidence on most exposed coastlines of the archipelago. Its surveyed height was corrected for local variability in wave energy by subtracting the measured altitude of the present day shoreline. These corrected surveyed heights of the highest raised beach were modelled using quadratic polynomial trend surface analysis to constrain differing rates of regional isostatic uplift. We present two isobase models of isostatic uplift since formation of the highest Holocene raised beach circa 7360-7000 years ago. These models suggests a maximum uplift of ca 20 m was centred on an area north of Greenwich Island, with isobases implying an elongate zone of uplift orientated east-southeast to west-northwest along the spine of the island chain. This corresponds well with previously published geomorphologically based estimates of palaeo ice-extent and the deglaciation history of the South Shetland Islands and gives new context to the palaeo ice-extent and glacial history of the region. (C) 2010 Elsevier Ltd. All rights reserved.</t>
  </si>
  <si>
    <t>[Fretwell, P. T.; Hodgson, D. A.; Watcham, E. P.; Bentley, M. J.; Roberts, S. J.] British Antarctic Survey, Cambridge CB3 0ET, England; [Watcham, E. P.; Bentley, M. J.] Univ Durham, Sci Labs, Dept Geog, Durham DH1 3LE, England</t>
  </si>
  <si>
    <t>UK Research &amp; Innovation (UKRI); Natural Environment Research Council (NERC); NERC British Antarctic Survey; Durham University</t>
  </si>
  <si>
    <t>Fretwell, PT (corresponding author), British Antarctic Survey, Madingley Rd, Cambridge CB3 0ET, England.</t>
  </si>
  <si>
    <t>ptf@bas.ac.uk</t>
  </si>
  <si>
    <t>Hocking, Emma/K-8292-2013; Hocking, Emma/Q-6241-2019; Facility, NERC Geophysical Equipment/G-5260-2010; Bentley, Michael J/F-7386-2011</t>
  </si>
  <si>
    <t>Hocking, Emma/0000-0002-8925-1695; Hocking, Emma/0000-0002-8925-1695; Bentley, Michael J/0000-0002-2048-0019; Roberts, Stephen/0000-0003-3407-9127</t>
  </si>
  <si>
    <t>UK Natural Environment Research Council; British Antarctic Survey; Natural Environment Research Council [bas0100024, bas0100027] Funding Source: researchfish; NERC [bas0100024, bas0100027] Funding Source: UKRI</t>
  </si>
  <si>
    <t>UK Natural Environment Research Council(UK Research &amp; Innovation (UKRI)Natural Environment Research Council (NERC)); British Antarctic Survey; Natural Environment Research Council(UK Research &amp; Innovation (UKRI)Natural Environment Research Council (NERC)); NERC(UK Research &amp; Innovation (UKRI)Natural Environment Research Council (NERC))</t>
  </si>
  <si>
    <t>This project was funded by the UK Natural Environment Research Council, British Antarctic Survey. We thank BAS logistics teams, Bruce Maltman, Liz Homer and the Captain and crew of HMS Endurance their invaluable logistic support, and staff at Great Wall, Bellingshausen Frei and Jubany Bases for their practical assistance in the field. The NERC Geophysical Equipment Pool is acknowledged for the loan of the Leica GPS equipment.</t>
  </si>
  <si>
    <t>10.1016/j.quascirev.2010.04.006</t>
  </si>
  <si>
    <t>WOS:000279758400014</t>
  </si>
  <si>
    <t>Serbet, R; Escapa, I; Taylor, TN; Taylor, EL; Cúneo, NR</t>
  </si>
  <si>
    <t>Serbet, Rudolph; Escapa, Ignacio; Taylor, Thomas N.; Taylor, Edith L.; Ruben Cuneo, N.</t>
  </si>
  <si>
    <t>Additional observations on the enigmatic Permian plant Buriadia and implications on early coniferophyte evolution</t>
  </si>
  <si>
    <t>Antarctica; Permian; Buriadia; coniferophyte</t>
  </si>
  <si>
    <t>PHYLOGENETIC-RELATIONSHIPS; LOWER-GONDWANA; SEWARD; SAHNI; GEN.; NOV</t>
  </si>
  <si>
    <t>An extensive collection of compressed altered remains, including leafy shoots and ovules similar to specimens described as Buriadia, is reported from Lower Permian rocks on Mount Gran, Victoria Land, Antarctica. The specimens, preserved as a thin layer of aluminosilicate film in a fine-grained black shale, show a number of morphological features like those reported from the type species, Buriadia heterophylla. The leaves are highly polymorphic and appear to be helically arranged. The ovules are orthotropous and attached to leafy shoots by a short stalk; they do not appear to be organized into distinct zones along the axis. The ovules are obovate, with a conspicuous bifid apex and prominent chalazal disk. The combination of features in these Antarctic specimens indicates affinities with the putative Permian coniferophyte, B. heterophylla, originally described from India. The discovery of a presumed coniferophyte with erect terminal ovules from the Permian of Antarctica adds support to the hypothesis that there were at least two major groups of conifer-like plants present during the late Paleozoic. Differences in the ovulate parts of these plants suggest a unique evolutionary history for the late Paleozoic coniferophytes from the Southern Hemisphere. (C) 2010 Elsevier B.V. All rights reserved.</t>
  </si>
  <si>
    <t>[Serbet, Rudolph; Escapa, Ignacio; Taylor, Thomas N.; Taylor, Edith L.] Univ Kansas, Div Paleobot, Nat Hist Museum, Lawrence, KS 66045 USA; [Serbet, Rudolph; Escapa, Ignacio; Taylor, Thomas N.; Taylor, Edith L.] Univ Kansas, Biodivers Inst, Lawrence, KS 66045 USA; [Taylor, Thomas N.; Taylor, Edith L.] Univ Kansas, Dept Ecol &amp; Evolutionary Biol, Nat Hist Museum, Lawrence, KS 66045 USA; [Escapa, Ignacio; Ruben Cuneo, N.] Museo Paleontol Egidio Feruglio, Trelew, Chubut, Argentina; [Escapa, Ignacio; Ruben Cuneo, N.] Consejo Nacl Invest Cient &amp; Tecn, Trelew, Chubut, Argentina</t>
  </si>
  <si>
    <t>University of Kansas; University of Kansas; University of Kansas; Consejo Nacional de Investigaciones Cientificas y Tecnicas (CONICET)</t>
  </si>
  <si>
    <t>Serbet, R (corresponding author), Univ Kansas, Div Paleobot, Nat Hist Museum, Lawrence, KS 66045 USA.</t>
  </si>
  <si>
    <t>serbet@ku.edu</t>
  </si>
  <si>
    <t>E., Ignacio/AAA-3569-2021</t>
  </si>
  <si>
    <t>Escapa, Ignacio/0000-0002-7042-7750</t>
  </si>
  <si>
    <t>National Science Foundation [OPP-0635477]; Directorate For Geosciences; Office of Polar Programs (OPP) [0635477] Funding Source: National Science Foundation</t>
  </si>
  <si>
    <t>National Science Foundation(National Science Foundation (NSF)); Directorate For Geosciences; Office of Polar Programs (OPP)(National Science Foundation (NSF)NSF - Directorate for Geosciences (GEO))</t>
  </si>
  <si>
    <t>We gratefully acknowledge the assistance of Andrew Schwendemann who provided expertise in SEM techniques. We are also indebted to two anonymous reviewers whose critical analysis and subsequent suggestions improved various sections of this manuscript. This study was supported in part by funds from the National Science Foundation (OPP-0635477 to ELT and TNT).</t>
  </si>
  <si>
    <t>10.1016/j.revpalbo.2010.03.011</t>
  </si>
  <si>
    <t>619IC</t>
  </si>
  <si>
    <t>WOS:000279422200005</t>
  </si>
  <si>
    <t>Ripoll, RP</t>
  </si>
  <si>
    <t>Ripoll, Roberlo Puceiro</t>
  </si>
  <si>
    <t>The Antarctic Treaty system in its golden jubilee</t>
  </si>
  <si>
    <t>REVISTA DE LA FACULTAD DE DERECHO</t>
  </si>
  <si>
    <t>[Ripoll, Roberlo Puceiro] Univ ORT, Fac Derecho, Derecho Int Publico, Montevideo, Uruguay</t>
  </si>
  <si>
    <t>University ORT Uruguay</t>
  </si>
  <si>
    <t>Ripoll, RP (corresponding author), Univ ORT, Fac Derecho, Derecho Int Publico, Montevideo, Uruguay.</t>
  </si>
  <si>
    <t>UNIV REPUBLICA, FAC DERECHO</t>
  </si>
  <si>
    <t>MONTEVIDEO</t>
  </si>
  <si>
    <t>AVDA 18 JULIO 1824, MONTEVIDEO, 11200, URUGUAY</t>
  </si>
  <si>
    <t>0797-8316</t>
  </si>
  <si>
    <t>2301-0665</t>
  </si>
  <si>
    <t>REV FAC DERECHO</t>
  </si>
  <si>
    <t>Rev. Fac. Derecho</t>
  </si>
  <si>
    <t>JUL-DEC</t>
  </si>
  <si>
    <t>Law</t>
  </si>
  <si>
    <t>Government &amp; Law</t>
  </si>
  <si>
    <t>V5J1K</t>
  </si>
  <si>
    <t>WOS:000219655100010</t>
  </si>
  <si>
    <t>Beros, MM</t>
  </si>
  <si>
    <t>Martinic Beros, Mateo</t>
  </si>
  <si>
    <t>A CENTURY OF CHILEAN ANTARCTIC POLICY: SOME REFLECTIONS</t>
  </si>
  <si>
    <t>Chilean Antarctic Policy; Chilean Antarctic Territory; Future of Chilean Antarctic</t>
  </si>
  <si>
    <t>The origins of the Antarctic Policy of Chile are analysed and actions are suggested that Chile could carry out in the Chilean Antarctic Territory</t>
  </si>
  <si>
    <t>[Martinic Beros, Mateo] Univ Magallanes, Punta Arenas, Chile</t>
  </si>
  <si>
    <t>Universidad de Magallanes</t>
  </si>
  <si>
    <t>Beros, MM (corresponding author), Univ Magallanes, Punta Arenas, Chile.</t>
  </si>
  <si>
    <t>V36FV</t>
  </si>
  <si>
    <t>WOS:000215955000001</t>
  </si>
  <si>
    <t>Montalbán, C</t>
  </si>
  <si>
    <t>Montalban, Cristina</t>
  </si>
  <si>
    <t>THE HISTORICAL HERITAGE ANTARCTIC: STUDY AND PRESERVATION OF TESTIMONIALS REMAINS</t>
  </si>
  <si>
    <t>Shipwrecks; Base Cientifica Artigas; Antartic Archaeological Heritage</t>
  </si>
  <si>
    <t>This study is about the rest of a shipwreck located nearby the Base Cientifica Antartica Artigas. From 1995 to 2003, some of that shipwreck pieces has been studied by different professionals whose reports have helped to determine the main characteristics of the archaeological deposit. At the same time, the analysis of the samples has allowed the possibility of handling several theories of the identification of the ship's belonging. With the necessary interaction, from the historic point of view, we instrument the theoretical sustain, the rescue of the memory of the archaeological rests. In the process of building a historic background, we followed an investigation plan based on some basic guidelines. 1) We determined the antecedents, motivations and times in which the area was recorded in historical reports. 2) We plotted the actions in their geographical background ( in the matter that concerns us-by the navigators, particularly by the seal's ships). 3) We make a list of all the shipwrecks occurred in that zone. As a conclusion, it is our belief that it is necessary to alert future generations about the farther signification of the archaeological remains available in the Antarctic territory, and the need to create a cadastre of the Antarctic Archaeological Heritage that evidently has to be historically endorsed.</t>
  </si>
  <si>
    <t>[Montalban, Cristina] Ctr Estudios Hist Navales &amp; Maritimos, Montevideo, Uruguay</t>
  </si>
  <si>
    <t>Montalbán, C (corresponding author), Ctr Estudios Hist Navales &amp; Maritimos, Montevideo, Uruguay.</t>
  </si>
  <si>
    <t>cristmon@adinet.com.uy</t>
  </si>
  <si>
    <t>WOS:000215955000002</t>
  </si>
  <si>
    <t>Bidleman, TF; Helm, PA; Braune, BM; Gabrielsen, GW</t>
  </si>
  <si>
    <t>Bidleman, Terry F.; Helm, Paul A.; Braune, Birgit M.; Gabrielsen, Geir Wing</t>
  </si>
  <si>
    <t>Polychlorinated naphthalenes in polar environments - A review</t>
  </si>
  <si>
    <t>Polychlorinated naphthalenes; PCNs; Persistent organic pollutants; Air; Snow; Sediments; Biota; Toxic equivalents; Arctic; Antarctic</t>
  </si>
  <si>
    <t>POLYCYCLIC AROMATIC-HYDROCARBONS; DIBENZO-P-DIOXINS; POLYBROMINATED DIPHENYL ETHERS; PERSISTENT ORGANIC POLLUTANTS; BROMINATED FLAME RETARDANTS; AIR PARTITION-COEFFICIENT; BJORNOYA BEAR ISLAND; ATMOSPHERIC CONCENTRATIONS; SPATIAL-DISTRIBUTION; GREAT-LAKES</t>
  </si>
  <si>
    <t>Polychlorinated naphthalenes (PCNs) consist of naphthalene substituted with 1-8 chlorines, yielding 75 possible congeners. They were formerly used in industry, occur at trace levels in commercial PCB mixtures, and have current sources in combustion processes. PCNs are widespread in arctic air with higher levels in the European Arctic. Concentrations were higher during the cold months in arctic Canada and Russia, but no seasonality was noted in subarctic Canada and Greenland. Marker congeners indicative of combustion were evident at some sites. Total toxic equivalents (TEQ) in air due to PCNs + dioxin-like PCBs were dominated by PCNs in arctic Canada and Russia, but not in subarctic Canada. Deposition of PCNs in snow was measured in northern Norway and Svalbard. Surveys of PCNs in the lower food web are limited to the northern Baltic Sea and lakes/rivers of northern Scandinavia. PCNs showed little or no biomagnification in lower food webs of the northern Baltic and discrimination among congeners suggested preferential metabolism. There are no reports of PCNs in fish and invertebrates from the Arctic Ocean, and only one from Antarctica. Total PCNs in marine mammals followed the order: harbour seal similar to pilot whale &gt;= polar bear&gt; beluga&gt;ringed seal similar to Weddell seal. Total PCNs in seabirds varied over 100-fold, with higher concentrations in glaucous gull eggs and plasma from Bear Island, and livers of northern fulmar from the eastern Canadian Arctic. Lower concentrations occurred in eggs of glaucous gull from Svalbard and black-backed gull from the Faroe Islands. PCNs accounted for &lt;1% of total TEQ in ringed seal, Weddell seal, seabirds and polar bear, but up to 6-15% in beluga and pilot whale. TEQ due to PCNs were generally low in harbour seal, but up to 9% of total TEQ in some animals. Crown Copyright (C) 2009 Published by Elsevier B.V. All rights reserved.</t>
  </si>
  <si>
    <t>[Bidleman, Terry F.] Environm Canada, Ctr Atmospher Res Expt, Sci &amp; Technol Branch, Egbert, ON L0L 1N0, Canada; [Helm, Paul A.] Ontario Minist Environm, Environm Monitoring &amp; Reporting Branch, Toronto, ON M9P 3V6, Canada; [Braune, Birgit M.] Carleton Univ, Environm Canada, Wildlife Toxicol &amp; Dis Div, Sci &amp; Technol Branch, Ottawa, ON K1A 0H3, Canada; [Gabrielsen, Geir Wing] Norwegian Polar Res Inst, N-9296 Tromso, Norway</t>
  </si>
  <si>
    <t>Environment &amp; Climate Change Canada; Environment &amp; Climate Change Canada; Carleton University; Norwegian Polar Institute</t>
  </si>
  <si>
    <t>Bidleman, TF (corresponding author), Environm Canada, Ctr Atmospher Res Expt, Sci &amp; Technol Branch, 6248 8th Line, Egbert, ON L0L 1N0, Canada.</t>
  </si>
  <si>
    <t>terry.bidleman@ec.gc.ca</t>
  </si>
  <si>
    <t>Gabrielsen, Geir Wing/JDC-6415-2023; Helm, Paul/ABC-1534-2021; Bidleman, Terry/F-6287-2011</t>
  </si>
  <si>
    <t>Bidleman, Terry/0000-0001-7469-0532; Helm, Paul/0000-0002-7462-4217</t>
  </si>
  <si>
    <t>10.1016/j.scitotenv.2009.09.013</t>
  </si>
  <si>
    <t>620ML</t>
  </si>
  <si>
    <t>WOS:000279503900005</t>
  </si>
  <si>
    <t>Palozzi, R; Vacchi, M; Bono, R; Catalano, F; Della Rovere, A</t>
  </si>
  <si>
    <t>Palozzi, Roberto; Vacchi, Marino; Bono, Riccardo; Catalano, Fabio; Della Rovere, Alberto</t>
  </si>
  <si>
    <t>Italian underwater exploration in Antarctica: scientific diving and ROV operations</t>
  </si>
  <si>
    <t>UNDERWATER TECHNOLOGY</t>
  </si>
  <si>
    <t>scientific diving; ROV; SCUBA; Antarctica; Italian Antarctic research</t>
  </si>
  <si>
    <t>Italy established its first base in Antarctica in 1986 at Terra Nova Bay (Ross Sea) and since 1987 underwater activities have been undertaken, both in ice-free waters and under the ice, mainly in support of scientific research. Scuba diving and robotic underwater explorations were undertaken following the regulations and the guidelines settled by Programma Nazionale Ricerche in Antartide (PNRA). This present account gives a brief history of the most important underwater activities led by the Italian Programme highlighting studies of macro benthic assemblages as well as the work needed to collect information on biology, geology, glaciology, geodesy, geophysics, oceanography. A brief overview of the PNRA diving guidelines is given.</t>
  </si>
  <si>
    <t>[Palozzi, Roberto] Univ Roma Tor Vergata, Dept Biol, Rome, Italy; [Vacchi, Marino] Univ Genoa, ISPRA, Genoa, Italy; [Vacchi, Marino] Univ Genoa, MNA, Genoa, Italy; [Bono, Riccardo; Catalano, Fabio; Della Rovere, Alberto] Programma Nazl Ric Antartide PNRA SCrl, Rome, Italy</t>
  </si>
  <si>
    <t>University of Rome Tor Vergata; University of Genoa; University of Genoa</t>
  </si>
  <si>
    <t>Palozzi, R (corresponding author), Univ Roma Tor Vergata, Dept Biol, Rome, Italy.</t>
  </si>
  <si>
    <t>SOC UNDERWATER TECHNOLOGY</t>
  </si>
  <si>
    <t>80 COLEMAN ST, LONDON EC2R 5BJ, ENGLAND</t>
  </si>
  <si>
    <t>1756-0543</t>
  </si>
  <si>
    <t>1756-0551</t>
  </si>
  <si>
    <t>UNDERWATER TECHNOL</t>
  </si>
  <si>
    <t>Underw. Technol.</t>
  </si>
  <si>
    <t>10.3723/ut.29.087</t>
  </si>
  <si>
    <t>Engineering, Ocean</t>
  </si>
  <si>
    <t>Engineering</t>
  </si>
  <si>
    <t>VD7YQ</t>
  </si>
  <si>
    <t>WOS:000437621000005</t>
  </si>
  <si>
    <t>Ryanzhin, SV; Subetto, DA; Kochkov, NV; Akhmetova, NS; Veinmeister, NV</t>
  </si>
  <si>
    <t>Ryanzhin, S. V.; Subetto, D. A.; Kochkov, N. V.; Akhmetova, N. S.; Veinmeister, N. V.</t>
  </si>
  <si>
    <t>Polar lakes of the World: Current data and status of investigations</t>
  </si>
  <si>
    <t>WATER RESOURCES</t>
  </si>
  <si>
    <t>lakes; polar lakes; databases; morphometry of lakes</t>
  </si>
  <si>
    <t>ARCTIC LAKES; ANTARCTICA; PONDS</t>
  </si>
  <si>
    <t>Current bathymetric and limnologic data on natural polar lakes of the World is discussed. The principal limnologic data on the largest polar lakes and also on the saline, cold amictic, and meromictic polar lakes are generalized. The geographic, national, and administrative distributions of polar lakes and also their distribution by the genesis of lake basins are analyzed. The distribution functions of polar lake areas and the regressions relating the water areas of lakes and the storages of lakes are calculated. The total water area and storage of polar lakes are estimated. The study is based on published data for 1432 Arctic and 174 Antarctic lakes, which are collected in the authors' WORLDLAKE database. Attention is called to the inadequate knowledge of polar lakes.</t>
  </si>
  <si>
    <t>[Ryanzhin, S. V.; Kochkov, N. V.] Russian Acad Sci, Inst Limnol, St Petersburg 196105, Russia; [Subetto, D. A.; Akhmetova, N. S.] Russian State Pedag Inst, St Petersburg 190000, Russia; [Veinmeister, N. V.] Russian State Hydrometeorol Univ, St Petersburg 195196, Russia</t>
  </si>
  <si>
    <t>Russian Academy of Sciences; St. Petersburg Scientific Centre of the Russian Academy of Sciences; St. Petersburg Federal Research Center of the Russian Academy of Sciences; Russian State Hydrometeorological University</t>
  </si>
  <si>
    <t>Ryanzhin, SV (corresponding author), Russian Acad Sci, Inst Limnol, Ul Sevastyanova 9, St Petersburg 196105, Russia.</t>
  </si>
  <si>
    <t>Subetto, Dmitry/A-4467-2014</t>
  </si>
  <si>
    <t>Subetto, Dmitry/0000-0002-3585-8598</t>
  </si>
  <si>
    <t>Russian Foundation for Basic Research [07-05-00510-a, 07-05-011115-a]</t>
  </si>
  <si>
    <t>This study is supported by the Russian Foundation for Basic Research (projects 07-05-00510-a and 07-05-011115-a).</t>
  </si>
  <si>
    <t>INTERPERIODICA</t>
  </si>
  <si>
    <t>BIRMINGHAM</t>
  </si>
  <si>
    <t>PO BOX 1831, BIRMINGHAM, AL 35201-1831 USA</t>
  </si>
  <si>
    <t>0097-8078</t>
  </si>
  <si>
    <t>WATER RESOUR+</t>
  </si>
  <si>
    <t>Water Resour.</t>
  </si>
  <si>
    <t>10.1134/S0097807810040019</t>
  </si>
  <si>
    <t>Water Resources</t>
  </si>
  <si>
    <t>622XL</t>
  </si>
  <si>
    <t>WOS:000279699500001</t>
  </si>
  <si>
    <t>Too, WCS; Few, LL</t>
  </si>
  <si>
    <t>Too, W. C. See; Few, L. L.</t>
  </si>
  <si>
    <t>Cloning of triose phosphate isomerase gene from an antarctic psychrophilic Pseudomonas sp by degenerate and splinkerette PCR</t>
  </si>
  <si>
    <t>WORLD JOURNAL OF MICROBIOLOGY &amp; BIOTECHNOLOGY</t>
  </si>
  <si>
    <t>Triose phosphate isomerase; Psychrophilic Pseudomonas; Degenerate PCR; Splinkerette PCR; Homology modeling</t>
  </si>
  <si>
    <t>POLYMERASE-CHAIN-REACTION; TRIOSEPHOSPHATE ISOMERASE; ALTEROMONAS-HALOPLANCTIS; ALPHA-AMYLASE; SWISS-MODEL; ENVIRONMENT; SEQUENCES</t>
  </si>
  <si>
    <t>Psychrophiles are organisms that thrive in cold environments. One of the strategies for their cold adaptation is the ability to synthesize cold-adapted enzymes. These enzymes usually display higher catalytic efficiency and thermolability at lower temperatures compared to their mesophilic and thermophilic counterparts. In this work, a psychrophilic bacterial isolate codenamed pi 9 was selected for the cloning of the gene encoding triose phosphate isomerase (TIM), an enzyme in the glycolytic pathway. Based on 16S rRNA gene sequence analysis, this isolate was identified as a species of the genus Pseudomonas under the P. fluorescens group. The cloning of a 816 bp fragment of TIM gene which covers the 756 bp open reading frame was achieved by a combination of degenerate and splinkerette PCRs. The partial sequence of this gene was first PCR amplified by using degenerate primers and the flanking sequences were subsequently amplified by splinkerette PCR technique. Amino acid sequence of the cloned TIM was 97% identical to TIM from Pseudomonas fluorescens and shared 51% identity with the TIM from psychrophilic Vibrio sp. This work demonstrated the use of multiple PCR techniques to clone a gene without prior knowledge of its sequence. The cloning of the TIM gene by PCR was more rapid and cost effective compared to the traditional genomic library construction and screening method. Homology model of the TIM protein in this study was generated based on Escherichia coli TIM crystal structure. The model could serve as a hypothetical TIM structure from a psychrophilic microorganism for further investigation into areas that showed deviations from the known mesophilic TIM structures.</t>
  </si>
  <si>
    <t>[Too, W. C. See; Few, L. L.] Univ Sains Malaysia, Sch Hlth Sci, Kubang Kerian 16150, Kelantan, Malaysia</t>
  </si>
  <si>
    <t>Universiti Sains Malaysia</t>
  </si>
  <si>
    <t>Few, LL (corresponding author), Univ Sains Malaysia, Sch Hlth Sci, Hlth Campus, Kubang Kerian 16150, Kelantan, Malaysia.</t>
  </si>
  <si>
    <t>fewling@kck.usm.my</t>
  </si>
  <si>
    <t>Few, Ling Ling/E-1964-2012; See Too, Wei Cun/C-9382-2016</t>
  </si>
  <si>
    <t>See Too, Wei Cun/0000-0003-1933-3107</t>
  </si>
  <si>
    <t>Fundamental Research Grant [203/PPSK/6170012]</t>
  </si>
  <si>
    <t>Fundamental Research Grant</t>
  </si>
  <si>
    <t>We wish to thank Professor Nazalan Najimudin and Dr. Rashidah Abdul Rahim for sharing their Antarctic bacterial isolates with us. This work was supported by Fundamental Research Grant Scheme 203/PPSK/6170012.</t>
  </si>
  <si>
    <t>0959-3993</t>
  </si>
  <si>
    <t>1573-0972</t>
  </si>
  <si>
    <t>WORLD J MICROB BIOT</t>
  </si>
  <si>
    <t>World J. Microbiol. Biotechnol.</t>
  </si>
  <si>
    <t>10.1007/s11274-009-0295-9</t>
  </si>
  <si>
    <t>609YW</t>
  </si>
  <si>
    <t>WOS:000278695800013</t>
  </si>
  <si>
    <t>Lu, ZL; Rickaby, REM; Wellner, J; Georg, B; Charnley, N; Anderson, JB; Hensen, C</t>
  </si>
  <si>
    <t>Lu, Zunli; Rickaby, Rosalind E. M.; Wellner, Julia; Georg, Bastian; Charnley, Norman; Anderson, John B.; Hensen, Christian</t>
  </si>
  <si>
    <t>Pore fluid modeling approach to identify recent meltwater signals on the west Antarctic Peninsula</t>
  </si>
  <si>
    <t>pore water modeling; Antarctic Peninsula; meltwater; ice sheet; glaciers</t>
  </si>
  <si>
    <t>LAST GLACIAL MAXIMUM; DEEP-OCEAN; SPATIOTEMPORAL VARIABILITY; ICE; DELTA-O-18; SEDIMENTS; WATER; TEMPERATURE; CONSTRAINTS; SALINITY</t>
  </si>
  <si>
    <t>The sensitivity of sea level to melting from polar ice sheets and glaciers during recent natural and anthropogenic climate fluctuations is poorly constrained beyond the period of direct observation by satellite. We have investigated glacial meltwater events during the Anthropocene by adapting the pioneering approach of modeling trends in delta(18)O in the pore waters of deep-sea cores, previously used to constrain the size of ice sheets during the Last Glacial Maximum. We show that during recent warm periods, meltwater from glacier retreat drains into the coastal fjords, leaving a signature of depleted delta(18)O values and low Cl concentrations in the pore water profiles of rapidly accumulating sediments. Here we model such pore water profiles in a piston core to constrain the timing and magnitude of an ice sheet retreat event at Caley Glacier on the west Antarctic Peninsula, and the result is compared with local ice front movement. This approach of pore water modeling was then applied in another kasten core and tested by a series of sensitivity analyses. The results suggest that our approach may be applied in fjords of different sedimentary settings to reconstruct the glacier history and allow insight into the sensitivity of polar glaciers to abrupt warming events.</t>
  </si>
  <si>
    <t>[Lu, Zunli; Rickaby, Rosalind E. M.; Georg, Bastian; Charnley, Norman] Univ Oxford, Dept Earth Sci, Oxford OX1 3PR, England; [Wellner, Julia] Univ Houston, Dept Earth &amp; Atmospher Sci, Houston, TX 77204 USA; [Anderson, John B.] Rice Univ, Dept Earth Sci, Houston, TX 77005 USA; [Hensen, Christian] Univ Kiel, Leibniz Inst Meereswissensch, IFM GEOMAR, D-24148 Kiel, Germany</t>
  </si>
  <si>
    <t>University of Oxford; University of Houston System; University of Houston; Rice University; University of Kiel; Helmholtz Association; GEOMAR Helmholtz Center for Ocean Research Kiel</t>
  </si>
  <si>
    <t>Lu, ZL (corresponding author), Univ Oxford, Dept Earth Sci, Parks Rd, Oxford OX1 3PR, England.</t>
  </si>
  <si>
    <t>zunli.lu@earth.ox.ac.uk</t>
  </si>
  <si>
    <t>Lu, Zunli/C-6765-2013; Anderson, John/B-1011-2012; Hensen, Christian/B-8161-2014</t>
  </si>
  <si>
    <t>Rickaby, Rosalind/0000-0002-6095-8419; Charnley, Norman/0000-0002-5253-1263; Georg, Bastian/0000-0002-3109-1860</t>
  </si>
  <si>
    <t>Natural Environment Research Council (NERC) [NE/E014801/1]; NERC [NE/E018432/1, NE/E014801/1] Funding Source: UKRI; Natural Environment Research Council [NE/E018432/1] Funding Source: researchfish; Division Of Polar Programs; Directorate For Geosciences [0739596] Funding Source: National Science Foundation</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</si>
  <si>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Division Of Polar Programs; Directorate For Geosciences(National Science Foundation (NSF)NSF - Directorate for Geosciences (GEO))</t>
  </si>
  <si>
    <t>We are grateful to the scientific party and crew members of NBP0703. We thank Bernie Boudreau and John Higgins for discussing the idea and helping the model setup. The manuscript benefited greatly from thorough and constructive reviews by Robert McKay, Matthew O'Regan, an anonymous reviewer and comments by Editor Vincent Salters. This work is supported by Natural Environment Research Council (NERC award NE/E014801/1 to R.E.M. Rickaby).</t>
  </si>
  <si>
    <t>JUN 29</t>
  </si>
  <si>
    <t>Q06017</t>
  </si>
  <si>
    <t>10.1029/2009GC002949</t>
  </si>
  <si>
    <t>620JF</t>
  </si>
  <si>
    <t>WOS:000279494900001</t>
  </si>
  <si>
    <t>Nordhaus, WD</t>
  </si>
  <si>
    <t>Nordhaus, William D.</t>
  </si>
  <si>
    <t>Economic aspects of global warming in a post-Copenhagen environment</t>
  </si>
  <si>
    <t>abatement strategies; climate change; Copenhagen Accord; economic growth; integrated assessment models</t>
  </si>
  <si>
    <t>ANTARCTIC ICE-SHEET; CLIMATE-CHANGE; TAX</t>
  </si>
  <si>
    <t>The science of global warming has reached a consensus on the high likelihood of substantial warming over the coming century. Nations have taken only limited steps to reduce greenhouse gas emissions since the first agreement in Kyoto in 1997, and little progress was made at the Copenhagen meeting in December 2009. The present study examines alternative outcomes for emissions, climate change, and damages under different policy scenarios. It uses an updated version of the regional integrated model of climate and the economy (RICE model). Recent projections suggest that substantial future warming will occur if no abatement policies are implemented. The model also calculates the path of carbon prices necessary to keep the increase in global mean temperature to 2 degrees C or less in an efficient manner. The carbon price for 2010 associated with that goal is estimated to be $59 per ton (at 2005 prices), compared with an effective global average price today of around $5 per ton. However, it is unlikely that the Copenhagen temperature goal will be attained even if countries meet their ambitious stated objectives under the Copenhagen Accord.</t>
  </si>
  <si>
    <t>Yale Univ, Dept Econ, New Haven, CT 06520 USA</t>
  </si>
  <si>
    <t>Yale University</t>
  </si>
  <si>
    <t>Nordhaus, WD (corresponding author), Yale Univ, Dept Econ, New Haven, CT 06520 USA.</t>
  </si>
  <si>
    <t>william.nordhaus@yale.edu</t>
  </si>
  <si>
    <t>van Lent, Laurence/G-5298-2010</t>
  </si>
  <si>
    <t>National Science Foundation; US Department of Energy; Glaser Foundation</t>
  </si>
  <si>
    <t>National Science Foundation(National Science Foundation (NSF)); US Department of Energy(United States Department of Energy (DOE)); Glaser Foundation</t>
  </si>
  <si>
    <t>I am grateful for the research assistance of Xi Chen and Mark Longhurst. This study is the product of collaborative work on earlier versions of the RICE model with Zili Yang and Joseph Boyer. Comments and suggestions from colleagues in the field have been essential to the improvements in the model, and I am grateful for the valuable comments of reviewers. This research has been supported by the National Science Foundation, the US Department of Energy, and the Glaser Foundation.</t>
  </si>
  <si>
    <t>10.1073/pnas.1005985107</t>
  </si>
  <si>
    <t>618DT</t>
  </si>
  <si>
    <t>WOS:000279332300015</t>
  </si>
  <si>
    <t>Vogt, M; Vallina, SM; Buitenhuis, ET; Bopp, L; Le Quéré, C</t>
  </si>
  <si>
    <t>Vogt, M.; Vallina, S. M.; Buitenhuis, E. T.; Bopp, L.; Le Quere, C.</t>
  </si>
  <si>
    <t>Simulating dimethylsulphide seasonality with the Dynamic Green Ocean Model PlankTOM5</t>
  </si>
  <si>
    <t>MARINE EUKARYOTIC ALGAE; SARGASSO SEA; CARBOHYDRATE SOLUTES; GAS DIMETHYLSULFIDE; QUATERNARY AMMONIUM; TERTIARY SULFONIUM; OSMOTIC ADJUSTMENT; EMILIANIA-HUXLEYI; SOLAR-RADIATION; SOUTHERN-OCEAN</t>
  </si>
  <si>
    <t>We study the dynamics of dimethylsulphide (DMS) and dimethylsulphoniopropionate (DMSP) using the global ocean biogeochemistry model PlankTOM5, which includes three phytoplankton and two zooplankton functional types (PFTs). We present a fully prognostic DMS module describing intracellular particulate DMSP (DMSPp) production, concentrations of dissolved DMSP (DMSPd), and DMS production and consumption. The model produces DMS fields that compare reasonably well with the observed annual mean DMS fields, zonal mean DMS concentrations, and its seasonal cycle. Modeled ecosystem composition and modeled total chlorophyll influenced mean DMS concentrations and DMS seasonality at mid- and high latitudes, but did not control the seasonal cycle in the tropics. The introduction of a direct, irradiation-dependent DMS production term (exudation) in the model improved the match between modeled and observed DMS seasonality, but deteriorated simulated zonal mean concentrations. In PlankTOM5, exudation was found to be most important for DMS seasonality in the tropics, and a variable DMSP cell quota as a function of light and nutrient stress was more important than a PFT-specific minimal DMSPp cell quota. The results suggest that DMS seasonality in the low latitudes is mostly driven by light. The agreement between model and data for DMS, DMSPp, and DMSPd is reasonable at the Bermuda Atlantic Time Series Station, where the summer paradox is observed.</t>
  </si>
  <si>
    <t>[Vogt, M.; Vallina, S. M.; Buitenhuis, E. T.; Le Quere, C.] Univ E Anglia, Sch Environm Sci, Norwich NR4 7TJ, Norfolk, England; [Bopp, L.] CEA Saclay, CNRS, Lab Sci Climate &amp; Environm, IPSL, F-91191 Gif Sur Yvette, France; [Le Quere, C.] British Antarctic Survey, Cambridge CB3 0ET, England</t>
  </si>
  <si>
    <t>University of East Anglia; Universite Paris Saclay; Universite Paris Cite; CEA; Centre National de la Recherche Scientifique (CNRS); UK Research &amp; Innovation (UKRI); Natural Environment Research Council (NERC); NERC British Antarctic Survey</t>
  </si>
  <si>
    <t>Vogt, M (corresponding author), Univ E Anglia, Sch Environm Sci, Norwich NR4 7TJ, Norfolk, England.</t>
  </si>
  <si>
    <t>m.vogt@uea.ac.uk</t>
  </si>
  <si>
    <t>Vogt, Meike/I-7457-2017; Le Quéré, Corinne/C-2631-2017; bopp, laurent/ABF-5302-2020; Buitenhuis, Erik/A-7692-2012</t>
  </si>
  <si>
    <t>Le Quéré, Corinne/0000-0003-2319-0452; bopp, laurent/0000-0003-4732-4953; VALLINA, Sergio/0000-0002-1335-9237; Vogt, Meike/0000-0002-0608-1935; Buitenhuis, Erik/0000-0001-6274-5583</t>
  </si>
  <si>
    <t>Dynamic Green Ocean Project; Marie Curie Training Network GREENCYCLES [MC-RTN-512464]; EU; Quest-NERC; NERC [quest010002, bas0100028] Funding Source: UKRI; Natural Environment Research Council [NE/C516079/1, quest010002, bas0100028] Funding Source: researchfish</t>
  </si>
  <si>
    <t>Dynamic Green Ocean Project; Marie Curie Training Network GREENCYCLES(Marie Curie ActionsEuropean Union (EU)); EU(European Union (EU)); Quest-NERC; NERC(UK Research &amp; Innovation (UKRI)Natural Environment Research Council (NERC)); Natural Environment Research Council(UK Research &amp; Innovation (UKRI)Natural Environment Research Council (NERC))</t>
  </si>
  <si>
    <t>The CODIM team is gratefully acknowledged for all discussions on global DMS modeling, experimental evidence and for a truly illuminating workshop. MV thanks M. Steinke and S. Turner for their introduction into the world of biology and measurement techniques, which strongly influenced the development of the model. We thank R. Simo and R. von Glasow for improving the manuscript and the participants of the Dynamic Green Ocean Project for their continuous support and input to this project. We thank S. Elliott and an anonymous reviewer for their valuable input, which led to a substantial improvement of this manuscript. MV was funded by the Marie Curie Training Network GREENCYCLES, contract MC-RTN-512464. We thank the EU projects Carbo-Oceans and the Quest-NERC projects Marquest and QESM for funding parts of this work.</t>
  </si>
  <si>
    <t>JUN 25</t>
  </si>
  <si>
    <t>C06021</t>
  </si>
  <si>
    <t>10.1029/2009JC005529</t>
  </si>
  <si>
    <t>617WL</t>
  </si>
  <si>
    <t>WOS:000279312500001</t>
  </si>
  <si>
    <t>Denton, GH; Anderson, RF; Toggweiler, JR; Edwards, RL; Schaefer, JM; Putnam, AE</t>
  </si>
  <si>
    <t>Denton, G. H.; Anderson, R. F.; Toggweiler, J. R.; Edwards, R. L.; Schaefer, J. M.; Putnam, A. E.</t>
  </si>
  <si>
    <t>The Last Glacial Termination</t>
  </si>
  <si>
    <t>MILLENNIAL-SCALE CHANGES; ABRUPT CLIMATE-CHANGE; ANTARCTIC ICE-SHEET; ATMOSPHERIC CO2; SOUTHERN-OCEAN; YOUNGER DRYAS; NORTHEASTERN BRAZIL; BIPOLAR SEESAW; ATLANTIC-OCEAN; NORTH-ATLANTIC</t>
  </si>
  <si>
    <t>A major puzzle of paleoclimatology is why, after a long interval of cooling climate, each late Quaternary ice age ended with a relatively short warming leg called a termination. We here offer a comprehensive hypothesis of how Earth emerged from the last global ice age. A prerequisite was the growth of very large Northern Hemisphere ice sheets, whose subsequent collapse created stadial conditions that disrupted global patterns of ocean and atmospheric circulation. The Southern Hemisphere westerlies shifted poleward during each northern stadial, producing pulses of ocean upwelling and warming that together accounted for much of the termination in the Southern Ocean and Antarctica. Rising atmospheric CO2 during southern upwelling pulses augmented warming during the last termination in both polar hemispheres.</t>
  </si>
  <si>
    <t>[Anderson, R. F.; Schaefer, J. M.] Columbia Univ, Lamont Doherty Earth Observ, Palisades, NY 10964 USA; [Denton, G. H.; Putnam, A. E.] Univ Maine, Dept Earth Sci, Orono, ME 04469 USA; [Denton, G. H.; Putnam, A. E.] Univ Maine, Climate Change Inst, Bryand Global Sci Ctr, Orono, ME 04469 USA; [Anderson, R. F.; Schaefer, J. M.] Columbia Univ, Dept Earth &amp; Environm Sci, New York, NY 10025 USA; [Toggweiler, J. R.] NOAA, Geophys Fluid Dynam Lab, Princeton, NJ 08542 USA; [Edwards, R. L.] Univ Minnesota, Dept Geol &amp; Geophys, Minneapolis, MN 55455 USA</t>
  </si>
  <si>
    <t>Columbia University; University of Maine System; University of Maine Orono; University of Maine System; University of Maine Orono; Columbia University; National Oceanic Atmospheric Admin (NOAA) - USA; University of Minnesota System; University of Minnesota Twin Cities</t>
  </si>
  <si>
    <t>Anderson, RF (corresponding author), Columbia Univ, Lamont Doherty Earth Observ, POB 1000, Palisades, NY 10964 USA.</t>
  </si>
  <si>
    <t>boba@ldeo.columbia.edu</t>
  </si>
  <si>
    <t>Edwards, R. Lawrence/I-3124-2014; Edwards, Richard/JAX-3732-2023; Toggweiler, J. R./O-5883-2019</t>
  </si>
  <si>
    <t>Toggweiler, J. R./0000-0001-6345-5756; Anderson, Robert/0000-0002-8472-2494; Putnam, Aaron/0000-0002-5358-1473</t>
  </si>
  <si>
    <t>National Oceanic and Atmospheric Administration; Gary C. Comer Science and Education Foundation; Division Of Earth Sciences; Directorate For Geosciences [0745781, 0823521] Funding Source: National Science Foundation</t>
  </si>
  <si>
    <t>National Oceanic and Atmospheric Administration(National Oceanic Atmospheric Admin (NOAA) - USA); Gary C. Comer Science and Education Foundation; Division Of Earth Sciences; Directorate For Geosciences(National Science Foundation (NSF)NSF - Directorate for Geosciences (GEO))</t>
  </si>
  <si>
    <t>Comments from W. S. Broecker and three anonymous reviewers improved this manuscript. S. Birkel assisted in drafting the figures. Work described in this paper was funded by a grants/cooperative agreement from the National Oceanic and Atmospheric Administration and by the Gary C. Comer Science and Education Foundation. The views expressed herein are those of the authors and do not necessarily reflect the views of NOAA or any of its subagencies. This is Lamont-Doherty Earth Observatory contribution number 7368.</t>
  </si>
  <si>
    <t>10.1126/science.1184119</t>
  </si>
  <si>
    <t>615BY</t>
  </si>
  <si>
    <t>WOS:000279107400032</t>
  </si>
  <si>
    <t>Lalouette, L; Vernon, P; Amat, H; Renault, D</t>
  </si>
  <si>
    <t>Lalouette, L.; Vernon, P.; Amat, H.; Renault, D.</t>
  </si>
  <si>
    <t>Ageing and thermal performance in the sub-Antarctic wingless fly Anatalanta aptera (Diptera: Sphaeroceridae): older is better</t>
  </si>
  <si>
    <t>senescence; CTmin; locomotor activity; fly; chill-coma recovery</t>
  </si>
  <si>
    <t>CHILL-COMA; LOCOMOTOR-ACTIVITY; LIFE-SPAN; DROSOPHILA; TOLERANCE; TEMPERATURE; RECOVERY; LIMITS</t>
  </si>
  <si>
    <t>Senescence is a progressive biological process expressed in behavioural, morphological, physiological, biochemical and cellular age-related changes. Age-associated alterations in activity are regularly found in insects when examining whole-organism senescence over the adult life-span. In addition, overall stress resistance usually decreases with senescence. In the present study, we measured the critical thermal minimum (CTmin) and the subsequent recovery period over the lifespan of the sub-Antarctic wingless fly, Anatalanta aptera. Experiments were conducted on males and females in seven age groups: newly emerged, 1.5-, 5-, 7-, 13-, 15- and 18-month-old adults. Surprisingly, CTmin decreased significantly with ageing in A. aptera, from -3.8 +/- 0.5 degrees C just after the emergence to -5.6 +/- 0.7 degrees C in the 18-month-old flies. The subsequent recovery period remained similar between the seven groups tested. Our unexpected results contradict the previous data collected in other insects. We have demonstrated for the first time that ageing may improve rather than impair locomotor activity during unfavourable thermal conditions. It raises questions and challenges the literature dealing with ageing. These fascinating results also question the underpinning mechanisms involved in the improvement of the thermal performance with ageing in A. aptera.</t>
  </si>
  <si>
    <t>[Lalouette, L.; Renault, D.] Univ Rennes 1, CNRS, UMR 6553, F-35042 Rennes, France; [Vernon, P.; Amat, H.] Univ Rennes 1, CNRS, UMR 6553, Stn Biol Paimpont, F-35380 Paimpont, France</t>
  </si>
  <si>
    <t>Centre National de la Recherche Scientifique (CNRS); CNRS - Institute of Ecology &amp; Environment (INEE); Universite de Rennes; Universite de Rennes; Centre National de la Recherche Scientifique (CNRS); CNRS - Institute of Ecology &amp; Environment (INEE)</t>
  </si>
  <si>
    <t>Renault, D (corresponding author), Univ Rennes 1, CNRS, UMR 6553, 263 Ave Gal Leclerc, F-35042 Rennes, France.</t>
  </si>
  <si>
    <t>david.renault@univ-rennes1.fr</t>
  </si>
  <si>
    <t>Vernon, Philippe/A-9019-2010</t>
  </si>
  <si>
    <t>Vernon, Philippe/0000-0002-6237-7511; RENAULT, David/0000-0003-3644-1759</t>
  </si>
  <si>
    <t>Institut Polaire Francais [136]; Agence Nationale de la Recherche [ANR-07-VULN-004]; MENRT</t>
  </si>
  <si>
    <t>Institut Polaire Francais; Agence Nationale de la Recherche(Agence Nationale de la Recherche (ANR)); MENRT</t>
  </si>
  <si>
    <t>This research was supported by the 'Institut Polaire Francais' (IPEV 136) and the 'Agence Nationale de la Recherche' (ANR-07-VULN-004, EVINCE). We thank Paul Goldsworthy (Australian Antarctic Division) and Penelope Greenslade (Australian National University) for the sampling of Anatalanta aptera on Heard Island; Jeff Bale (University of Birmingham, UK) for the jacketed glass cylinder; B. Philip, C.M. Williams and two anonymous referees for helpful comments on an earlier version of the manuscript. L.L. was supported by a fellow from the MENRT (Universite de Lyon 1, France).</t>
  </si>
  <si>
    <t>1744-957X</t>
  </si>
  <si>
    <t>JUN 23</t>
  </si>
  <si>
    <t>10.1098/rsbl.2009.0873</t>
  </si>
  <si>
    <t>594SU</t>
  </si>
  <si>
    <t>WOS:000277559000019</t>
  </si>
  <si>
    <t>de Juan, J; Elósegui, P; Nettles, M; Larsen, TB; Davis, JL; Hamilton, GS; Stearns, LA; Andersen, ML; Ekström, G; Ahlstrom, AP; Stenseng, L; Khan, SA; Forsberg, R</t>
  </si>
  <si>
    <t>de Juan, Julia; Elosegui, Pedro; Nettles, Meredith; Larsen, Tine B.; Davis, James L.; Hamilton, Gordon S.; Stearns, Leigh A.; Andersen, Morten L.; Ekstroem, Goeran; Ahlstrom, Andreas P.; Stenseng, Lars; Khan, S. Abbas; Forsberg, Rene</t>
  </si>
  <si>
    <t>Sudden increase in tidal response linked to calving and acceleration at a large Greenland outlet glacier</t>
  </si>
  <si>
    <t>ANTARCTIC ICE STREAM; WEST ANTARCTICA; VELOCITY; SHEET; ISBRAE; SPEED</t>
  </si>
  <si>
    <t>Large calving events at Greenland's largest outlet glaciers are associated with glacial earthquakes and near instantaneous increases in glacier flow speed. At some glaciers and ice streams, flow is also modulated in a regular way by ocean tidal forcing at the terminus. At Helheim Glacier, analysis of geodetic data shows decimeter-level periodic position variations in response to tidal forcing. However, we also observe transient increases of more than 100% in the glacier's responsiveness to such tidal forcing following glacial-earthquake calving events. The timing and amplitude of the changes correlate strongly with the step-like increases in glacier speed and longitudinal strain rate associated with glacial earthquakes. The enhanced response to the ocean tides may be explained by a temporary disruption of the subglacial drainage system and a concomitant reduction of the friction at the ice-bedrock interface, and suggests a new means by which geodetic data may be used to infer glacier properties. Citation: de Juan, J., et al. (2010), Sudden increase in tidal response linked to calving and acceleration at a large Greenland outlet glacier, Geophys. Res. Lett., 37, L12501, doi: 10.1029/2010GL043289.</t>
  </si>
  <si>
    <t>[de Juan, Julia; Elosegui, Pedro] CSIC IEEC, Inst Space Sci, E-08034 Barcelona, Spain; [Nettles, Meredith; Ekstroem, Goeran] Columbia Univ, Lamont Doherty Earth Observ, Palisades, NY 10964 USA; [Larsen, Tine B.; Andersen, Morten L.; Ahlstrom, Andreas P.] Geol Survey Denmark &amp; Greenland, DK-1350 Copenhagen, Denmark; [Davis, James L.] Harvard Smithsonian Ctr Astrophys, Cambridge, MA 02138 USA; [Hamilton, Gordon S.] Univ Maine, Climate Change Inst, Orono, ME 04469 USA; [Stearns, Leigh A.] Univ Kansas, Dept Geol, Lawrence, KS 66045 USA; [Andersen, Morten L.] Univ Copenhagen, Niels Bohr Inst, Ctr Ice &amp; Climate, DK-2100 Copenhagen, Denmark; [Stenseng, Lars; Khan, S. Abbas; Forsberg, Rene] Natl Space Inst, DTU Space, DK-2100 Copenhagen, Denmark</t>
  </si>
  <si>
    <t>Institut d'Estudis Espacials de Catalunya (IEEC); Consejo Superior de Investigaciones Cientificas (CSIC); CSIC - Instituto de Ciencias del Espacio (ICE); Columbia University; Geological Survey Of Denmark &amp; Greenland; Smithsonian Astrophysical Observatory; Smithsonian Institution; Harvard University; University of Maine System; University of Maine Orono; University of Kansas; University of Copenhagen; Niels Bohr Institute; Technical University of Denmark</t>
  </si>
  <si>
    <t>de Juan, J (corresponding author), CSIC IEEC, Inst Space Sci, E Nexus 201,Gran Capita 2, E-08034 Barcelona, Spain.</t>
  </si>
  <si>
    <t>dejuan@ice.csic.es</t>
  </si>
  <si>
    <t>Andersen, Morten L/E-5509-2012; Hamilton, Gordon S/G-1679-2011; Khan, Shfaqat Abbas/AAP-6627-2021; Ekstrom, Goran/C-9771-2012; Ahlstrøm, Andreas Peter/E-5257-2014; Stenseng, Lars/GSN-2867-2022; Nettles, Meredith/A-8638-2012; Larsen, Tine B./H-5091-2018; Davis, James/D-8766-2013</t>
  </si>
  <si>
    <t>Khan, Shfaqat Abbas/0000-0002-2689-8563; Ekstrom, Goran/0000-0001-6410-275X; Ahlstrøm, Andreas Peter/0000-0001-8235-8070; Stenseng, Lars/0000-0003-4690-4200; Elosegui, Pedro/0000-0002-4120-7855; Larsen, Tine B./0000-0001-8240-337X; Nettles, Meredith/0000-0003-4613-4162; Stearns, Leigh/0000-0001-7358-7015; Davis, James/0000-0003-3057-477X; Forsberg, Rene/0000-0002-7288-9545</t>
  </si>
  <si>
    <t>Spanish Ministry of Science and Innovation (MICINN); Gary Comer Science and Education Foundation; U.S. National Science Foundation; Danish Commission for Scientific Research in Greenland (KVUG); Geological Survey of Denmark and Greenland (GEUS); Geocenter Copenhagen; Danish National Space Center; NASA; CSIC</t>
  </si>
  <si>
    <t>Spanish Ministry of Science and Innovation (MICINN)(Spanish Government); Gary Comer Science and Education Foundation; U.S. National Science Foundation(National Science Foundation (NSF)); Danish Commission for Scientific Research in Greenland (KVUG); Geological Survey of Denmark and Greenland (GEUS); Geocenter Copenhagen; Danish National Space Center; NASA(National Aeronautics &amp; Space Administration (NASA)); CSIC</t>
  </si>
  <si>
    <t>This work was supported by the Spanish Ministry of Science and Innovation (MICINN), the Gary Comer Science and Education Foundation, the U.S. National Science Foundation, the Danish Commission for Scientific Research in Greenland (KVUG), the Geological Survey of Denmark and Greenland (GEUS), Geocenter Copenhagen, the Danish National Space Center, and NASA. JdJ acknowledges edges a CSIC pre-doctoral fellowship. GPS equipment and technical support were provided by UNAVCO, Inc. We thank S. Anandakrishnan and an anonymous reviewer, whose comments helped improve the manuscript.</t>
  </si>
  <si>
    <t>L12501</t>
  </si>
  <si>
    <t>10.1029/2010GL043289</t>
  </si>
  <si>
    <t>617UP</t>
  </si>
  <si>
    <t>WOS:000279307700003</t>
  </si>
  <si>
    <t>Allison, LC; Johnson, HL; Marshall, DP; Munday, DR</t>
  </si>
  <si>
    <t>Allison, L. C.; Johnson, H. L.; Marshall, D. P.; Munday, D. R.</t>
  </si>
  <si>
    <t>Where do winds drive the Antarctic Circumpolar Current?</t>
  </si>
  <si>
    <t>DRAKE PASSAGE; OCEAN; MODEL; TRANSPORT</t>
  </si>
  <si>
    <t>The strength of the Antarctic Circumpolar Current (ACC) is believed to depend on the westerly wind stress blowing over the Southern Ocean, although the exact relationship between winds and circumpolar transport is yet to be determined. Here we show, based on theoretical arguments and a hierarchy of numerical modeling experiments, that the global pycnocline depth and the baroclinic ACC transport are set by an integral measure of the wind stress over the path of the ACC, taking into account its northward deflection. Our results assume that the mesoscale eddy diffusivity is independent of the mean flow; while the relationship between wind stress and ACC transport will be more complicated in an eddy-saturated regime, our conclusion that the ACC is driven by winds over the circumpolar streamlines is likely to be robust. Citation: Allison, L. C., H. L. Johnson, D. P. Marshall, and D. R. Munday (2010), Where do winds drive the Antarctic Circumpolar Current?, Geophys. Res. Lett., 37, L12605, doi:10.1029/2010GL043355.</t>
  </si>
  <si>
    <t>[Allison, L. C.] Univ Reading, Dept Meteorol, Reading RG6 6BB, Berks, England; [Johnson, H. L.] Univ Oxford, Dept Earth Sci, Oxford OX1 3PR, England; [Marshall, D. P.; Munday, D. R.] Univ Oxford, Oxford OX1 3PU, England</t>
  </si>
  <si>
    <t>University of Reading; University of Oxford; University of Oxford</t>
  </si>
  <si>
    <t>Allison, LC (corresponding author), Univ Reading, Dept Meteorol, Reading RG6 6BB, Berks, England.</t>
  </si>
  <si>
    <t>l.c.allison@reading.ac.uk</t>
  </si>
  <si>
    <t>Allison, Lesley/H-4033-2011; Munday, David/Y-7052-2019; Munday, David R/R-1986-2016; Marshall, David Philip/B-6767-2009; Allison, Lesley/I-4746-2015</t>
  </si>
  <si>
    <t>Munday, David R/0000-0003-1920-708X; Marshall, David Philip/0000-0002-5199-6579; Johnson, Helen/0000-0003-1873-2085; Allison, Lesley/0000-0002-9271-1197</t>
  </si>
  <si>
    <t>UK Natural Environment Research Council; Royal Society University; James Martin 21st Century School, University of Oxford; NERC [NE/H005668/1, NE/E007546/1, NE/E007600/1] Funding Source: UKRI; Natural Environment Research Council [NE/E007600/1, NE/E007546/1, ncas10009, NE/H005668/1] Funding Source: researchfish</t>
  </si>
  <si>
    <t>UK Natural Environment Research Council(UK Research &amp; Innovation (UKRI)Natural Environment Research Council (NERC)); Royal Society University(Royal Society); James Martin 21st Century School, University of Oxford; NERC(UK Research &amp; Innovation (UKRI)Natural Environment Research Council (NERC)); Natural Environment Research Council(UK Research &amp; Innovation (UKRI)Natural Environment Research Council (NERC))</t>
  </si>
  <si>
    <t>This study is funded by the UK Natural Environment Research Council. H.L.J. is supported by a Royal Society University Research Fellowship. D. P. M. is supported by the James Martin 21st Century School, University of Oxford. We thank two reviewers for their helpful feedback.</t>
  </si>
  <si>
    <t>JUN 22</t>
  </si>
  <si>
    <t>L12605</t>
  </si>
  <si>
    <t>10.1029/2010GL043355</t>
  </si>
  <si>
    <t>617UL</t>
  </si>
  <si>
    <t>WOS:000279307300006</t>
  </si>
  <si>
    <t>Chisham, G; Freeman, MP</t>
  </si>
  <si>
    <t>Chisham, G.; Freeman, M. P.</t>
  </si>
  <si>
    <t>On the non-Gaussian nature of ionospheric vorticity</t>
  </si>
  <si>
    <t>FIELD-ALIGNED CURRENTS; CONVECTION; SUPERDARN</t>
  </si>
  <si>
    <t>We present, for the first time, the probability density function (PDF) of ionospheric vorticity measurements made by the SuperDARN HF radars. We show that the PDF is typically heavy-tailed and best modelled by the q-exponential distribution across most of the ionosphere, except in the dayside region 1 current region where the Weibull distribution provides the best model. We identify these distributions as stationary solutions of a Fokker-Planck equation whose corresponding Langevin equation can be derived from the classic baroclinic and barotropic vorticity equations, respectively. Citation: Chisham, G., and M. P. Freeman (2010), On the non-Gaussian nature of ionospheric vorticity, Geophys. Res. Lett., 37, L12103, doi:10.1029/2010GL043714.</t>
  </si>
  <si>
    <t>[Chisham, G.; Freeman, M. P.] British Antarctic Survey, Cambridge CB3 0ET, England</t>
  </si>
  <si>
    <t>Chisham, G (corresponding author), British Antarctic Survey, Madingley Rd, Cambridge CB3 0ET, England.</t>
  </si>
  <si>
    <t>gchi@bas.ac.uk</t>
  </si>
  <si>
    <t>Freeman, Mervyn/E-5687-2019</t>
  </si>
  <si>
    <t>Freeman, Mervyn/0000-0002-8653-8279</t>
  </si>
  <si>
    <t>UK Natural Environment Research Council; Natural Environment Research Council [bas0100026, bas010021] Funding Source: researchfish; NERC [bas0100026, bas010021]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</si>
  <si>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</si>
  <si>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extremely grateful to G.J. Sofko and W. A. Bristow, the PIs of the Prince George and Kodiak SuperDARN radars, respectively. We would like to thank G. A. Abel for help with the vorticity determination method, and N.W. Watkins for discussions about potential model PDFs. The authors are supported by the UK Natural Environment Research Council through the Complexity workpackage of the BAS Environmental Change and Evolution programme.</t>
  </si>
  <si>
    <t>L12103</t>
  </si>
  <si>
    <t>10.1029/2010GL043714</t>
  </si>
  <si>
    <t>WOS:000279307300008</t>
  </si>
  <si>
    <t>Fiedler, JW; Conrad, CP</t>
  </si>
  <si>
    <t>Fiedler, Julia W.; Conrad, Clinton P.</t>
  </si>
  <si>
    <t>Spatial variability of sea level rise due to water impoundment behind dams</t>
  </si>
  <si>
    <t>ANTARCTIC ICE-SHEET; RESERVOIR; EARTH; MASS; FLUCTUATIONS</t>
  </si>
  <si>
    <t>Dams have impounded similar to 10,800 km(3) of water since 1900, reducing global sea level by similar to 30.0 mm and decreasing the rate of sea level rise. The load from impounded water depresses the earth's surface near dams and elevates the geoid, which locally increases relative sea level (RSL). We computed patterns of dam-induced RSL change globally, and estimated that tide gauges, which are often close to dams, recorded only similar to 60% of the global average sea level drop due to reservoir building. Thus, RSL in the globally averaged ocean rose similar to 0.2 mm/yr more slowly than has been recorded by tide gauges, or similar to 10% slower than the measured rise rate of 1.5-2.0 mm/yr. Relative proximity to dams caused RSL to rise fastest in northeastern North America and slowest in the Pacific. This dam-induced spatial variability may mask the sea level fingerprint of melting sources, especially northern (Greenland) sources of glacial unloading. Citation: Fiedler, J. W., and C. P. Conrad (2010), Spatial variability of sea level rise due to water impoundment behind dams, Geophys. Res. Lett., 37, L12603, doi:10.1029/2010GL043462.</t>
  </si>
  <si>
    <t>[Fiedler, Julia W.] Univ Hawaii Manoa, SOEST, Dept Oceanog, Honolulu, HI 96822 USA; [Conrad, Clinton P.] Univ Hawaii Manoa, SOEST, Dept Geol &amp; Geophys, Honolulu, HI 96822 USA</t>
  </si>
  <si>
    <t>University of Hawaii System; University of Hawaii Manoa; University of Hawaii System; University of Hawaii Manoa</t>
  </si>
  <si>
    <t>Fiedler, JW (corresponding author), Univ Hawaii Manoa, SOEST, Dept Oceanog, POST 824,1680 EW Rd, Honolulu, HI 96822 USA.</t>
  </si>
  <si>
    <t>jfiedler@hawaii.edu</t>
  </si>
  <si>
    <t>Conrad, Clinton/ABG-4901-2020</t>
  </si>
  <si>
    <t>Conrad, Clinton/0000-0003-4314-2351; Fiedler, Julia/0000-0002-4797-8933</t>
  </si>
  <si>
    <t>University of Hawaii Research Council; NSF [EAR-0914712]</t>
  </si>
  <si>
    <t>University of Hawaii Research Council; NSF(National Science Foundation (NSF))</t>
  </si>
  <si>
    <t>We thank two anonymous reviewers for comments that improved this manuscript. This work was funded by an Undergraduate Summer Research Award from the University of Hawaii Research Council (J.W.F.) and by NSF grant EAR-0914712 (C.P.C).</t>
  </si>
  <si>
    <t>JUN 19</t>
  </si>
  <si>
    <t>L12603</t>
  </si>
  <si>
    <t>10.1029/2010GL043462</t>
  </si>
  <si>
    <t>613NL</t>
  </si>
  <si>
    <t>WOS:000278985900001</t>
  </si>
  <si>
    <t>Park, I; Cho, J</t>
  </si>
  <si>
    <t>Park, Inkyung; Cho, Jaiesoon</t>
  </si>
  <si>
    <t>Partial characterization of extracellular xylanolytic activity derived from Paenibacillus sp. KIJ1</t>
  </si>
  <si>
    <t>AFRICAN JOURNAL OF MICROBIOLOGY RESEARCH</t>
  </si>
  <si>
    <t>Paenibacillus sp.; antarctic; xylanase; xylan; microbial</t>
  </si>
  <si>
    <t>XYLANASE; PHYTASE; PURIFICATION; ALIGNMENT; ENZYMES</t>
  </si>
  <si>
    <t>An Antarctic bacterial isolate was found to exhibit the extracellular xylanolytic activity. Based on 16S rRNA gene sequence analysis, the strain was named Paenibacillus sp. KIJ1. The maximum xylanase production was achieved by growing Paenibacillus sp. KIJ1 in media with 0.5% carboxymethylcellulose and 0.5% yeast extract, which were found to be the best sources of carbon and nitrogen, respectively. Optimal enzyme activity occurred at 50 degrees C and pH 6.0. The xylanase was very specific for xylan with little or no activity on other carbohydrates and synthetic aryl-glycosides substrates. Enzyme activity was enhanced by Ca2+, Co2+, Zn2+, Cu2+ and Mn2+ and strongly inhibited by SDS. The KIJ1 xylanase may offer potential for use as a microbial feed additive.</t>
  </si>
  <si>
    <t>[Cho, Jaiesoon] Konkuk Univ, Coll Anim Biosci &amp; Technol, Dept Anim Sci &amp; Environm, Seoul 143701, South Korea; [Park, Inkyung; Cho, Jaiesoon] Konkuk Univ, Coll Anim Biosci &amp; Technol, Anim Resources Res Ctr, Seoul 143701, South Korea</t>
  </si>
  <si>
    <t>Konkuk University; Konkuk University</t>
  </si>
  <si>
    <t>Cho, J (corresponding author), Konkuk Univ, Coll Anim Biosci &amp; Technol, Dept Anim Sci &amp; Environm, 1 Hwayang Dong, Seoul 143701, South Korea.</t>
  </si>
  <si>
    <t>chojs70@konkuk.ac.kr</t>
  </si>
  <si>
    <t>ACADEMIC JOURNALS</t>
  </si>
  <si>
    <t>VICTORIA ISLAND</t>
  </si>
  <si>
    <t>P O BOX 5170-00200 NAIROBI, VICTORIA ISLAND, LAGOS 73023, NIGERIA</t>
  </si>
  <si>
    <t>1996-0808</t>
  </si>
  <si>
    <t>AFR J MICROBIOL RES</t>
  </si>
  <si>
    <t>Afr. J. Microbiol. Res.</t>
  </si>
  <si>
    <t>JUN 18</t>
  </si>
  <si>
    <t>631MQ</t>
  </si>
  <si>
    <t>WOS:000280352000013</t>
  </si>
  <si>
    <t>Nicholls, RJ; Cazenave, A</t>
  </si>
  <si>
    <t>Nicholls, Robert J.; Cazenave, Anny</t>
  </si>
  <si>
    <t>Sea-Level Rise and Its Impact on Coastal Zones</t>
  </si>
  <si>
    <t>CLIMATE-CHANGE; MASS-BALANCE; ICE; FUTURE</t>
  </si>
  <si>
    <t>Global sea levels have risen through the 20th century. These rises will almost certainly accelerate through the 21st century and beyond because of global warming, but their magnitude remains uncertain. Key uncertainties include the possible role of the Greenland and West Antarctic ice sheets and the amplitude of regional changes in sea level. In many areas, nonclimatic components of relative sea-level change (mainly subsidence) can also be locally appreciable. Although the impacts of sea-level rise are potentially large, the application and success of adaptation are large uncertainties that require more assessment and consideration.</t>
  </si>
  <si>
    <t>[Nicholls, Robert J.] Univ Southampton, Sch Civil Engn &amp; Environm, Southampton SO17 1BJ, Hants, England; [Nicholls, Robert J.] Univ Southampton, Tyndall Ctr Climate Change Res, Southampton SO17 1BJ, Hants, England; [Cazenave, Anny] Observ Midi Pyrenees, LEGOS CNES, F-31401 Toulouse 9, France</t>
  </si>
  <si>
    <t>University of Southampton; University of Southampton</t>
  </si>
  <si>
    <t>Nicholls, RJ (corresponding author), Univ Southampton, Sch Civil Engn &amp; Environm, Southampton SO17 1BJ, Hants, England.</t>
  </si>
  <si>
    <t>r.j.nicholls@soton.ac.uk; anny.cazenave@legos.obs-mip.fr</t>
  </si>
  <si>
    <t>Nicholls, Robert James/ABD-1481-2020; Nicholls, Robert James/G-3898-2010</t>
  </si>
  <si>
    <t>Nicholls, Robert James/0000-0002-9715-1109; Nicholls, Robert James/0000-0002-9715-1109</t>
  </si>
  <si>
    <t>10.1126/science.1185782</t>
  </si>
  <si>
    <t>611XW</t>
  </si>
  <si>
    <t>WOS:000278859200035</t>
  </si>
  <si>
    <t>Schofield, O; Ducklow, HW; Martinson, DG; Meredith, MP; Moline, MA; Fraser, WR</t>
  </si>
  <si>
    <t>Schofield, Oscar; Ducklow, Hugh W.; Martinson, Douglas G.; Meredith, Michael P.; Moline, Mark A.; Fraser, William R.</t>
  </si>
  <si>
    <t>How Do Polar Marine Ecosystems Respond to Rapid Climate Change?</t>
  </si>
  <si>
    <t>PENINSULA CONTINENTAL-SHELF; ANTARCTIC PENINSULA; SOUTHERN-OCEAN; SEA-ICE; KRILL; VARIABILITY; SALPS; CIRCULATION; DECLINE; IMPACT</t>
  </si>
  <si>
    <t>Climate change will alter marine ecosystems; however, the complexity of the food webs, combined with chronic undersampling, constrains efforts to predict their future and to optimally manage and protect marine resources. Sustained observations at the West Antarctic Peninsula show that in this region, rapid environmental change has coincided with shifts in the food web, from its base up to apex predators. New strategies will be required to gain further insight into how the marine climate system has influenced such changes and how it will do so in the future. Robotic networks, satellites, ships, and instruments mounted on animals and ice will collect data needed to improve numerical models that can then be used to study the future of polar ecosystems as climate change progresses.</t>
  </si>
  <si>
    <t>[Schofield, Oscar] Rutgers State Univ, Coastal Ocean Observat Lab, Inst Marine &amp; Coastal Sci, Sch Environm &amp; Biol Sci, New Brunswick, NJ 08901 USA; [Ducklow, Hugh W.] Marine Biol Lab, Ctr Ecosyst, Woods Hole, MA 02543 USA; [Martinson, Douglas G.] Columbia Univ, Dept Earth &amp; Environm Sci, Palisades, NY 10964 USA; [Meredith, Michael P.] British Antarctic Survey, Cambridge CB3 0ET, England; [Moline, Mark A.] Calif Polytech State Univ San Luis Obispo, Dept Biol Sci, San Luis Obispo, CA 93407 USA; [Moline, Mark A.] Calif Polytech State Univ San Luis Obispo, Ctr Coastal Marine Sci, San Luis Obispo, CA 93407 USA; [Fraser, William R.] Polar Oceans Res Grp, Sheridan, MT 59749 USA</t>
  </si>
  <si>
    <t>Rutgers University System; Rutgers University New Brunswick; Marine Biological Laboratory - Woods Hole; Columbia University; UK Research &amp; Innovation (UKRI); Natural Environment Research Council (NERC); NERC British Antarctic Survey; California State University System; California Polytechnic State University San Luis Obispo; California State University System; California Polytechnic State University San Luis Obispo</t>
  </si>
  <si>
    <t>Schofield, O (corresponding author), Rutgers State Univ, Coastal Ocean Observat Lab, Inst Marine &amp; Coastal Sci, Sch Environm &amp; Biol Sci, New Brunswick, NJ 08901 USA.</t>
  </si>
  <si>
    <t>oscar@marine.rutgers.edu</t>
  </si>
  <si>
    <t>Schofield, Oscar/H-4169-2018</t>
  </si>
  <si>
    <t>Schofield, Oscar/0000-0003-2359-4131; Meredith, Michael/0000-0002-7342-7756</t>
  </si>
  <si>
    <t>National Science Foundation's Office of Polar Programs; British Antarctic Survey; Gordon and Betty Moore Foundation; NASA; NERC [bas0100028] Funding Source: UKRI; Directorate For Geosciences; Office of Polar Programs (OPP) [0823101, 1019838, 0741351] Funding Source: National Science Foundation; Natural Environment Research Council [bas0100028] Funding Source: researchfish</t>
  </si>
  <si>
    <t>National Science Foundation's Office of Polar Programs(National Science Foundation (NSF)); British Antarctic Survey; Gordon and Betty Moore Foundation(Gordon and Betty Moore Foundation); NASA(National Aeronautics &amp; Space Administration (NASA)); NERC(UK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t>
  </si>
  <si>
    <t>These efforts were only possible with funding support provided by the National Science Foundation's Office of Polar Programs, the British Antarctic Survey, the Gordon and Betty Moore Foundation, and NASA.</t>
  </si>
  <si>
    <t>10.1126/science.1185779</t>
  </si>
  <si>
    <t>WOS:000278859200036</t>
  </si>
  <si>
    <t>Martínez-Garcia, A; Rosell-Melé, A; McClymont, EL; Gersonde, R; Haug, GH</t>
  </si>
  <si>
    <t>Martinez-Garcia, Alfredo; Rosell-Mele, Antoni; McClymont, Erin L.; Gersonde, Rainer; Haug, Gerald H.</t>
  </si>
  <si>
    <t>Subpolar Link to the Emergence of the Modern Equatorial Pacific Cold Tongue</t>
  </si>
  <si>
    <t>PERMANENT EL-NINO; SOUTHERN-OCEAN; HIGH-LATITUDE; PLIOCENE; CLIMATE; ATLANTIC; OSCILLATION; TEMPERATURE; CIRCULATION; TROPICS</t>
  </si>
  <si>
    <t>The cold upwelling tongue of the eastern equatorial Pacific is a central energetic feature of the ocean, dominating both the mean state and temporal variability of climate in the tropics and beyond. Recent evidence for the development of the modern cold tongue during the Pliocene-Pleistocene transition has been explained as the result of extratropical cooling that drove a shoaling of the thermocline. We have found that the sub-Antarctic and sub-Arctic regions underwent substantial cooling nearly synchronous to the cold tongue development, thereby providing support for this hypothesis. In addition, we show that sub-Antarctic climate changed in its response to Earth's orbital variations, from a subtropical to a subpolar pattern, as expected if cooling shrank the warm-water sphere of the ocean and thus contracted the subtropical gyres.</t>
  </si>
  <si>
    <t>[Martinez-Garcia, Alfredo; Haug, Gerald H.] ETH, Inst Geol, CH-8092 Zurich, Switzerland; [Martinez-Garcia, Alfredo; Haug, Gerald H.] Univ Potsdam, Inst Geosci, DFG Leibniz Ctr Surface Proc &amp; Climate Studies, D-14476 Potsdam, Germany; [Martinez-Garcia, Alfredo; Rosell-Mele, Antoni] Univ Autonoma Barcelona, Inst Ciencia &amp; Tecnol Ambientals, Bellaterra 08193, Catalonia, Spain; [Rosell-Mele, Antoni] Inst Catalana Recerca &amp; Estudis Avancats, Barcelona 08010, Catalonia, Spain; [McClymont, Erin L.] Newcastle Univ, Sch Geog Polit &amp; Sociol, Newcastle Upon Tyne NE1 7RU, Tyne &amp; Wear, England; [Gersonde, Rainer] Alfred Wegener Inst Polar &amp; Marine Res, D-27568 Bremerhaven, Germany</t>
  </si>
  <si>
    <t>Swiss Federal Institutes of Technology Domain; ETH Zurich; University of Potsdam; Autonomous University of Barcelona; ICREA; Newcastle University - UK; Helmholtz Association; Alfred Wegener Institute, Helmholtz Centre for Polar &amp; Marine Research</t>
  </si>
  <si>
    <t>Martínez-Garcia, A (corresponding author), ETH, Inst Geol, CH-8092 Zurich, Switzerland.</t>
  </si>
  <si>
    <t>alfredo.martinez-garcia@erdw.ethz.ch</t>
  </si>
  <si>
    <t>McClymont, Erin/AAX-3567-2020; Rosell-Melé, Antoni/B-3433-2013; McClymont, Erin L/K-2153-2012; McClymont, Erin/AAX-3657-2020; Martinez-Garcia, Alfredo/A-6244-2010</t>
  </si>
  <si>
    <t>McClymont, Erin/0000-0003-1562-8768; Rosell-Melé, Antoni/0000-0002-5513-2647; McClymont, Erin L/0000-0003-1562-8768; McClymont, Erin/0000-0003-1562-8768; Martinez-Garcia, Alfredo/0000-0002-7206-5079</t>
  </si>
  <si>
    <t>Ministerio de Ciencia e Innovacion, Spain; ICREA Funding Source: Custom</t>
  </si>
  <si>
    <t>Ministerio de Ciencia e Innovacion, Spain(Spanish Government); ICREA(ICREA)</t>
  </si>
  <si>
    <t>We thank the Integrated Ocean Drilling Program (IODP) for providing the samples used in this study, and two anonymous reviewers for providing valuable comments that improved the final version of the paper. Supported by a FPU grant awarded by the Ministerio de Ciencia e Innovacion, Spain (A. M.-G.).</t>
  </si>
  <si>
    <t>10.1126/science.1184480</t>
  </si>
  <si>
    <t>WOS:000278859200044</t>
  </si>
  <si>
    <t>Lourantou, A; Lavric, JV; Köhler, P; Barnola, JM; Paillard, D; Michel, E; Raynaud, D; Chappellaz, J</t>
  </si>
  <si>
    <t>Lourantou, Anna; Lavric, Jost V.; Koehler, Peter; Barnola, Jean-Marc; Paillard, Didier; Michel, Elisabeth; Raynaud, Dominique; Chappellaz, Jerome</t>
  </si>
  <si>
    <t>Constraint of the CO2 rise by new atmospheric carbon isotopic measurements during the last deglaciation</t>
  </si>
  <si>
    <t>SOUTHERN-OCEAN; GLACIAL MAXIMUM; HIGH-PRECISION; ANTARCTIC ICE; KEELING PLOTS; CYCLE; CIRCULATION; AIR; DELTA-C-13; RECORD</t>
  </si>
  <si>
    <t>The causes of the similar to 80 ppmv increase of atmospheric carbon dioxide (CO2) during the last glacial-interglacial climatic transition remain debated. We analyzed the parallel evolution of CO2 and its stable carbon isotopic ratio (delta(CO2)-C-13) in the European Project for Ice Coring in Antarctica (EPICA) Dome C ice core to bring additional constraints. Agreeing well but largely improving the Taylor Dome ice core record of lower resolution, our delta(CO2)-C-13 record is characterized by a W shape, with two negative delta(CO2)-C-13 excursions of 0.5 parts per thousand during Heinrich 1 and Younger Dryas events, bracketing a positive delta(CO2)-C-13 peak during the Bolling/Allerod warm period. The comparison with marine records and the outputs of two C cycle box models suggest that changes in Southern Ocean ventilation drove most of the CO2 increase, with additional contributions from marine productivity changes on the initial CO2 rise and delta(CO2)-C-13 decline and from rapid vegetation buildup during the CO2 plateau of the Bolling/Allerod.</t>
  </si>
  <si>
    <t>[Lourantou, Anna; Lavric, Jost V.; Barnola, Jean-Marc; Raynaud, Dominique; Chappellaz, Jerome] Univ Grenoble 1, CNRS, Lab Glaciol &amp; Geophys Environm, F-38402 St Martin Dheres, France; [Koehler, Peter] Alfred Wegener Inst Polar &amp; Marine Res, D-27570 Bremerhaven, Germany; [Lavric, Jost V.; Paillard, Didier; Michel, Elisabeth] Univ Versailles St Quentin, CNRS, IPSL, Lab Sci Climat &amp; Environm, F-91191 Gif Sur Yvette, France</t>
  </si>
  <si>
    <t>Communaute Universite Grenoble Alpes; Universite Grenoble Alpes (UGA); Centre National de la Recherche Scientifique (CNRS); Helmholtz Association; Alfred Wegener Institute, Helmholtz Centre for Polar &amp; Marine Research; Universite Paris Cite; Universite Paris Saclay; CEA; Centre National de la Recherche Scientifique (CNRS)</t>
  </si>
  <si>
    <t>Chappellaz, J (corresponding author), Univ Grenoble 1, CNRS, Lab Glaciol &amp; Geophys Environm, 54 Rue Moliere, F-38402 St Martin Dheres, France.</t>
  </si>
  <si>
    <t>chappellaz@lgge.obs.ujf-grenoble.fr</t>
  </si>
  <si>
    <t>raynaud, dominique/ABG-4718-2020; Lavric, Jost/H-4487-2011; Köhler, Peter/F-7293-2010; Chappellaz, Jérôme A./A-4872-2011; Raynaud, Dominique/H-9626-2016; Paillard, Didier/G-4776-2012</t>
  </si>
  <si>
    <t>Lavric, Jost/0000-0003-3610-9078; Köhler, Peter/0000-0003-0904-8484; Michel, Elisabeth/0000-0001-7810-8888; Paillard, Didier/0000-0002-9995-2794</t>
  </si>
  <si>
    <t>European Commission; European Research Training and Mobility Network GREENCYCLES; QUEST-INSU; STREP EPICA-MIS [FP6]; French ANR PICC [ANR-05-BLAN-0312-01]; Fondation de France; Balzan Price</t>
  </si>
  <si>
    <t>European Commission(European Union (EU)European Commission Joint Research Centre); European Research Training and Mobility Network GREENCYCLES; QUEST-INSU; STREP EPICA-MIS; French ANR PICC(Agence Nationale de la Recherche (ANR)); Fondation de France(Fondation de France); Balzan Price</t>
  </si>
  <si>
    <t>This work is a contribution to the European Project for Ice Coring in Antarctica (EPICA), a joint European Science Foundation (ESF)/EC scientific program, funded by the European Commission and by national contributions from Belgium, Denmark, France, Germany, Italy, the Netherlands, Norway, Sweden, Switzerland, and the United Kingdom. The main logistic support was provided by IPEV and PNRA (at Dome C). A. L. was funded by the European Research Training and Mobility Network GREENCYCLES. Additional funding support was provided by the QUEST-INSU project DESIRE, the FP6 STREP EPICA-MIS, and the French ANR PICC (ANR-05-BLAN-0312-01). Long-term support for the mass spectrometry work at LGGE was provided by the Fondation de France and the Balzan Price. Discussions with G. Dreyfus, H. Schaefer, and G. Delaygue were very much appreciated. We particularly thank C. Lorius for his confidence in our earlier work and five anonymous reviewers for fruitful comments on previous versions of this manuscript. This is EPICA publication 249.</t>
  </si>
  <si>
    <t>JUN 17</t>
  </si>
  <si>
    <t>GB2015</t>
  </si>
  <si>
    <t>10.1029/2009GB003545</t>
  </si>
  <si>
    <t>613NP</t>
  </si>
  <si>
    <t>WOS:000278986300001</t>
  </si>
  <si>
    <t>Gattinger, RL; McDade, IC; Suzán, ALA; Boone, CD; Walker, KA; Bernath, PF; Evans, WFJ; Degenstein, DA; Yee, JH; Sheese, P; Llewellyn, EJ</t>
  </si>
  <si>
    <t>Gattinger, R. L.; McDade, I. C.; Suzan, A. L. Alfaro; Boone, C. D.; Walker, K. A.; Bernath, P. F.; Evans, W. F. J.; Degenstein, D. A.; Yee, J-H.; Sheese, P.; Llewellyn, E. J.</t>
  </si>
  <si>
    <t>NO2 air afterglow and O and NO densities from Odin-OSIRIS night and ACE-FTS sunset observations in the Antarctic MLT region</t>
  </si>
  <si>
    <t>CHEMISTRY EXPERIMENT ACE; NITRIC-OXIDE; CONTINUUM; THERMOSPHERE; VALIDATION; ATMOSPHERE; MODEL; PARAMETERS; MISSION; GREEN</t>
  </si>
  <si>
    <t>The continuum spectrum produced by the NO + O(+M) -&gt; NO2(+ M) + hv chemiluminescent reaction has been detected in the upper mesospheric dark polar regions by Optical Spectrograph and Infra-Red Imager System (OSIRIS) on the Odin spacecraft. For the sample period of 8-9 May 2005, Southern Hemisphere, limb radiance profiles of continuum spectra, resolved from OH airglow and auroral contamination, are inverted to obtain volume emission rate altitude profiles. The maximum observed differential brightness referred to zenith viewing is 1.2 x 10(7) photons cm(-2) s(-1) nm(-1) at 580 nm with a measurement uncertainty 5 x 10(5) photons cm(-2) s(-1) nm(-1), for an analysis range 80-101 km. Atomic oxygen densities [O] required by the analysis to derive NO densities [NO] are determined from OSIRIS O-2(b(1)Sigma(+)(g) - X-3 Sigma(-)(g)) 0-0 band night airglow observations and from Atmospheric Chemistry Experiment-Fourier Transform Spectrometer (ACE-FTS) sunset ozone observations. The derived Southern Hemisphere [O] map that shows pronounced longitudinal variation, maximum of 7 x 10(11) cm(-3), considerably exceeding MSIS model values, and suggests significant dynamical influence. Combining the continuum observations and the derived [O], a hemispheric map of derived [NO] is assembled that also shows considerable spatial variation, maximum of 1.1 x 10(9) cm(-3), measurement uncertainty of 3 x 10(7) cm(-3). Comparing the two maps, the geographical distribution of [NO] differs considerably from that of [O]. From a qualitative comparison, the distribution of derived [NO] is similar to that in coordinated GUVI LBH1 auroral precipitation images. The OSIRIS-derived [NO] agrees with the measured ACE-FTS [NO] to within 1 x 10(8) cm(-3). The estimated systematic uncertainty of the NO densities derived from OSIRIS observations is approximately 30%.</t>
  </si>
  <si>
    <t>[Gattinger, R. L.; Degenstein, D. A.; Sheese, P.; Llewellyn, E. J.] Univ Saskatchewan, Dept Phys &amp; Engn Phys, Saskatoon, SK S7N 5E2, Canada; [McDade, I. C.; Suzan, A. L. Alfaro; Evans, W. F. J.; Sheese, P.] York Univ, CRESS, Toronto, ON M3J 1P3, Canada; [McDade, I. C.; Suzan, A. L. Alfaro; Evans, W. F. J.; Sheese, P.] York Univ, Dept Earth &amp; Space Sci &amp; Engn, Toronto, ON M3J 1P3, Canada; [Bernath, P. F.] Univ York, Dept Chem, York YO10 5DD, N Yorkshire, England; [Boone, C. D.; Walker, K. A.; Bernath, P. F.] Univ Waterloo, Dept Chem, Waterloo, ON N2L 3G1, Canada; [Walker, K. A.] Univ Toronto, Dept Phys, Toronto, ON M5S 1A1, Canada; [Yee, J-H.] Johns Hopkins Univ, Appl Phys Lab, Laurel, MD 20723 USA</t>
  </si>
  <si>
    <t>University of Saskatchewan; York University - Canada; York University - Canada; University of York - UK; University of Waterloo; University of Toronto; Johns Hopkins University; Johns Hopkins University Applied Physics Laboratory</t>
  </si>
  <si>
    <t>Gattinger, RL (corresponding author), Univ Saskatchewan, Dept Phys &amp; Engn Phys, Saskatoon, SK S7N 5E2, Canada.</t>
  </si>
  <si>
    <t>edward.llewellyn@usask.ca</t>
  </si>
  <si>
    <t>Bernath, Peter F/B-6567-2012; Yee, Jeng-Hwa/L-6362-2016</t>
  </si>
  <si>
    <t>Bernath, Peter F/0000-0002-1255-396X; Yee, Jeng-Hwa/0000-0002-8269-424X</t>
  </si>
  <si>
    <t>Canadian Space Agency; Natural Sciences and Engineering Research Council (Canada); Sweden (SNSB); Canada (CSA); France (CNES); Finland (Tekes); U.K. Natural Environment Research Council (NERC)</t>
  </si>
  <si>
    <t>Canadian Space Agency(Canadian Space Agency); Natural Sciences and Engineering Research Council (Canada)(Natural Sciences and Engineering Research Council of Canada (NSERC)); Sweden (SNSB); Canada (CSA)(Canadian Space Agency); France (CNES)(Centre National D'etudes Spatiales); Finland (Tekes)(Finnish Funding Agency for Technology &amp; Innovation (TEKES)); U.K. Natural Environment Research Council (NERC)(UK Research &amp; Innovation (UKRI)Natural Environment Research Council (NERC))</t>
  </si>
  <si>
    <t>This work was supported by the Canadian Space Agency and the Natural Sciences and Engineering Research Council (Canada). Odin is a Swedish-led satellite project funded jointly by Sweden (SNSB), Canada (CSA), France (CNES), and Finland (Tekes). ACE is supplied by the CSA. Support was also provided by the U.K. Natural Environment Research Council (NERC). Auroral oval corrected geomagnetic coordinate transformations were obtained from PDF/Modelweb. The authors gratefully acknowledge the constructive suggestions provided by the reviewers for improving the manuscript.</t>
  </si>
  <si>
    <t>JUN 16</t>
  </si>
  <si>
    <t>D12301</t>
  </si>
  <si>
    <t>10.1029/2009JD013205</t>
  </si>
  <si>
    <t>613NV</t>
  </si>
  <si>
    <t>WOS:000278986900004</t>
  </si>
  <si>
    <t>Chilvers, BL; MacKenzie, DI</t>
  </si>
  <si>
    <t>Chilvers, B. Louise; MacKenzie, Darryl I.</t>
  </si>
  <si>
    <t>Age- and sex-specific survival estimates incorporating tag loss for New Zealand sea lions, Phocarctos hookeri</t>
  </si>
  <si>
    <t>JOURNAL OF MAMMALOGY</t>
  </si>
  <si>
    <t>Auckland Islands; demography; fisheries interactions; management; mark-recapture method; multistate model; Phocarctos hookeri; New Zealand sea lion; New Zealand's subantarctic; population dynamics</t>
  </si>
  <si>
    <t>ANTARCTIC FUR SEALS; POPULATION-DYNAMICS; DIVING BEHAVIOR; GROWTH; RATES; MANAGEMENT; MORTALITY; ABUNDANCE</t>
  </si>
  <si>
    <t>The estimation of life-history parameters for a threatened species is important for understanding its biology and helping to determine management options. This research investigates age- and sex-related survival estimates incorporating tag loss for New Zealand (NZ) sea lions (Phocarctos hookeri) from Sandy Bay, Enderby Island, Auckland Islands, New Zealand, using multistate mark recapture data from known-age individuals over 8 years (1997-1998 to 2005-2006). Survival estimates and tag loss rates differed significantly by sex and age class, with adult males having the lowest tag retention of any age or sex class and females &gt;= 3 years old having lower survival estimates than their male counterparts. The variability and lower female survival relative to males is a critical problem for NZ sea lions, because even small changes in adult female survival significantly affect population trends for such large, long-lived mammals. DOI: 10.1644/09-MAMM-A-285.1.</t>
  </si>
  <si>
    <t>[Chilvers, B. Louise] Marine Conservat, Dept Conservat, Wellington 6011, New Zealand; [MacKenzie, Darryl I.] Proteus Wildlife Res Consultants, Dunedin 9058, New Zealand</t>
  </si>
  <si>
    <t>Chilvers, BL (corresponding author), Marine Conservat, Dept Conservat, POB 10-420, Wellington 6011, New Zealand.</t>
  </si>
  <si>
    <t>lchilvers@doc.govt.nz</t>
  </si>
  <si>
    <t>Chilvers, B. Louise/AAV-1965-2021</t>
  </si>
  <si>
    <t>Chilvers, B. Louise/0000-0002-7657-4217</t>
  </si>
  <si>
    <t>New Zealand Department of Conservation; Department of Conservation [POP2006/01]</t>
  </si>
  <si>
    <t>New Zealand Department of Conservation; Department of Conservation</t>
  </si>
  <si>
    <t>The work was conducted under research and entry permits from the New Zealand Department of Conservation. This work is the result of a long-term study, funded through the New Zealand Department of Conservation's Conservation Services Programme (www.csp.org.nz). Recent funding was provided under project POP2006/01 by the Department of Conservation and through a levy principally on the quota holders of SQU 6T. We thank Department of Conservation Southland for its logistical assistance. We also thank J. Amey, S. Childerhouse, L. Meyneir, A. Maloney, A. Auge, and all other field-workers. A special thanks go to I. Wilkinson and M. Cawthorn for their early tagging and resight work at the Auckland Islands sites. Approval for work was obtained from Department of Conservation Animal Ethics Committee (approval AEC86,1 July 1999). B. Robertson, A. Todd, S. Banks, G. Pendleton, and P. Boveng all provided helpful, critical reviews of the manuscript.</t>
  </si>
  <si>
    <t>0022-2372</t>
  </si>
  <si>
    <t>1545-1542</t>
  </si>
  <si>
    <t>J MAMMAL</t>
  </si>
  <si>
    <t>J. Mammal.</t>
  </si>
  <si>
    <t>10.1644/09-MAMM-A-285.1</t>
  </si>
  <si>
    <t>615JG</t>
  </si>
  <si>
    <t>WOS:000279130300023</t>
  </si>
  <si>
    <t>Wharton, DA</t>
  </si>
  <si>
    <t>Wharton, David A.</t>
  </si>
  <si>
    <t>Osmoregulation in the Antarctic nematode Panagrolaimus davidi</t>
  </si>
  <si>
    <t>nanolitre osmometer; internal osmotic concentration; nematode; osmoregulation; melting point</t>
  </si>
  <si>
    <t>OSMOTIC-STRESS; CAENORHABDITIS-ELEGANS; EXCRETORY SYSTEM; ENTOMOPATHOGENIC NEMATODES; PSEUDOTERRANOVA-DECIPIENS; HAEMONCHUS-CONTORTUS; FREEZING TOLERANCE; PHYSIOLOGY; SURVIVAL; BEHAVIOR</t>
  </si>
  <si>
    <t>A technique for determining the internal osmotic concentration of a small nematode using a modified nanolitre osmometer is described and used to investigate osmoregulation in the Antarctic nematode Panagrolaimus davidi. This technique enables the osmotic concentration to the measured with an accuracy of +/- 12 mmol kg(-1). The pattern of melting in the nematode's different body compartments suggests that it is the osmolality of its pseudocoelomic fluid that is being measured. Panagrolaimus davidi maintains its internal osmotic concentration above that of the external medium and is thus an hyperosmotic regulator. The nematode achieves regulation under hyposmotic stress more rapidly than under hyperosmotic stress.</t>
  </si>
  <si>
    <t>Univ Otago, Dept Zool, Dunedin, New Zealand</t>
  </si>
  <si>
    <t>Wharton, DA (corresponding author), Univ Otago, Dept Zool, POB 56, Dunedin, New Zealand.</t>
  </si>
  <si>
    <t>david.wharton@stonebow.otago.ac.nz</t>
  </si>
  <si>
    <t>Wharton, David/0000-0001-6369-4984</t>
  </si>
  <si>
    <t>Antarctica New Zealand</t>
  </si>
  <si>
    <t>I would like to thank Antarctica New Zealand for supporting my Antarctic studies and Karen Judge for technical assistance. This research was conducted during my Research and Study Leave from the University of Otago.</t>
  </si>
  <si>
    <t>JUN 15</t>
  </si>
  <si>
    <t>10.1242/jeb.041202</t>
  </si>
  <si>
    <t>602YT</t>
  </si>
  <si>
    <t>WOS:000278175700009</t>
  </si>
  <si>
    <t>Varikoden, H; Samah, AA; Babu, CA</t>
  </si>
  <si>
    <t>Varikoden, Hamza; Samah, A. A.; Babu, C. A.</t>
  </si>
  <si>
    <t>Spatial and temporal characteristics of rain intensity in the peninsular Malaysia using TRMM rain rate</t>
  </si>
  <si>
    <t>JOURNAL OF HYDROLOGY</t>
  </si>
  <si>
    <t>Rainfall intensity; Diurnal variation; Seasonal characteristics; Relative contribution</t>
  </si>
  <si>
    <t>MARITIME CONTINENT; MODELING RAINFALL; GAUGE DATA; PRECIPITATION; VARIABILITY; RETRIEVALS; SATELLITE</t>
  </si>
  <si>
    <t>The present study is focused on the intensity distribution of rainfall in different classes and their contribution to the total seasonal rainfall. In addition, we studied the spatial and diurnal variation of the rainfall in the study areas. For the present study, we retrieved data from TRMM (Tropical Rain Measuring Mission) rain rate available in every 3 h temporal and 25 km spatial resolutions. Moreover, station rainfall data is used to validate the TRMM rain rate and found significant correlation between them (linear correlation coefficients are 0.96, 0.85, 0.75 and 0.63 for the stations Kota Bharu, Senai, Cameron highlands and KLIA, respectively). We selected four areas in the Peninsular Malaysia and they are south coastal, east coastal, west coastal and highland regions. Diurnal variation of frequency of rain occurrence is different for different locations. We noticed bimodal variation in the coastal areas in most of the seasons and unimodal variation in the highland/inland area. During the southwest monsoon period in the west coastal stations, there is no distinct diurnal variation. The distribution of different intensity classes during different seasons are explained in detail in the results. (C) 2010 Elsevier B.V. All rights reserved.</t>
  </si>
  <si>
    <t>[Varikoden, Hamza] Indian Inst Trop Meteorol, Climatol &amp; Hydrometeorol Div, Pune 411008, Maharashtra, India; [Samah, A. A.] Univ Malaya, Natl Antarctic Res Ctr, Kuala Lumpur 50603, Malaysia; [Babu, C. A.] Cochin Univ Sci &amp; Technol, Dept Atmospher Sci, Cochin 682016, Kerala, India</t>
  </si>
  <si>
    <t>Ministry of Earth Sciences (MoES) - India; Indian Institute of Tropical Meteorology (IITM); Universiti Malaya; Cochin University Science &amp; Technology</t>
  </si>
  <si>
    <t>Varikoden, H (corresponding author), Indian Inst Trop Meteorol, Climatol &amp; Hydrometeorol Div, Pune 411008, Maharashtra, India.</t>
  </si>
  <si>
    <t>hamza@tropmet.res.in</t>
  </si>
  <si>
    <t>ABU SAMAH, AZIZAN HJ/B-8295-2010</t>
  </si>
  <si>
    <t>eScience Fund [436 04-01-03-SF0410]</t>
  </si>
  <si>
    <t>eScience Fund</t>
  </si>
  <si>
    <t>The second author is thankful to the eScience Fund Project (No.436 04-01-03-SF0410) for the financial support and all authors are grateful to the University of Malaya for providing the facilities. First author is thankful to B. N. Goswami, Director, IITM for providing the facilities. We thank the TRMM Science Data and Information System for providing us the TRMM data. We thank Malaysian Meteorological Department (MMD) for providing the station rainfall data and Mr. Ooi for helping to collect the rainfall data from MMD. We are also grateful to anonymous reviewers and the Editor Konstantine P. Georgakakos for the constructive reviews.</t>
  </si>
  <si>
    <t>0022-1694</t>
  </si>
  <si>
    <t>1879-2707</t>
  </si>
  <si>
    <t>J HYDROL</t>
  </si>
  <si>
    <t>J. Hydrol.</t>
  </si>
  <si>
    <t>10.1016/j.jhydrol.2010.04.023</t>
  </si>
  <si>
    <t>Engineering, Civil; Geosciences, Multidisciplinary; Water Resources</t>
  </si>
  <si>
    <t>Engineering; Geology; Water Resources</t>
  </si>
  <si>
    <t>617JO</t>
  </si>
  <si>
    <t>WOS:000279277100016</t>
  </si>
  <si>
    <t>Popescu, D; Hoogenboom, R; Keul, H; Moller, M</t>
  </si>
  <si>
    <t>Popescu, Dragos; Hoogenboom, Richard; Keul, Helmut; Moller, Martin</t>
  </si>
  <si>
    <t>Free Radical and Nitroxide Mediated Polymerization of Hydroxy-Functional Acrylates Prepared via Lipase-Catalyzed Transacylation Reactions</t>
  </si>
  <si>
    <t>JOURNAL OF POLYMER SCIENCE PART A-POLYMER CHEMISTRY</t>
  </si>
  <si>
    <t>controlled radical polymerization; enzyme-catalyzed transacylation; hydrophilic polymers; hydroxy functional acrylates; radical polymerization; water-soluble polymers</t>
  </si>
  <si>
    <t>N-BUTYL ACRYLATE; PH-RESPONSIVE POLYMERS; 2-HYDROXYPROPYL ACRYLATE; GLYCEROL MONOMETHACRYLATE; 2-HYDROXYETHYL ACRYLATE; UNSATURATED MONOMERS; BLOCK-COPOLYMERS; METHACRYLIC-ACID; DRUG-DELIVERY; RAFT PROCESS</t>
  </si>
  <si>
    <t>3-Hydroxypropyl acrylate, 4-hydroxybutyl acrylate, 2-methyl-3-hydroxypropyl acrylate, 2-hydroxypropyl acrylate, neopentyl glycol acrylate, glyceryl acrylate, and dihydroxyhexyl acrylate were prepared via transacylation reaction of methyl acrylate with diols and triols catalyzed by Candida antarctic lipase B After removal of the enzyme by filtration and the methyl acrylate by distillation, the monomers were polymerized via free radical polymerization (FRP) with azobisisobutyronitrile as initiator and nitroxide mediated polymerization (NMP) employing Blocbuilder (TM) alkoxyamine initiator and SG-1 free nitroxide resulting in hydroxy functional poly(acrylates) The NMP kinetics are discussed in detail In addition, the polymers obtained by FRP and NMP are compared and the results are related to the amount of bisacrylates that are present in the initial monomer mixtures resulting from the transacylation reactions (C) 2010 Wiley Periodicals, Inc J Polym Sci Part A Polym Chem 48 2610-2621, 2010</t>
  </si>
  <si>
    <t>[Hoogenboom, Richard] Rhein Westfal TH Aachen, Inst Tech &amp; Macromol Chem, D-52056 Aachen, Germany; RWTH Aachen eV, DWI, D-52056 Aachen, Germany</t>
  </si>
  <si>
    <t>RWTH Aachen University</t>
  </si>
  <si>
    <t>Hoogenboom, R (corresponding author), Rhein Westfal TH Aachen, Inst Tech &amp; Macromol Chem, Pauwelsstr 8, D-52056 Aachen, Germany.</t>
  </si>
  <si>
    <t>Möller, Martin/F-7860-2015; Hoogenboom, Richard/B-8977-2008</t>
  </si>
  <si>
    <t>Hoogenboom, Richard/0000-0001-7398-2058</t>
  </si>
  <si>
    <t>European Commission [BIOPRODUCTION/NMP-2-T-2007-026515]; Alexander von Humboldt foundation; Netherlands Scientific Organization (NWO)</t>
  </si>
  <si>
    <t>European Commission(European Union (EU)European Commission Joint Research Centre); Alexander von Humboldt foundation(Alexander von Humboldt Foundation); Netherlands Scientific Organization (NWO)(Netherlands Organization for Scientific Research (NWO))</t>
  </si>
  <si>
    <t>This work was carried out in the framework of the IP-project Sustainable Microbial and Biocatalytic Production of Advanced Functional Materials (BIOPRODUCTION/NMP-2-T-2007-026515) funded by the European Commission R. Hoogenboom is grateful to the Alexander von Humboldt foundation and the Netherlands Scientific Organization (NWO; Vem-grant) for financial support. Arkema is thanked for providing the Bloc-builder (TM) alkoxyamine initiator and SG-1 free mtroxide.</t>
  </si>
  <si>
    <t>0887-624X</t>
  </si>
  <si>
    <t>1099-0518</t>
  </si>
  <si>
    <t>J POLYM SCI POL CHEM</t>
  </si>
  <si>
    <t>J. Polym. Sci. Pol. Chem.</t>
  </si>
  <si>
    <t>10.1002/pola.24041</t>
  </si>
  <si>
    <t>610QY</t>
  </si>
  <si>
    <t>WOS:000278750500012</t>
  </si>
  <si>
    <t>Toggweiler, JR; Lea, DW</t>
  </si>
  <si>
    <t>Toggweiler, J. R.; Lea, David W.</t>
  </si>
  <si>
    <t>Temperature differences between the hemispheres and ice age climate variability</t>
  </si>
  <si>
    <t>ATMOSPHERIC CO2; SURFACE-TEMPERATURE; SEA-LEVEL; ANTARCTIC TEMPERATURE; LAST DEGLACIATION; PACIFIC-OCEAN; DRAKE PASSAGE; ATLANTIC; RECORD; CORE</t>
  </si>
  <si>
    <t>Earth became warmer and cooler during the ice ages along with changes in the Earth's orbit, but the orbital changes themselves are not nearly large enough to explain the magnitude of the warming and cooling. Atmospheric CO2 also rose and fell, but again, the CO2 changes are rather small in relation to the warming and cooling. So, how did the Earth manage to warm and cool by so much? Here we argue that, for the big transitions at least, the Earth did not warm and cool as a single entity. Rather, the south warmed instead at the expense of a cooler north through massive redistributions of heat that were set off by the orbital forcing. Oceanic CO2 was vented up to the atmosphere by the same redistributions. The north then warmed later in response to higher CO2 and a reduced albedo from smaller ice sheets. This form of north-south displacement is actually very familiar, as it is readily observed during the Younger Dryas interval 13,000 years ago and in the various millennial-scale events over the last 90,000 years.</t>
  </si>
  <si>
    <t>[Toggweiler, J. R.] NOAA, Geophys Fluid Dynam Lab, Princeton, NJ 08542 USA; [Lea, David W.] Univ Calif Santa Barbara, Dept Earth Sci, Santa Barbara, CA 93106 USA; [Lea, David W.] Univ Calif Santa Barbara, Inst Marine Sci, Santa Barbara, CA 93106 USA</t>
  </si>
  <si>
    <t>National Oceanic Atmospheric Admin (NOAA) - USA; University of California System; University of California Santa Barbara; University of California System; University of California Santa Barbara</t>
  </si>
  <si>
    <t>Toggweiler, JR (corresponding author), NOAA, Geophys Fluid Dynam Lab, POB 308, Princeton, NJ 08542 USA.</t>
  </si>
  <si>
    <t>robbie.toggweiler@noaa.gov; lea@geol.ucsb.edu</t>
  </si>
  <si>
    <t>Toggweiler, J. R./O-5883-2019</t>
  </si>
  <si>
    <t>Toggweiler, J. R./0000-0001-6345-5756</t>
  </si>
  <si>
    <t>PA2212</t>
  </si>
  <si>
    <t>10.1029/2009PA001758</t>
  </si>
  <si>
    <t>613PX</t>
  </si>
  <si>
    <t>WOS:000278992500001</t>
  </si>
  <si>
    <t>Zoccolillo, L; Amendola, L; Insogna, S; Pastorini, E</t>
  </si>
  <si>
    <t>Zoccolillo, Lelio; Amendola, Luca; Insogna, Susanna; Pastorini, Elisabetta</t>
  </si>
  <si>
    <t>On-line analysis of volatile chlorinated hydrocarbons in air by gas chromatography-mass spectrometry Improvements in preconcentration and injection steps</t>
  </si>
  <si>
    <t>JOURNAL OF CHROMATOGRAPHY A</t>
  </si>
  <si>
    <t>Volatile chlorinated hydrocarbons; On-line air analysis; Canister; Cryofocusing; GC-MS</t>
  </si>
  <si>
    <t>ANTARCTIC SURFACE WATERS; ORGANIC-COMPOUNDS; AMBIENT AIR; GLOBAL DISTRIBUTION; HALOCARBONS; POLLUTANTS; MATRICES; REGIONS; SNOW</t>
  </si>
  <si>
    <t>An analytical system composed of a cryofocusing trap injector device coupled to a gas chromatograph with mass spectrometric detection (CTI-GC-MS) specific for the on-line analysis in air of volatile chlorinated hydrocarbons (VCHCs) (dichloromethane; chloroform; 1,1,1-trichloroethane; tetrachloromethane; 1,1,2-trichloroethylene; tetrachloroethylene) was developed. The cryofocusing trap injector was the result of appropriate low cost modifications to an original purge-and-trap device to make it suitable for direct air analysis even in the case of only slightly contaminated air samples, such as those from remote zones. The CTI device can rapidly and easily be rearranged into the purge-and-trap allowing water and air analysis with the same apparatus. Air samples, collected in stainless steel canisters, were introduced directly into the CTI-GC-MS system to realize cryo-concentration (at -120 degrees C), thermal desorption (at 200 degrees C) and for the subsequent analysis of volatiles. The operating phases and conditions were customised and optimized. Recovery efficiency was optimized in terms of moisture removal, cold trap temperature and sampling mass flow. The injection of entrapped volatiles was realized through a direct transfer with high chromatographic reliability (capillary column-capillary column). These improvements allowed obtaining limits of detection (LODs) at least one order of magnitude lower than current LODs for the investigated substances. The method was successfully employed on real samples: air from urban and rural areas and air from remote zones such as Antarctica. (C) 2010 Elsevier B.V. All rights reserved.</t>
  </si>
  <si>
    <t>[Zoccolillo, Lelio; Amendola, Luca; Insogna, Susanna] Univ Roma La Sapienza, Dept Chem, I-00185 Rome, Italy; [Pastorini, Elisabetta] Univ Bologna, Dept Pharmaceut Sci, I-40126 Bologna, Italy</t>
  </si>
  <si>
    <t>Sapienza University Rome; University of Bologna</t>
  </si>
  <si>
    <t>Zoccolillo, L (corresponding author), Univ Roma La Sapienza, Dept Chem, Ple Aldo Moro 5, I-00185 Rome, Italy.</t>
  </si>
  <si>
    <t>lelio.zoccolillo@uniroma1.it</t>
  </si>
  <si>
    <t>Insogna, Susanna/M-7301-2015</t>
  </si>
  <si>
    <t>Insogna, Susanna/0000-0001-9463-1273</t>
  </si>
  <si>
    <t>0021-9673</t>
  </si>
  <si>
    <t>J CHROMATOGR A</t>
  </si>
  <si>
    <t>J. Chromatogr. A</t>
  </si>
  <si>
    <t>JUN 11</t>
  </si>
  <si>
    <t>10.1016/j.chroma.2010.04.013</t>
  </si>
  <si>
    <t>Biochemical Research Methods; Chemistry, Analytical</t>
  </si>
  <si>
    <t>Biochemistry &amp; Molecular Biology; Chemistry</t>
  </si>
  <si>
    <t>608DX</t>
  </si>
  <si>
    <t>WOS:000278563900020</t>
  </si>
  <si>
    <t>Nelson, H; Nowaczyk, A; Gainaru, C; Schildmann, S; Geil, B; Böhmer, R</t>
  </si>
  <si>
    <t>Nelson, H.; Nowaczyk, A.; Gainaru, C.; Schildmann, S.; Geil, B.; Boehmer, R.</t>
  </si>
  <si>
    <t>Deuteron nuclear magnetic resonance and dielectric study of host and guest dynamics in KOH-doped tetrahydrofuran clathrate hydrate</t>
  </si>
  <si>
    <t>PHYSICAL REVIEW B</t>
  </si>
  <si>
    <t>PHASE-TRANSITION; NEUTRON-DIFFRACTION; ANTARCTIC ICE; NMR BEHAVIOR; RELAXATION; ACETONE; PURE</t>
  </si>
  <si>
    <t>The host as well as the guest dynamics in ion doped clathrate hydrates were studied via several deuteron nuclear magnetic resonance techniques and using broadband dielectric spectroscopy in conjunction with the application of large electrical fields. At a given temperature evidence for up to three relaxation processes was found for samples with mole fractions larger than 10(-4) KOH. The two slower processes, unraveled via an electrical cleaning procedure, are similar to those detected on undoped samples in which they proceed on slightly longer time scales. The fastest process exhibits a weak temperature dependence except close to the transition into the low-temperature phase. Here, an incomplete proton order is established on the hydrate lattice and a residual orientational motion of the guest molecules could be detected at low temperatures. These results demonstrate the large degree of coupling between host and guest motions.</t>
  </si>
  <si>
    <t>[Nelson, H.; Nowaczyk, A.; Gainaru, C.; Schildmann, S.; Boehmer, R.] Tech Univ Dortmund, Fak Phys, D-44221 Dortmund, Germany; [Geil, B.] Univ Gottingen, Inst Phys Chem, D-37077 Gottingen, Germany</t>
  </si>
  <si>
    <t>Dortmund University of Technology; University of Gottingen</t>
  </si>
  <si>
    <t>Nelson, H (corresponding author), Tech Univ Dortmund, Fak Phys, D-44221 Dortmund, Germany.</t>
  </si>
  <si>
    <t>roland.bohmer@tu-dortmund.de</t>
  </si>
  <si>
    <t>Gainaru, Catalin/0000-0001-8295-6433</t>
  </si>
  <si>
    <t>Deutsche Forschungsgemeinschaft [Bo1301/7-1]</t>
  </si>
  <si>
    <t>We thank F. Forster and M. Heikenfeld for carrying out preliminary dielectric measurements on doped clathrates. The funding of this work by the Deutsche Forschungsgemeinschaft under Grant No. Bo1301/7-1 is gratefully acknowledged.</t>
  </si>
  <si>
    <t>1098-0121</t>
  </si>
  <si>
    <t>PHYS REV B</t>
  </si>
  <si>
    <t>Phys. Rev. B</t>
  </si>
  <si>
    <t>10.1103/PhysRevB.81.224206</t>
  </si>
  <si>
    <t>Materials Science, Multidisciplinary; Physics, Applied; Physics, Condensed Matter</t>
  </si>
  <si>
    <t>Materials Science; Physics</t>
  </si>
  <si>
    <t>609KK</t>
  </si>
  <si>
    <t>WOS:000278654900001</t>
  </si>
  <si>
    <t>Griesel, A; Gille, ST; Sprintall, J; McClean, JL; LaCasce, JH; Maltrud, ME</t>
  </si>
  <si>
    <t>Griesel, A.; Gille, S. T.; Sprintall, J.; McClean, J. L.; LaCasce, J. H.; Maltrud, M. E.</t>
  </si>
  <si>
    <t>Isopycnal diffusivities in the Antarctic Circumpolar Current inferred from Lagrangian floats in an eddying model</t>
  </si>
  <si>
    <t>GENERAL-CIRCULATION; SURFACE CIRCULATION; MATERIAL TRANSPORT; STATISTICAL-ANALYSIS; NORTH-ATLANTIC; OCEANIC GYRES; PACIFIC-OCEAN; PART I; EDDIES; HEAT</t>
  </si>
  <si>
    <t>Lagrangian subsurface isopycnal eddy diffusivities are calculated from numerical floats released in several regions of the Antarctic Circumpolar Current (ACC) of the 0.1 degrees Parallel Ocean Program. Lagrangian diffusivities are horizontally highly variable with no consistent latitudinal dependence. Elevated values are found in some areas in the core of the ACC, near topographic features, and close to the Brazil-Malvinas Confluence Zone and Agulhas Retroflection. Cross-stream eddy diffusivities are depth invariant in the model ACC. An increase of Lagrangian eddy length scales with depth is masked by the strong decrease with depth of eddy velocities. The cross-stream diffusivities average 750 +/- 250 m(2) s(-1) around the Polar Frontal Zone. The results imply that parameterizations that (only) use eddy kinetic energy to parameterize the diffusivities are incomplete. We suggest that dominant correlations of Lagrangian eddy diffusivities with eddy kinetic energy found in previous studies may have been due to the use of too short time lags in the integration of the velocity autocovariance used to infer the diffusivities. We find evidence that strong mean flow inhibits cross-stream mixing within the ACC, but there are also areas where cross-stream diffusivities are large in spite of strong mean flows, for example, in regions close to topographic obstacles such as the Kerguelen Plateau.</t>
  </si>
  <si>
    <t>[Griesel, A.; Gille, S. T.; Sprintall, J.; McClean, J. L.] Univ Calif San Diego, Scripps Inst Oceanog, La Jolla, CA 92093 USA; [LaCasce, J. H.] Univ Oslo, Meteorol &amp; Oceanog Sect, Dept Geosci, N-0315 Oslo, Norway; [Maltrud, M. E.] Los Alamos Natl Lab, Los Alamos, NM 87545 USA</t>
  </si>
  <si>
    <t>University of California System; University of California San Diego; Scripps Institution of Oceanography; University of Oslo; United States Department of Energy (DOE); Los Alamos National Laboratory</t>
  </si>
  <si>
    <t>Griesel, A (corresponding author), Univ Calif San Diego, Scripps Inst Oceanog, 8622 Discovery Way, La Jolla, CA 92093 USA.</t>
  </si>
  <si>
    <t>agriesel@ucsd.edu</t>
  </si>
  <si>
    <t>Gille, Sarah T./B-3171-2012</t>
  </si>
  <si>
    <t>LaCasce, Joseph Henry/0000-0001-7655-5596; Gille, Sarah/0000-0001-9144-4368</t>
  </si>
  <si>
    <t>National Science Foundation [OCE-0549225, OCE-9985203/OCE-0049066, OPP-0337998]; National Aeronautics and Space Administration [EOS/03-0602-0117]; Office of Science (BER), U.S. Department of Energy [DE-FG02-05ER64119]</t>
  </si>
  <si>
    <t>National Science Foundation(National Science Foundation (NSF)); National Aeronautics and Space Administration(National Aeronautics &amp; Space Administration (NASA)); Office of Science (BER), U.S. Department of Energy(United States Department of Energy (DOE))</t>
  </si>
  <si>
    <t>This research was supported by the National Science Foundation grants OCE-0549225, OCE-9985203/OCE-0049066, and OPP-0337998 by the National Aeronautics and Space Administration contract EOS/03-0602-0117 and the Office of Science (BER), U.S. Department of Energy, grant DE-FG02-05ER64119. The global simulation was carried out as part of a Department of Defense High Performance Computing Modernization Program (HPCMP) grand challenge grant at the Maui High Performance Computing Center (MHPCC). A. G. thanks Stefan Riha for useful discussions and comments.</t>
  </si>
  <si>
    <t>JUN 10</t>
  </si>
  <si>
    <t>C06006</t>
  </si>
  <si>
    <t>10.1029/2009JC005821</t>
  </si>
  <si>
    <t>610LY</t>
  </si>
  <si>
    <t>WOS:000278735500002</t>
  </si>
  <si>
    <t>Katz, RF; Worster, MG</t>
  </si>
  <si>
    <t>Katz, Richard F.; Worster, M. Grae</t>
  </si>
  <si>
    <t>Stability of ice-sheet grounding lines</t>
  </si>
  <si>
    <t>PROCEEDINGS OF THE ROYAL SOCIETY A-MATHEMATICAL PHYSICAL AND ENGINEERING SCIENCES</t>
  </si>
  <si>
    <t>ice sheet; grounding line; Antarctica; Pine Island; glacier; sea level</t>
  </si>
  <si>
    <t>SEA-LEVEL RISE; HOLOCENE RETREAT; COLLAPSE; GLACIERS; MODEL</t>
  </si>
  <si>
    <t>Recent observations of the West Antarctic Ice Sheet document rapid changes in the mass balance of its component glaciers. These observations raise the question of whether changing climatic conditions have triggered a dynamical instability in the ice-sheet-ice-shelf system. The dynamics of marine ice sheets are sensitive to grounding-line position and variation, characteristics that are poorly captured by most current models. We present a theory for grounding-line dynamics in three spatial dimensions and time. Our theory is based on a balance of forces across the grounding line; it is expressed as a differential equation that is analogous to the canonical Stefan condition. We apply this theory to the question of grounding-line stability under conditions of retrograde bed slope in a suite of calculations with different basal topography. A subset of these have basal topography inspired by the Pine Island glacier, where basal depth varies in both the along-flow and across-flow directions. Our results indicate that unstable retreat of the grounding line over retrograde beds is a robust feature of models that evolve based on force balance at the grounding line. We conclude, based on our simplified model, that unstable grounding-line recession may already be occurring at the Pine Island glacier.</t>
  </si>
  <si>
    <t>[Katz, Richard F.] Univ Oxford, Dept Earth Sci, Oxford OX1 3PR, England; [Worster, M. Grae] Univ Cambridge, Inst Theoret Geophys, Dept Appl Math &amp; Theoret Phys, Cambridge CB3 0WA, England</t>
  </si>
  <si>
    <t>University of Oxford; University of Cambridge</t>
  </si>
  <si>
    <t>Katz, RF (corresponding author), Univ Oxford, Dept Earth Sci, Parks Rd, Oxford OX1 3PR, England.</t>
  </si>
  <si>
    <t>richard.katz@earth.ox.ac.uk</t>
  </si>
  <si>
    <t>Katz, Richard F/D-3364-2009</t>
  </si>
  <si>
    <t>Katz, Richard F/0000-0001-8746-5430; Worster, Michael Grae/0000-0002-9248-2144</t>
  </si>
  <si>
    <t>US National Science Foundation International Research Fellowship [0602101]; Office Of Internatl Science &amp;Engineering; Office Of The Director [0602101] Funding Source: National Science Foundation</t>
  </si>
  <si>
    <t>US National Science Foundation International Research Fellowship(National Science Foundation (NSF)); Office Of Internatl Science &amp;Engineering; Office Of The Director(National Science Foundation (NSF)NSF - Office of the Director (OD))</t>
  </si>
  <si>
    <t>R. F. K. is grateful to R. Hindmarsh and R. Peltier for discussions and encouragement, to O. Sergienko for comments on an early version of the manuscript, to B. Smith and the PETSC team at Argonne National Laboratory for PETSC support and enhancements, and to B. Raup and J. Bohlander from the NSIDC for help with Antarctic grounding-line data. The authors acknowledge helpful reviews by R. Gladstone and an anonymous reviewer. R. F. K. received support for this work under award 0602101 from the US National Science Foundation International Research Fellowship Program, and as an Academic Fellow of the Research Councils UK.</t>
  </si>
  <si>
    <t>1364-5021</t>
  </si>
  <si>
    <t>1471-2946</t>
  </si>
  <si>
    <t>P ROY SOC A-MATH PHY</t>
  </si>
  <si>
    <t>Proc. R. Soc. A-Math. Phys. Eng. Sci.</t>
  </si>
  <si>
    <t>JUN 8</t>
  </si>
  <si>
    <t>10.1098/rspa.2009.0434</t>
  </si>
  <si>
    <t>588AQ</t>
  </si>
  <si>
    <t>WOS:000277038700002</t>
  </si>
  <si>
    <t>Clark, MS; Thorne, MAS; Vieira, FA; Cardoso, JCR; Power, DM; Peck, LS</t>
  </si>
  <si>
    <t>Clark, Melody S.; Thorne, Michael A. S.; Vieira, Florbela A.; Cardoso, Joao C. R.; Power, Deborah M.; Peck, Lloyd S.</t>
  </si>
  <si>
    <t>Insights into shell deposition in the Antarctic bivalve Laternula elliptica: gene discovery in the mantle transcriptome using 454 pyrosequencing</t>
  </si>
  <si>
    <t>FUNCTIONAL EXPRESSION; OCEAN ACIDIFICATION; PROTEIN FAMILY; MATRIX PROTEIN; NACREOUS LAYER; PERIOSTRACUM; CALCITONIN; EVOLUTION; OXYGEN; GROWTH</t>
  </si>
  <si>
    <t>Background: The Antarctic clam, Laternula elliptica, is an infaunal stenothermal bivalve mollusc with a circumpolar distribution. It plays a significant role in bentho-pelagic coupling and hence has been proposed as a sentinel species for climate change monitoring. Previous studies have shown that this mollusc displays a high level of plasticity with regard to shell deposition and damage repair against a background of genetic homogeneity. The Southern Ocean has amongst the lowest present-day CaCO3 saturation rate of any ocean region, and is predicted to be among the first to become undersaturated under current ocean acidification scenarios. Hence, this species presents as an ideal candidate for studies into the processes of calcium regulation and shell deposition in our changing ocean environments. Results: 454 sequencing of L. elliptica mantle tissue generated 18,290 contigs with an average size of 535 bp (ranging between 142 bp-5.591 kb). BLAST sequence similarity searching assigned putative function to 17% of the data set, with a significant proportion of these transcripts being involved in binding and potentially of a secretory nature, as defined by GO molecular function and biological process classifications. These results indicated that the mantle is a transcriptionally active tissue which is actively proliferating. All transcripts were screened against an in-house database of genes shown to be involved in extracellular matrix formation and calcium homeostasis in metazoans. Putative identifications were made for a number of classical shell deposition genes, such as tyrosinase, carbonic anhydrase and metalloprotease 1, along with novel members of the family 2 G-Protein Coupled Receptors (GPCRs). A membrane transport protein (SEC61) was also characterised and this demonstrated the utility of the clam sequence data as a resource for examining cold adapted amino acid substitutions. The sequence data contained 46,235 microsatellites and 13,084 Single Nucleotide Polymorphisms(SNPs/INDELS), providing a resource for population and also gene function studies. Conclusions: This is the first 454 data from an Antarctic marine invertebrate. Sequencing of mantle tissue from this non-model species has considerably increased resources for the investigation of the processes of shell deposition and repair in molluscs in a changing environment. A number of promising candidate genes were identified for functional analyses, which will be the subject of further investigation in this species and also used in model-hopping experiments in more tractable and economically important model aquaculture species, such as Crassostrea gigas and Mytilus edulis.</t>
  </si>
  <si>
    <t>[Clark, Melody S.; Thorne, Michael A. S.; Peck, Lloyd S.] British Antarctic Survey, NERC, Cambridge CB3 0ET, England; [Vieira, Florbela A.; Cardoso, Joao C. R.; Power, Deborah M.] Univ Algarve, Ctr Marine Sci, P-8005139 Faro, Portugal</t>
  </si>
  <si>
    <t>UK Research &amp; Innovation (UKRI); Natural Environment Research Council (NERC); NERC British Antarctic Survey; Universidade do Algarve</t>
  </si>
  <si>
    <t>Clark, MS (corresponding author), British Antarctic Survey, NERC, High Cross,Madingley Rd, Cambridge CB3 0ET, England.</t>
  </si>
  <si>
    <t>mscl@bas.ac.uk</t>
  </si>
  <si>
    <t>dos Reis Cardoso, Joao Carlos/M-4151-2013; Power, Deborah M/D-3333-2011; Clark, Melody/D-7371-2014</t>
  </si>
  <si>
    <t>dos Reis Cardoso, Joao Carlos/0000-0001-7890-0170; Power, Deborah M/0000-0003-1366-0246; Thorne, Michael/0000-0001-7759-612X; Clark, Melody/0000-0002-3442-3824</t>
  </si>
  <si>
    <t>NERC; NERC [dml011000, bas0100025] Funding Source: UKRI; Natural Environment Research Council [bas0100025, dml011000] Funding Source: researchfish</t>
  </si>
  <si>
    <t>This paper was produced within the BAS Q4 BIOREACH/BIOFLAME core programmes. The authors would like to thank Guy Hillyard for performing the RNA extractions, Gavin Burns for the PCR amplifications, Simon Morley for obtaining sample material and all members of the Rothera Dive Team for collecting animals. Overall diving support was provided by the NERC National Facility for Scientific Diving at Oban. The sequencing was performed at the NERC Biomolecular Analysis Facility, Liverpool and we would particularly like to thank Margaret Hughes and Kevin Ashelford for their technical support. We would also like to thank Bela Tiwari of the NERC environmental Bioinformatics Centre (NEBC), CEH, Wallingford for valuable discussions on 454 software, analysis pipelines and processes and Elizabeth Harper at the University of Cambridge for advice on Laternula shell and mantle structure. Our analyses including searching against the Lottia gigantea sequence data v1.0 (July 24 2007) which was produced by the US Department of Energy Joint Genome Institute http://www.jgi.doe.gov/ in collaboration with the user community and made publicly available via their web site: http://genome.jgi-psf.org/Lotgi1/Lotgi1.home.html.</t>
  </si>
  <si>
    <t>JUN 7</t>
  </si>
  <si>
    <t>10.1186/1471-2164-11-362</t>
  </si>
  <si>
    <t>625CA</t>
  </si>
  <si>
    <t>Green Published, gold, Green Submitted, Green Accepted</t>
  </si>
  <si>
    <t>WOS:000279868500003</t>
  </si>
  <si>
    <t>Horváth, G; Blahó, M; Kriska, G; Hegedüs, R; Gerics, B; Farkas, R; Åkesson, S</t>
  </si>
  <si>
    <t>Horvath, Gabor; Blaho, Miklos; Kriska, Gyorgy; Hegedues, Ramon; Gerics, Balazs; Farkas, Robert; Akesson, Susanne</t>
  </si>
  <si>
    <t>An unexpected advantage of whiteness in horses: the most horsefly-proof horse has a depolarizing white coat</t>
  </si>
  <si>
    <t>PROCEEDINGS OF THE ROYAL SOCIETY B-BIOLOGICAL SCIENCES</t>
  </si>
  <si>
    <t>horses; tabanid flies; polarization vision; visual ecology; polarotaxis; host choice</t>
  </si>
  <si>
    <t>POLARIZATION VISION; WATER; TABANIDS; DIPTERA; TRAP</t>
  </si>
  <si>
    <t>White horses frequently suffer from malign skin cancer and visual deficiencies owing to their high sensitivity to the ultraviolet solar radiation. Furthermore, in the wild, white horses suffer a larger predation risk than dark individuals because they can more easily be detected. In spite of their greater vulnerability, white horses have been highly appreciated for centuries owing to their natural rarity. Here, we show that blood-sucking tabanid flies, known to transmit disease agents to mammals, are less attracted to white than dark horses. We also demonstrate that tabanids use reflected polarized light from the coat as a signal to find a host. The attraction of tabanids to mainly black and brown fur coats is explained by positive polarotaxis. As the host's colour determines its attractiveness to tabanids, this parameter has a strong influence on the parasite load of the host. Although we have studied only the tabanid horse interaction, our results can probably be extrapolated to other host animals of polarotactic tabanids, as the reflection-polarization characteristics of the host's body surface are physically the same, and thus not species-dependent.</t>
  </si>
  <si>
    <t>[Horvath, Gabor; Blaho, Miklos] Eotvos Lorand Univ, Inst Phys, Dept Biol Phys, Environm Opt Lab, H-1117 Budapest, Hungary; [Kriska, Gyorgy] Eotvos Lorand Univ, Inst Biol, Grp Methodol Biol Teaching, H-1117 Budapest, Hungary; [Hegedues, Ramon] Univ Girona, Comp Vis &amp; Robot Grp, Girona 17071, Spain; [Farkas, Robert] Szent Istvan Univ, Dept Parasitol &amp; Zool, Fac Vet Sci, H-1078 Budapest, Hungary; [Gerics, Balazs] Szent Istvan Univ, Dept Anat &amp; Histol, Fac Vet Sci, H-1078 Budapest, Hungary; [Akesson, Susanne] Lund Univ, Dept Anim Ecol, S-22362 Lund, Sweden</t>
  </si>
  <si>
    <t>Eotvos Lorand University; Eotvos Lorand University; Universitat de Girona; Hungarian University of Agriculture &amp; Life Sciences; Hungarian University of Agriculture &amp; Life Sciences; Lund University</t>
  </si>
  <si>
    <t>Horváth, G (corresponding author), Eotvos Lorand Univ, Inst Phys, Dept Biol Phys, Environm Opt Lab, Pazmany Setany 1, H-1117 Budapest, Hungary.</t>
  </si>
  <si>
    <t>gh@arago.elte.hu</t>
  </si>
  <si>
    <t>Farkas, Robert/ABB-1990-2021; Åkesson, Susanne/F-3175-2015; Kriska, György/B-5723-2019</t>
  </si>
  <si>
    <t>Åkesson, Susanne/0000-0001-9039-2180; Kriska, Gyorgy/0000-0003-4271-3167</t>
  </si>
  <si>
    <t>Hungarian Science Foundation [OTKA K-6846]; European Commission [TabaNOid-232366]; Swedish Research Council; International Polar Foundation; SCAR</t>
  </si>
  <si>
    <t>Hungarian Science Foundation(Orszagos Tudomanyos Kutatasi Alapprogramok (OTKA)); European Commission(European Union (EU)European Commission Joint Research Centre); Swedish Research Council(Swedish Research Council); International Polar Foundation; SCAR</t>
  </si>
  <si>
    <t>This work was supported by the grant OTKA K-6846 from the Hungarian Science Foundation, and the grant TabaNOid-232366 funded by the European Commission under the 7th Framework Programme received by G. H. and G. K. We are grateful for the equipment donation of the German Alexander von Humboldt Foundation received by G. H. Financial support was also given by the Swedish Research Council to S. A. and the Center for Animal Movement Research (CAnMove) at Lund University. R. H. is a SCAR 6CI (Scientific Committee on Antarctic Research, International Polar Year's 6th Continent Initiative) fellow and he is thankful for the funding provided by the International Polar Foundation and the support of SCAR.</t>
  </si>
  <si>
    <t>0962-8452</t>
  </si>
  <si>
    <t>1471-2954</t>
  </si>
  <si>
    <t>P ROY SOC B-BIOL SCI</t>
  </si>
  <si>
    <t>Proc. R. Soc. B-Biol. Sci.</t>
  </si>
  <si>
    <t>10.1098/rspb.2009.2202</t>
  </si>
  <si>
    <t>587MX</t>
  </si>
  <si>
    <t>WOS:000276997700004</t>
  </si>
  <si>
    <t>Diego, P; Storini, M; Laurenza, M</t>
  </si>
  <si>
    <t>Diego, P.; Storini, M.; Laurenza, M.</t>
  </si>
  <si>
    <t>Persistence in recurrent geomagnetic activity and its connection with Space Climate</t>
  </si>
  <si>
    <t>SOLAR-WIND STREAMS; CORONAL MASS EJECTIONS; SPEED PLASMA STREAMS; GALACTIC COSMIC-RAYS; HOLES; CYCLES; PHASE; SOLAR-CYCLE-23; STRENGTH; FEATURES</t>
  </si>
  <si>
    <t>Recurrent geomagnetic activity is mainly linked to the passage of interplanetary corotating solar wind structures in the near-Earth space. We studied geomagnetic recurrences for which an enhanced value of the autocorrelation coefficient exists between the data of two adjacent Bartels rotations in aa, Kp, Dst, AE time series, for the period 1954-2007, covering about 5 solar cycles (from cycle 19 to cycle 23). A new index (P), based on autocorrelation analysis, has been introduced to estimate also the duration up to seven Bartels rotations of each solar structure (or group of structures) producing geomagnetic recurrences with high autocorrelation (correlation coefficient &gt;= 0.3). We could infer whether recurrent geomagnetic activity is due to successive short-lived (at least 2 Bartels rotations) or to long-lasting corotating structures (up to 7 or more Bartels rotations). Generally, time periods characterized by recurrent geomagnetic activity are longer during the descending phase of even-numbered cycles (20, 22). Nevertheless, we found that recurrences determined by long-lived interplanetary structures are detected mainly in the descending phase of cycles 19 and 23. Finally, we point out that the average levels of the computed indices during the descending phase of each solar cycle show a significant anticorrelation with the sunspot area integrated over the subsequent cycle, giving new insights for Space Climate forecast.</t>
  </si>
  <si>
    <t>[Diego, P.] Int Ctr Earth Sci CNR IDAC, Rome, Italy; [Storini, M.; Laurenza, M.] IFSI Roma, Natl Inst Astrophys, Rome, Italy</t>
  </si>
  <si>
    <t>Istituto Nazionale Astrofisica (INAF)</t>
  </si>
  <si>
    <t>Diego, P (corresponding author), Int Ctr Earth Sci CNR IDAC, Via Fosso Cavaliere 100, Rome, Italy.</t>
  </si>
  <si>
    <t>monica.laurenza@ifsi-roma.inaf.it</t>
  </si>
  <si>
    <t>Laurenza, Monica/HMD-8729-2023</t>
  </si>
  <si>
    <t>Laurenza, Monica/0000-0001-5481-4534; Diego, Piero/0000-0001-8279-020X</t>
  </si>
  <si>
    <t>Antarctic Research Program of Italy</t>
  </si>
  <si>
    <t>This work was partly performed for the ICES/IFSI-Roma collaboration and is mainly supported by the Antarctic Research Program of Italy (the use of the RAC-ANT database is acknowledged) in the frame of Solar-Terrestrial Relations.</t>
  </si>
  <si>
    <t>JUN 5</t>
  </si>
  <si>
    <t>A06103</t>
  </si>
  <si>
    <t>10.1029/2009JA014716</t>
  </si>
  <si>
    <t>606VF</t>
  </si>
  <si>
    <t>WOS:000278455700001</t>
  </si>
  <si>
    <t>Raymond, B; Shaffer, SA; Sokolov, S; Woehler, EJ; Costa, DP; Einoder, L; Hindell, M; Hosie, G; Pinkerton, M; Sagar, PM; Scott, D; Smith, A; Thompson, DR; Vertigan, C; Weimerskirch, H</t>
  </si>
  <si>
    <t>Raymond, Ben; Shaffer, Scott A.; Sokolov, Serguei; Woehler, Eric J.; Costa, Daniel P.; Einoder, Luke; Hindell, Mark; Hosie, Graham; Pinkerton, Matt; Sagar, Paul M.; Scott, Darren; Smith, Adam; Thompson, David R.; Vertigan, Caitlin; Weimerskirch, Henri</t>
  </si>
  <si>
    <t>Shearwater Foraging in the Southern Ocean: The Roles of Prey Availability and Winds</t>
  </si>
  <si>
    <t>SHORT-TAILED SHEARWATERS; CONTINUOUS PLANKTON RECORDER; CENTRAL-PLACE FORAGER; SOOTY SHEARWATERS; PUFFINUS-GRISEUS; INTRODUCED PREDATORS; SATELLITE TELEMETRY; MYCTOPHID FISHES; FEEDING ECOLOGY; STOMACH OIL</t>
  </si>
  <si>
    <t>Background: Sooty (Puffinus griseus) and short-tailed (P. tenuirostris) shearwaters are abundant seabirds that range widely across global oceans. Understanding the foraging ecology of these species in the Southern Ocean is important for monitoring and ecosystem conservation and management. Methodology/Principal Findings: Tracking data from sooty and short-tailed shearwaters from three regions of New Zealand and Australia were combined with at-sea observations of shearwaters in the Southern Ocean, physical oceanography, near-surface copepod distributions, pelagic trawl data, and synoptic near-surface winds. Shearwaters from all three regions foraged in the Polar Front zone, and showed particular overlap in the region around 140 degrees E. Short-tailed shearwaters from South Australia also foraged in Antarctic waters south of the Polar Front. The spatial distribution of shearwater foraging effort in the Polar Front zone was matched by patterns in large-scale upwelling, primary production, and abundances of copepods and myctophid fish. Oceanic winds were found to be broad determinants of foraging distribution, and of the flight paths taken by the birds on long foraging trips to Antarctic waters. Conclusions/Significance: The shearwaters displayed foraging site fidelity and overlap of foraging habitat between species and populations that may enhance their utility as indicators of Southern Ocean ecosystems. The results highlight the importance of upwellings due to interactions of the Antarctic Circumpolar Current with large-scale bottom topography, and the corresponding localised increases in the productivity of the Polar Front ecosystem.</t>
  </si>
  <si>
    <t>[Raymond, Ben; Einoder, Luke; Hosie, Graham] Australian Antarctic Div, Kingston, Tas, Australia; [Shaffer, Scott A.] San Jose State Univ, Dept Biol Sci, San Jose, CA 95192 USA; [Sokolov, Serguei] CSIRO Marine Res &amp; Antarctic Climate &amp; Ecosyst, CSIRO Wealth Oceans Natl Res Flagship, Cooperat Res Ctr, Hobart, Tas, Australia; [Woehler, Eric J.; Hindell, Mark; Vertigan, Caitlin] Univ Tasmania, Sch Zool, Hobart, Tas, Australia; [Costa, Daniel P.] Univ Calif Santa Cruz, Santa Cruz, CA 95064 USA; [Pinkerton, Matt; Thompson, David R.] Natl Inst Water &amp; Atmospher Res Ltd, Wellington, New Zealand; [Sagar, Paul M.] Natl Inst Water &amp; Atmospher Res Ltd, Christchurch, New Zealand; [Scott, Darren] Univ Otago, Dept Zool, Dunedin, New Zealand; [Smith, Adam] Massey Univ, Inst Informat &amp; Math Sci, Auckland, New Zealand; [Weimerskirch, Henri] CNRS, Ctr Etud Biol Chize, Villiers En Bois, France</t>
  </si>
  <si>
    <t>Australian Antarctic Division; California State University System; San Jose State University; Commonwealth Scientific &amp; Industrial Research Organisation (CSIRO); University of Tasmania; University of California System; University of California Santa Cruz; National Institute of Water &amp; Atmospheric Research (NIWA) - New Zealand; National Institute of Water &amp; Atmospheric Research (NIWA) - New Zealand; University of Otago; Massey University; Centre National de la Recherche Scientifique (CNRS)</t>
  </si>
  <si>
    <t>Raymond, B (corresponding author), Australian Antarctic Div, Kingston, Tas, Australia.</t>
  </si>
  <si>
    <t>ben.raymond@aad.gov.au</t>
  </si>
  <si>
    <t>Carlos, Universidade Federal de São/W-8832-2019; Weimerskirch, Henri/F-5562-2013; Thompson, David/C-3520-2008; Thompson, David R/E-2431-2018; Hindell, Mark A/K-1131-2013; Weimerskirch, Henri/K-7306-2019; Shaffer, Scott/D-5015-2009; Costa, Daniel Paul/E-2616-2013</t>
  </si>
  <si>
    <t>Carlos, Universidade Federal de São/0000-0002-0334-3899; Weimerskirch, Henri/0000-0002-0457-586X; Einoder, Luke/0000-0002-9122-7053; Smith, Adam/0000-0003-0059-6206; Woehler, Eric/0000-0002-1125-0748; Hindell, Mark/0000-0002-7823-7185; Shaffer, Scott/0000-0002-7751-5059; Costa, Daniel Paul/0000-0002-0233-5782</t>
  </si>
  <si>
    <t>Alfred P. Sloan Foundation; Gordon Foundation; Betty Moore Foundation; David Foundation; Lucile Packard Foundation; Australian Antarctic Program [472, 681, 2208, 3227]; Office of Polar Programs (OPP); Directorate For Geosciences [0838937] Funding Source: National Science Foundation</t>
  </si>
  <si>
    <t>Alfred P. Sloan Foundation(Alfred P. Sloan Foundation); Gordon Foundation; Betty Moore Foundation(Gordon and Betty Moore Foundation); David Foundation; Lucile Packard Foundation(The David &amp; Lucile Packard Foundation); Australian Antarctic Program; Office of Polar Programs (OPP); Directorate For Geosciences(National Science Foundation (NSF)NSF - Directorate for Geosciences (GEO))</t>
  </si>
  <si>
    <t>This work was conducted as part of the Census of Antarctic Marine Life (CAML) and Tagging of Pacific Pelagics (TOPP) projects, and was supported in part by the Alfred P. Sloan, Gordon and Betty Moore, and David and Lucile Packard Foundations, and the Australian Antarctic Program (Projects 472, 681, 2208, and 3227). The funders had no role in study design, data collection and analysis, decision to publish, or preparation of the manuscript.</t>
  </si>
  <si>
    <t>JUN 4</t>
  </si>
  <si>
    <t>e10960</t>
  </si>
  <si>
    <t>10.1371/journal.pone.0010960</t>
  </si>
  <si>
    <t>605XA</t>
  </si>
  <si>
    <t>Green Accepted, Green Submitted, Green Published, gold</t>
  </si>
  <si>
    <t>WOS:000278380500006</t>
  </si>
  <si>
    <t>Cantero, ALP</t>
  </si>
  <si>
    <t>Pena Cantero, Alvaro L.</t>
  </si>
  <si>
    <t>On a new Antarctic species of Symplectoscyphus Marktanner-Turneretscher, 1890 (Cnidaria, Hydrozoa, Sertulariidae), with an annotated checklist of the Antarctic species of the genus</t>
  </si>
  <si>
    <t>Biodiversity; new species; Benthos; Ross Sea; Antarctica; Southern Ocean</t>
  </si>
  <si>
    <t>BENTHIC HYDROIDS CNIDARIA; EXPEDITIONS; OCEAN</t>
  </si>
  <si>
    <t>A new Antarctic species of the genus Symplectoscyphus Marktanner-Turneretscher is described and figured, and its position amongst the allied Antarctic species of the genus is discussed. The material was collected from the Ross Sea area (Antarctica) during the BioRoss survey to the western Ross Sea and Balleny Islands in 2004. Symplectoscyphus frondosus, sp. nov., is unique amongst the Antarctic known species of the genus in having large, erect, rigid, muchbranched, bottlebrush-shaped stems. An annotated checklist of the Antarctic species of the genus is also included. Sixteen of the 19 known Antarctic species are endemic to the Antarctic Region (84%), two are also present in subAntarctic waters and only one has a wider distribution.</t>
  </si>
  <si>
    <t>Univ Valencia, Fdn Gen Univ Valencia, Inst Cavanilles Biodiversidad &amp; Biol Evolut, Valencia 46071, Spain</t>
  </si>
  <si>
    <t>University of Valencia</t>
  </si>
  <si>
    <t>Cantero, ALP (corresponding author), Univ Valencia, Fdn Gen Univ Valencia, Inst Cavanilles Biodiversidad &amp; Biol Evolut, Apdo Correos 22085, Valencia 46071, Spain.</t>
  </si>
  <si>
    <t>alvaro.l.pena@uv.es</t>
  </si>
  <si>
    <t>Cantero, Álvaro Luis Peña/F-7888-2016</t>
  </si>
  <si>
    <t>New Zealand Ministry of Fisheries</t>
  </si>
  <si>
    <t>I thank Dr. Anne-Nina Loorz and Dr. Ashley Rowden, National Institute of Water &amp; Atmospheric Research (NIWA), for giving me the opportunity to study the BioRoss material. The studied material was collected by a biodiversity survey of the western Ross Sea and Balleny Islands in 2004 undertaken by the National Institute of Water &amp; Atmospheric Research and financed by the New Zealand Ministry of Fisheries.</t>
  </si>
  <si>
    <t>607FV</t>
  </si>
  <si>
    <t>WOS:000278485400002</t>
  </si>
  <si>
    <t>Ren, JW; Li, CJ; Hou, SG; Xiao, CD; Qin, DH; Li, YS; Ding, MH</t>
  </si>
  <si>
    <t>Ren, Jiawen; Li, Chuanjin; Hou, Shugui; Xiao, Cunde; Qin, Dahe; Li, Yuansheng; Ding, Minghu</t>
  </si>
  <si>
    <t>A 2680 year volcanic record from the DT-401 East Antarctic ice core</t>
  </si>
  <si>
    <t>EXPLOSIVE VOLCANISM; DOME-C; CLIMATE; GREENLAND; SNOW; ERUPTION; HISTORY; KY</t>
  </si>
  <si>
    <t>Volcanic signals recorded in the Antarctic and Greenland ice cores can provide useful information on past explosive volcanism and its impact. In this study, we carried out a continuous sulfate analysis of a 102.65 m East Antarctic ice core (DT-401, dated as 2682 years) and identified 36 extensive volcanic eruption signals using Cole-Dai's method, which gives an average of 1.4 eruptions per century, consistent with the results from the Plateau Remote (PR-B) ice core. When the record is divided into three parts, the latest millennium (1999-1000 A. D.), the middle millennium (999-1 A. D.), and the earliest 682 years (0 A. D. to 682 B. C.), it is found that there were more volcanic eruptions that occurred during the latest millennium (19 eruptions) than during the middle millennium (10 eruptions) of the record and that the intensities of the eruptions in the latest millennium are markedly larger than those in the middle one. There were only seven events recorded in the earliest 682 years, but their intensities were greater, and nearly half of the eruptions had a similar intensity to Tambora's (1815 A. D.), which differs from the PR-B record. It is also found that volcanism and its average accumulation rate were lower during the Little Ice Age than during the Medieval Warm Period. Comparison of volcanic records between DT-401 and other Antarctica ice cores (PR-B, Dome C, DT-263, and Byrd) show that in the East Antarctica area with its lower accumulation rates, postdepositional effects may play an important role in the deposition of the sulfate.</t>
  </si>
  <si>
    <t>[Ren, Jiawen; Li, Chuanjin; Hou, Shugui; Xiao, Cunde; Qin, Dahe; Ding, Minghu] Chinese Acad Sci, Cold &amp; Arid Reg Environm &amp; Engn Res Inst, State Key Lab Cryospher Sci, Lanzhou 730000, Gansu, Peoples R China; [Li, Chuanjin; Ding, Minghu] Chinese Acad Sci, Grad Univ, Coll Resources &amp; Environm, Beijing, Peoples R China; [Hou, Shugui] Nanjing Univ, Sch Geog &amp; Oceanog Sci, Nanjing 210008, Peoples R China; [Li, Yuansheng] Polar Res Inst China, Lab Polar Glacial Res, Shanghai 200136, Peoples R China; [Ding, Minghu] Chinese Acad Sci, Inst Geol &amp; Geophys, Beijing, Peoples R China</t>
  </si>
  <si>
    <t>Chinese Academy of Sciences; Cold &amp; Arid Regions Environmental &amp; Engineering Research Institute, CAS; Chinese Academy of Sciences; University of Chinese Academy of Sciences, CAS; Nanjing University; Polar Research Institute of China; Chinese Academy of Sciences; Institute of Geology &amp; Geophysics, CAS</t>
  </si>
  <si>
    <t>Li, CJ (corresponding author), Chinese Acad Sci, Cold &amp; Arid Reg Environm &amp; Engn Res Inst, State Key Lab Cryospher Sci, Donggang W Rd 320, Lanzhou 730000, Gansu, Peoples R China.</t>
  </si>
  <si>
    <t>chuanjinli605@163.com</t>
  </si>
  <si>
    <t>Ding, Minghu/AFU-3600-2022; Hou, Shugui/J-3651-2015; Jiawen, Ren/K-7734-2012</t>
  </si>
  <si>
    <t>Ding, Minghu/0000-0002-1142-6598; Hou, Shugui/0000-0002-0905-3542</t>
  </si>
  <si>
    <t>Ministry of Science and Technology [2006BAB18B01]; Chinese Academy of Sciences; State Oceanic Administration [0852H71001]; National Natural Science Foundation of China [40825017]; NSFC [40776002]; CAAA; [KZCX3-SW-354]</t>
  </si>
  <si>
    <t>Ministry of Science and Technology(Spanish Government); Chinese Academy of Sciences(Chinese Academy of Sciences); State Oceanic Administration; National Natural Science Foundation of China(National Natural Science Foundation of China (NSFC)); NSFC(National Natural Science Foundation of China (NSFC)); CAAA;</t>
  </si>
  <si>
    <t>This study is financially supported by the Ministry of Science and Technology (2006BAB18B01) and the following projects: KZCX3-SW-354 and the Hundred Talent Project with the Chinese Academy of Sciences, 0852H71001 with the State Oceanic Administration, 40825017 with the National Natural Science Foundation of China, 40776002 with the NSFC, and CAAA projects.</t>
  </si>
  <si>
    <t>JUN 3</t>
  </si>
  <si>
    <t>D11301</t>
  </si>
  <si>
    <t>10.1029/2009JD012892</t>
  </si>
  <si>
    <t>606UI</t>
  </si>
  <si>
    <t>WOS:000278453400005</t>
  </si>
  <si>
    <t>Seasonal and interannual variability of particulate organic carbon within the Southern Ocean from satellite ocean color observations</t>
  </si>
  <si>
    <t>NET COMMUNITY PRODUCTION; ANTARCTIC CIRCUMPOLAR CURRENT; ROSS SEA; ATMOSPHERIC CO2; POLAR FRONT; EXPORT; FLUX; DYNAMICS; PACIFIC; POC</t>
  </si>
  <si>
    <t>We use field data of particulate organic carbon (POC) concentration and spectral remote-sensing reflectance, R-rs(lambda), to develop an empirical algorithm for estimating POC from ocean color in the Southern Ocean. The algorithm based on the band ratio R-rs(443)/R-rs(555) is used in conjunction with Sea-viewing Wide Field-of-View Sensor satellite data to demonstrate seasonal and interannual variability in POC from 1997 to 2007. The surface POC concentrations generally range from 30 to 120 mg m(-3). On a whole basin scale (south of 35 degrees S), the monthly means are mostly 70-80 mg m(-3). The seasonal signal is weakest at lower latitudes within the Sub-Antarctic Zone and most pronounced at higher latitudes (&gt;55 degrees S). The area-integrated stock of water column POC in the upper 100 m shows small interannual variations and no clear evidence for long-term trend during the examined 10 year period. The seasonal maximum of the POC stock occurs in December and reaches a value of about 0.6 Pg of carbon for the entire basin south of 35 degrees S. The seasonal range of area-normalized POC is between about 5.5 and 6.6 g m(-2). The region south of 55 S provides a dominant contribution to the accumulation of POC within the Southern Ocean during the productive period of the season. During the austral spring, the area-normalized POC accumulates in these high-latitude waters at rates from about 0.2 to 0.7 g m(-2) month(-1). The comparison of these rates with large-scale satellite-based estimates of net primary production indicates that only a small fraction (&lt;10%) of production accumulates as POC.</t>
  </si>
  <si>
    <t>[Allison, David B.; Stramski, Dariusz] Univ Calif San Diego, Scripps Inst Oceanog, Marine Phys Lab, La Jolla, CA 92093 USA; [Mitchell, B. Greg] Univ Calif San Diego, Scripps Inst Oceanog, Integrat Oceanog Div, La Jolla, CA 92093 USA</t>
  </si>
  <si>
    <t>Allison, DB (corresponding author), Univ Calif San Diego, Scripps Inst Oceanog, Marine Phys Lab, La Jolla, CA 92093 USA.</t>
  </si>
  <si>
    <t>NASA [NNG04GO02G, G2004-2983, NAG5-7100]; NSF [OCE-0324680, ANT0444134, OPP 98-023836]; U.S. JGOFS Antarctic Environment Southern Ocean Process Study, NSF; NOAA Fisheries' U.S. Antarctic Marine Living Resources (AMLR); NASA SIMBIOS; Office of Polar Programs (OPP); Directorate For Geosciences [0948338] Funding Source: National Science Foundation</t>
  </si>
  <si>
    <t>NASA(National Aeronautics &amp; Space Administration (NASA)); NSF(National Science Foundation (NSF)); U.S. JGOFS Antarctic Environment Southern Ocean Process Study, NSF; NOAA Fisheries' U.S. Antarctic Marine Living Resources (AMLR); NASA SIMBIOS; Office of Polar Programs (OPP); Directorate For Geosciences(National Science Foundation (NSF)NSF - Directorate for Geosciences (GEO))</t>
  </si>
  <si>
    <t>This work was funded by NASA Ocean Biology and Biogeochemistry Program (grant NNG04GO02G awarded to D. S.), NSF Chemical Oceanography Program (OCE-0324680 to D. S.), NASA (G2004-2983 to B. G. M), NSF (ANT0444134 to B. G. M), NASA and NSF (NAG5-7100 and OPP 98-023836 to D. S. and B. G. M.) as part of the U.S. JGOFS Antarctic Environment Southern Ocean Process Study, NSF Graduate Student Fellowship (awarded to D. B. A.), the NOAA Fisheries' U.S. Antarctic Marine Living Resources (AMLR) Program, and the NASA SIMBIOS program. We are grateful to Rick Reynolds, Mati Kahru, Haili Wang, and John Wieland for their invaluable contributions to the execution of our field program and data processing. We also thank the SeaWiFS Project and the NASA's Goddard Earth Sciences Data and Information Services Center DAAC (NASA's Ocean Color Website) for the production and distribution of ocean color data. The technical staff of Antarctic Support Associates, scientists, officers, and crews of the R/V Nathaniel B. Palmer, R/V Roger Revelle, R/V Yuzhmorgeologiya, and R/V Laurence M. Gould are acknowledged for providing logistical support and their help onboard during the field work. The analysis of samples for particulate organic carbon was made at Marine Science Institute Analytical Laboratory, University of California, Santa Barbara. We also thank two anonymous reviewers for valuable comments on the manuscript.</t>
  </si>
  <si>
    <t>C06002</t>
  </si>
  <si>
    <t>10.1029/2009JC005347</t>
  </si>
  <si>
    <t>606UR</t>
  </si>
  <si>
    <t>WOS:000278454300001</t>
  </si>
  <si>
    <t>Woodward, J; Smith, AM; Ross, N; Thoma, M; Corr, HFJ; King, EC; King, MA; Grosfeld, K; Tranter, M; Siegert, MJ</t>
  </si>
  <si>
    <t>Woodward, J.; Smith, A. M.; Ross, N.; Thoma, M.; Corr, H. F. J.; King, E. C.; King, M. A.; Grosfeld, K.; Tranter, M.; Siegert, M. J.</t>
  </si>
  <si>
    <t>Location for direct access to subglacial Lake Ellsworth: An assessment of geophysical data and modeling</t>
  </si>
  <si>
    <t>ICE; VOSTOK; BENEATH</t>
  </si>
  <si>
    <t>Subglacial Lake Ellsworth has been proposed as a candidate for direct measurement and sampling, to identify microbial life and extract sedimentary climate records. We present a detailed characterization of the physiography of this subglacial lake from geophysical surveys, allowing bathymetry and geomorphic setting to be established. Lake Ellsworth is 14.7 km x 3.1 km with an area of 28.9 km(2). Lake depth increases downlake from 52 m to 156 m, with a water body volume of 1.37 km(3). The ice thickness suggests an unusual thermodynamic characteristic, with the critical pressure boundary intersecting the lake. Numerical modeling of water circulation has allowed accretion of basal ice to be estimated. We collate this physiographic and modeling information to confirm that Lake Ellsworth is ideal for direct access and propose an optimal drill site. The likelihood of dissolved gas exchange between the lake and the borehole is also assessed. Citation: Woodward, J., A. M. Smith, N. Ross, M. Thoma, H. F. J. Corr, E. C. King, M. A. King, K. Grosfeld, M. Tranter, and M. J. Siegert (2010), Location for direct access to subglacial Lake Ellsworth: An assessment of geophysical data and modeling, Geophys. Res. Lett., 37, L11501, doi: 10.1029/2010GL042884.</t>
  </si>
  <si>
    <t>[Woodward, J.] Northumbria Univ, Sch Appl Sci, Newcastle Upon Tyne NE1 8ST, Tyne &amp; Wear, England; [Smith, A. M.; Corr, H. F. J.; King, E. C.] British Antarctic Survey, Nat Environm Res Council, Cambridge CB3 0ET, England; [Ross, N.; Siegert, M. J.] Univ Edinburgh, Sch Geosci, Edinburgh EH9 3JW, Midlothian, Scotland; [Thoma, M.] Bavarian Acad Sci, Commiss Glaciol, D-80539 Munich, Germany; [Thoma, M.; Grosfeld, K.] Alfred Wegener Inst Polar &amp; Marine Res, D-27570 Bremerhaven, Germany; [King, M. A.] Univ Newcastle, Sch Civil Engn &amp; Geosci, Newcastle Upon Tyne NE1 7RU, Tyne &amp; Wear, England; [Tranter, M.] Univ Bristol, Sch Geog Sci, Bristol BS8 1SS, Avon, England</t>
  </si>
  <si>
    <t>Northumbria University; UK Research &amp; Innovation (UKRI); Natural Environment Research Council (NERC); NERC British Antarctic Survey; University of Edinburgh; Helmholtz Association; Alfred Wegener Institute, Helmholtz Centre for Polar &amp; Marine Research; Newcastle University - UK; University of Bristol</t>
  </si>
  <si>
    <t>Woodward, J (corresponding author), Northumbria Univ, Sch Appl Sci, Newcastle Upon Tyne NE1 8ST, Tyne &amp; Wear, England.</t>
  </si>
  <si>
    <t>john.woodward@northumbria.ac.uk</t>
  </si>
  <si>
    <t>Facility, NERC Geophysical Equipment/G-5260-2010; Siegert, Martin J/A-3826-2008; Siegert, Martin/M-9939-2019; Corr, Hugh/C-5398-2011; Woodward, John/I-1046-2013; King, Matt/B-4622-2008; Tranter, Martyn/E-3722-2010</t>
  </si>
  <si>
    <t>Siegert, Martin J/0000-0002-0090-4806; Siegert, Martin/0000-0002-0090-4806; King, Matt/0000-0001-5611-9498; Thoma, Malte/0000-0002-4033-3905; Grosfeld, Klaus/0000-0001-5936-179X; Tranter, Martyn/0000-0003-2071-3094; Woodward, John/0000-0002-4980-4080</t>
  </si>
  <si>
    <t>NERC-AFI [NE/D008751/1, NE/D009200/1, NE/D008638/1]; Natural Environment Research Council [bas0100027, NE/D008751/1, NE/D009200/1, NE/D008638/1] Funding Source: researchfish; NERC [bas0100027, NE/D008638/1, NE/D008751/1, NE/D009200/1] Funding Source: UKRI</t>
  </si>
  <si>
    <t>NERC-AFI(UK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</si>
  <si>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NERC-AFI NE/D008751/1, NE/D009200/1, and NE/D008638/1. We thank BAS for logistics support and NERC-GEF for equipment (loans 838, 870). Dan Fitzgerald and Dave Routledge assisted with the fieldwork.</t>
  </si>
  <si>
    <t>JUN 2</t>
  </si>
  <si>
    <t>L11501</t>
  </si>
  <si>
    <t>10.1029/2010GL042884</t>
  </si>
  <si>
    <t>606UD</t>
  </si>
  <si>
    <t>WOS:000278452900004</t>
  </si>
  <si>
    <t>Laskowski, Z; Jezewski, W; Zdzitowiecki, K</t>
  </si>
  <si>
    <t>Laskowski, Zdzislaw; Jezewski, Witold; Zdzitowiecki, Krzysztof</t>
  </si>
  <si>
    <t>New data on the occurrence of Acanthocephala in Antarctic Amphipoda</t>
  </si>
  <si>
    <t>ACTA PARASITOLOGICA</t>
  </si>
  <si>
    <t>Acanthocephala; Amphipoda; intermediate hosts; Antarctica</t>
  </si>
  <si>
    <t>In total, 6401 amphipods, including 5707 Cheirimedon femoratus, caught at the Galindez Island (Argentine Islands, Western Antarctica) were examined for the presence of cystacanths and advanced acanthellae of Acanthocephala. Two parasite species, Corynosoma pseudohamanni Zdzitowiecki, 1984 and Metacanthocephalus johnstoni Zdzitowiecki, 1983, were found in the haemocoeloma of C. femoratus. Total prevalence was 1.19%, that of C. pseudohamanni 0.68% and of M. johnstoni 0.51%. Additionally, 8 of 1416 C. femoratus caught in the Admiralty Bay (South Shetland Islands) were found to be infected with C. pseudohamanni and free of M. johnstoni. The representative of the genus Metacanthocephalus was found in the intermediate host for the first time. C. pseudohamanni was more abundant at the Galindez Island (prevalence 0.68%) than in the Admiralty Bay (prevalence 0.42% in previous investigations and 0.56% in present ones). Amphipods harboured usually one or rarely two acanthocephalans of one species. Both parasites were more abundant in amphipods caught in the polluted water closely to the Vernadsky Station than in the Mick Channel, farther from the station (prevalence 0.77% vs. 0.51% for C. pseudohamanni and 0.64% vs. 0.26% for M. johnstoni).</t>
  </si>
  <si>
    <t>[Laskowski, Zdzislaw] Polish Acad Sci, W Stefanski Inst Parasitol, PL-00818 Warsaw, Poland; Polish Acad Sci, Dept Antarctic Biol, PL-02141 Warsaw, Poland</t>
  </si>
  <si>
    <t>Polish Academy of Sciences; Polish Academy of Sciences</t>
  </si>
  <si>
    <t>Laskowski, Z (corresponding author), Polish Acad Sci, W Stefanski Inst Parasitol, Twarda 51-55, PL-00818 Warsaw, Poland.</t>
  </si>
  <si>
    <t>laskowz@twarda.pan.pl</t>
  </si>
  <si>
    <t>Laskowski, Zdzislaw/V-5682-2018</t>
  </si>
  <si>
    <t>Laskowski, Zdzislaw/0000-0001-8542-6307; Jezewski, Witold/0000-0002-1966-294X</t>
  </si>
  <si>
    <t>1230-2821</t>
  </si>
  <si>
    <t>1896-1851</t>
  </si>
  <si>
    <t>ACTA PARASITOL</t>
  </si>
  <si>
    <t>Acta Parasitolog.</t>
  </si>
  <si>
    <t>JUN</t>
  </si>
  <si>
    <t>10.2478/s11686-010-0022-6</t>
  </si>
  <si>
    <t>Parasitology; Veterinary Sciences; Zoology</t>
  </si>
  <si>
    <t>621OT</t>
  </si>
  <si>
    <t>WOS:000279589700008</t>
  </si>
  <si>
    <t>Walton, D. W. H.</t>
  </si>
  <si>
    <t>Animal Ethics - A Cultural Frontier</t>
  </si>
  <si>
    <t>10.1017/S0954102010000301</t>
  </si>
  <si>
    <t>627CH</t>
  </si>
  <si>
    <t>WOS:000280015800001</t>
  </si>
  <si>
    <t>Durgadoo, JV; Ansorge, IJ; Lutjeharms, JRE</t>
  </si>
  <si>
    <t>Durgadoo, Jonathan V.; Ansorge, Isabelle J.; Lutjeharms, Johann R. E.</t>
  </si>
  <si>
    <t>Oceanographic observations of eddies impacting the Prince Edward Islands, South Africa</t>
  </si>
  <si>
    <t>DEIMEC; Marion Island; Mesoscale eddies; South African National Antarctic Programme (SANAP); Southern Ocean; South-West Indian Ridge</t>
  </si>
  <si>
    <t>ANTARCTIC CIRCUMPOLAR CURRENT; POLAR FRONTAL ZONE; INDIAN-OCEAN; COMMUNITY STRUCTURE; ENVIRONMENT; VARIABILITY; TRANSPORT; CIRCULATION; TASMANIA; AGULHAS</t>
  </si>
  <si>
    <t>The ecosystem of the isolated Prince Edward Islands, south of the African continent, is strongly impacted by ocean eddies that are associated with the eastward flowing Antarctic Circumpolar Current. Satellite altimetry has revealed that the archipelago lies in a region of enhanced eddy kinetic energy. In the late 1990s it became apparent that in order to understand the influence of these eddies on the islands' ecosystem, the source, trajectory and nature of these eddies needed to be studied and understood. To this end a special research project with a strong ocean-going component was designed, the DEIMEC (Dynamics of Eddy Impact on Marion's ECosystem) programme. In this review we focus on the physical oceanography and summarize the aims, the results and the successes of this South African research initiative. In the vicinity of the Prince Edward Islands, an average of three intense well-defined eddies is observed per year. Their advection speeds are of the order of a few kilometres per day and longevities of 7-11 months. These features, of c. 100 km in diameter and reaching depths of at least 1000 m, transport anomalous water masses across the Polar Frontal Zone.</t>
  </si>
  <si>
    <t>[Durgadoo, Jonathan V.; Ansorge, Isabelle J.; Lutjeharms, Johann R. E.] Univ Cape Town, Dept Oceanog, ZA-7700 Rondebosch, South Africa</t>
  </si>
  <si>
    <t>Durgadoo, JV (corresponding author), Leibniz Inst Meereswissensch IFM GEOMAR, Kiel, Germany.</t>
  </si>
  <si>
    <t>jdurgadoo@gmail.com</t>
  </si>
  <si>
    <t>ANSORGE, ISABELLE/AAY-7396-2020</t>
  </si>
  <si>
    <t>Ansorge, Isabelle/0000-0001-7071-8147; Durgadoo, Jonathan/0000-0001-6297-5178</t>
  </si>
  <si>
    <t>South African National Antarctic Programme; University of Cape Town; Social Science Research Council</t>
  </si>
  <si>
    <t>We thank the South African National Antarctic Programme and the University of Cape Town for funding, the officers and crew of the research and supply vessel SA Agulhas crew for support and many keen students for participation. The collegial collaboration with biological oceanographers from the Southern Ocean group at Rhodes University is much appreciated. JVD further thanks the Social Science Research Council Mellon Mays Graduate Initiative Program for funding. Altimetry data was acquired from AVISO ftp://ftpsedr.cls.fr/pub/oceano/AVISO/SSH/duacs/global/dt/ref/msla; AMSR-E data from ftp.ssmi.com/amsre and drifter data from http://www.aoml.noaa.gov/envids/gld/. The constructive comments of the reviewers are also gratefully acknowledged.</t>
  </si>
  <si>
    <t>10.1017/S0954102010000088</t>
  </si>
  <si>
    <t>WOS:000280015800002</t>
  </si>
  <si>
    <t>Hughes, KA; Worland, MR</t>
  </si>
  <si>
    <t>Hughes, Kevin A.; Worland, M. Roger</t>
  </si>
  <si>
    <t>Spatial distribution, habitat preference and colonization status of two alien terrestrial invertebrate species in Antarctica</t>
  </si>
  <si>
    <t>chironomid; enchytraeid; establishment; invasive; non-indigenous; Signy Island</t>
  </si>
  <si>
    <t>SOUTH GEORGIA; MARION ISLAND; CHIRONOMIDAE; HISTORY; DIPTERA; CONSEQUENCES; CONSERVATION; ERADICATION; MANAGEMENT; INVASIONS</t>
  </si>
  <si>
    <t>The introduction of invasive species is one of the greatest threats to Earth's biodiversity, as they can reduce native biodiversity and alter ecosystem structure and function. Currently, the only two known non-native terrestrial invertebrates in Antarctica are the chironomid midge Eretmoptera murphyi and the enchytraeid worm Christensenidrilus blocki. These invertebrates were probably introduced to ground near Signy Research Station, South Orkney Islands, during transplantation experiments in the late 1960s. Between 2007 and 2009, this study surveyed the area around the introduction site for midge larvae and worms to assess any change over the last four decades in their spatial distribution, habitat preference and colonization status. Eretmoptera murphyi was found in concentrations up to 4.1 x 10(5) larvae m(-2) (mean 2.1 x 10(4) larvae m(-2)) at distances of up to 220 m from the probable introduction site (c. 35 000 m(2)), while C. blocki was only found close to the introduction site in low numbers. Significantly more E. murphyi larvae were found in peat and dead organic material (3.34 x 10(4) m(-2)) than in stony soil and gravel (1.52 x 10(4) m(-2)) or living moss and other plant material (1.16 x 10(4) m(-2)). Eretmoptera murphyi can no longer be considered a persistent alien as it clearly expanding its distribution, while C. blocki remains a persistent alien species.</t>
  </si>
  <si>
    <t>[Hughes, Kevin A.; Worland, M. Roger] British Antarctic Survey, NERC, Cambridge CB3 0ET, England</t>
  </si>
  <si>
    <t>Hughes, KA (corresponding author), British Antarctic Survey, NERC, Madingley Rd, Cambridge CB3 0ET, England.</t>
  </si>
  <si>
    <t>10.1017/S0954102009990770</t>
  </si>
  <si>
    <t>WOS:000280015800003</t>
  </si>
  <si>
    <t>Greenslade, P</t>
  </si>
  <si>
    <t>Greenslade, Penelope</t>
  </si>
  <si>
    <t>Collembola fauna of the South Shetland Islands revisited</t>
  </si>
  <si>
    <t>Cryptopygus; Folsomotoma; Friesea; Hypogastrura; invasive species; Protaphorura; quarantine controls; Tillieria; Tullbergia</t>
  </si>
  <si>
    <t>TERRESTRIAL ARTHROPOD FAUNA; CRYPTOPYGUS-ANTARCTICUS; LIVINGSTON-ISLAND; BYERS-PENINSULA; SPRINGTAILS</t>
  </si>
  <si>
    <t>A review of the collembolan fauna of the South Shetland Islands is presented. Cryptopygus nanjiensis Yue &amp; Tamura is synonymized with C. antarcticus Willem. A record of Tullbergia mediantarctica Wise from King George Island is considered a misidentification of Tullbergia mixta Wahlgren and Tillieria penal Weiner &amp; Najt, described from the same island, is synonymized with T mixta. The current fauna stands at eleven species, of which at least three are introduced. A checklist of Collembola currently considered to occur in the South Shetland Islands is supplied with distributional data.</t>
  </si>
  <si>
    <t>[Greenslade, Penelope] Univ Ballarat, Ballarat, Vic 3350, Australia; [Greenslade, Penelope] Australian Natl Univ, Dept Biol, Gpo, ACT 0200, Australia</t>
  </si>
  <si>
    <t>Federation University Australia; Australian National University</t>
  </si>
  <si>
    <t>Greenslade, P (corresponding author), Univ Ballarat, Ballarat, Vic 3350, Australia.</t>
  </si>
  <si>
    <t>Pgreenslade@staff.ballarat.edu.au</t>
  </si>
  <si>
    <t>10.1017/S095410200999071X</t>
  </si>
  <si>
    <t>WOS:000280015800004</t>
  </si>
  <si>
    <t>La Mesa, M; Catalano, B; Russo, A; Greco, S; Vacchi, M; Azzali, M</t>
  </si>
  <si>
    <t>La Mesa, Mario; Catalano, Barbara; Russo, Aniello; Greco, Silvio; Vacchi, Marino; Azzali, Massimo</t>
  </si>
  <si>
    <t>Influence of environmental conditions on spatial distribution and abundance of early life stages of Antarctic silverfish, Pleuragramma antarcticum (Nototheniidae), in the Ross Sea</t>
  </si>
  <si>
    <t>larvae and juveniles; nototheniid; oceanography; Southern Ocean</t>
  </si>
  <si>
    <t>TERRA-NOVA BAY; FISH ASSEMBLAGES; FEEDING ECOLOGY; MCMURDO SOUND; PISCES; POSTLARVAL; LARVAL; DIET; ICE; ICHTHYOPLANKTON</t>
  </si>
  <si>
    <t>The Antarctic silverfish Pleuragramma antarcticum Boulenger is the dominant fish species in the high Antarctic zone, playing a key role in the Ross Sea midwater shelf ecosystem. Unlike other notothenioids, it is holoplanktonic species, spending its entire life cycle in the water column. Early life stages of P. antarcticum are generally found in the upper 200 m and their spatial distribution is largely affected by water masses and general circulation. To understand better the mechanisms involved in the geographical distribution of the Antarctic silverfish within the western Ross Sea, an analysis of abundance and distribution was carried out in relation to oceanographic conditions. Samples were collected in summer during the 1998,2000 and 2004 Italian cruises, covering the majority of the western sector of the Ross Sea. Overall 127 stations were sampled using standard plankton nets for biological samples and CTD and XBT to record abiotic parameters. Although all surveys were in December January, the yearly results differed in terms of relative abundance of larval developmental stages and of oceanographic characteristics. The 1997-98 samples were characterized by very low abundance overall and by the virtual absence of early larvae. In summers 1999-2000 and 2003-04 the abundance of P. antarcticum was one order of magnitude higher than in the earlier season. In 1999-2000 catches were mainly composed of pre-flexion larvae and late postlarvae, while in 2003-04 catches were made up of pre-flexion larvae and juveniles. In January 2000 the Ross Sea summer polynya was fully open as the pack ice was almost completely melted, whereas in January 1998 and 2004 the opening of the polynya was considerably delayed. As a consequence, a delay in phytoplankton blooms and a decrease in primary production were observed in the summer seasons 1998 and 2004 with respect to 2000. The spatial distribution of early life stages, that were confined to the continental shelf and shelf break of the Ross Sea, generally appeared to be positively influenced by transition zones (oceanographic fronts). In addition, most of catches were recorded on or in close proximity to the banks (Pennell, Mawson, Ross and Crary) that characterize the continental shelf of the Ross Sea. On the basis of present findings and literature data, a link between the general circulation in the western Ross Sea and the distribution pattern of the early life stages of P. antarcticum has been developed.</t>
  </si>
  <si>
    <t>[La Mesa, Mario; Azzali, Massimo] UOS Ancona, Ist Sci Marine, ISMAR CNR, I-60125 Ancona, Italy; [Catalano, Barbara; Greco, Silvio; Vacchi, Marino] exICRAM, ISPRA, I-00166 Rome, Italy; [Russo, Aniello] Univ Politecn Marche, Dipartimento Sci Mare, I-60121 Ancona, Italy</t>
  </si>
  <si>
    <t>Consiglio Nazionale delle Ricerche (CNR); Istituto di Scienze Marine (ISMAR-CNR); Marche Polytechnic University</t>
  </si>
  <si>
    <t>La Mesa, M (corresponding author), UOS Ancona, Ist Sci Marine, ISMAR CNR, I-60125 Ancona, Italy.</t>
  </si>
  <si>
    <t>m.lamesa@ismar.cnr.it</t>
  </si>
  <si>
    <t>Catalano, Barbara/GRR-7882-2022; Russo, Aniello/A-2319-2010; CNR, Ismar/P-1247-2014</t>
  </si>
  <si>
    <t>Russo, Aniello/0000-0003-3651-8146; CNR, Ismar/0000-0001-5351-1486</t>
  </si>
  <si>
    <t>Italian National Programme for Research in Antarctica (PNRA)</t>
  </si>
  <si>
    <t>This work has been partially supported by the Italian National Programme for Research in Antarctica (PNRA). We wish to thank all the people involved in data gathering, and in particular Prof G. Spezie and Dr E. Paschini for the support and instrumentation provided in the hydrological data collection, and Dr A. Sala and Mr V. Palumbo for the net sampling.</t>
  </si>
  <si>
    <t>10.1017/S0954102009990721</t>
  </si>
  <si>
    <t>WOS:000280015800005</t>
  </si>
  <si>
    <t>Cook, AJ; Poncet, S; Cooper, APR; Herbert, DJ; Christie, D</t>
  </si>
  <si>
    <t>Cook, A. J.; Poncet, S.; Cooper, A. P. R.; Herbert, D. J.; Christie, D.</t>
  </si>
  <si>
    <t>Glacier retreat on South Georgia and implications for the spread of rats</t>
  </si>
  <si>
    <t>ecosystem; GIS; invasive species; sub-Antarctic</t>
  </si>
  <si>
    <t>RATTUS-NORVEGICUS; FLUCTUATIONS; OCEAN</t>
  </si>
  <si>
    <t>Using archival photography and satellite imagery, we have analysed the rates of advance or retreat of 103 coastal glaciers on South Georgia from the 1950s to the present. Ninety-seven percent of these glaciers have retreated over the period for which observations are available. The average rate of retreat has increased from 8 Ma(-1) in the 1950s to 35 Ma(-1) at present. The largest retreats have all taken place along the north-east coast, where retreat rates have increased to an average of 60 Ma(-1) at present, but those on the south-west coast have also been steadily retreating since the 1950s. These data, along with environmental information about South Georgia, are included in a new Geographic Information System (GIS) of the island. By combining glacier change data with the present distribution of both endemic and invasive species we have identified areas where there is an increased risk of rat invasion to unoccupied coastal regions that are currently protected by glacial barriers. This risk has significant implications for the surrounding ecosystem, in particular depletion in numbers of important breeding populations of ground-nesting birds on the island.</t>
  </si>
  <si>
    <t>[Cook, A. J.; Cooper, A. P. R.; Herbert, D. J.] British Antarctic Survey, NERC, Cambridge CB3 0ET, England</t>
  </si>
  <si>
    <t>Cook, AJ (corresponding author), British Antarctic Survey, NERC, Madingley Rd, Cambridge CB3 0ET, England.</t>
  </si>
  <si>
    <t>acook@bas.ac.uk</t>
  </si>
  <si>
    <t>Natural Environment Research Council [bas0100025, bas010011] Funding Source: researchfish; NERC [bas0100025, bas010011] Funding Source: UKRI</t>
  </si>
  <si>
    <t>10.1017/S0954102010000064</t>
  </si>
  <si>
    <t>WOS:000280015800006</t>
  </si>
  <si>
    <t>Palacios, MJ; Barbosa, A; Pedraza-Díaz, S; Ortega-Mora, LM; Valera, F; Cuervo, JJ; Benzal, J; De la Cruz, C</t>
  </si>
  <si>
    <t>Jose Palacios, Maria; Barbosa, Andres; Pedraza-Diaz, Susana; Miguel Ortega-Mora, Luis; Valera, Francisco; Javier Cuervo, Jose; Benzal, Jesus; De la Cruz, Carlos</t>
  </si>
  <si>
    <t>Apparent absence of Cryptosporidium, Giardia and Toxoplasma gondii in three species of penguins along the Antarctic Peninsula</t>
  </si>
  <si>
    <t>diseases; parasites; Protozoa; Pygoscelis adeliae; Pygoscelis antarctica; Pygoscelis papua</t>
  </si>
  <si>
    <t>GENETIC-CHARACTERIZATION; PYGOSCELIS-PAPUA; SPP. OOCYSTS; INFECTION; CATS; WILD; PREVALENCE; IDENTIFICATION; ANIMALS</t>
  </si>
  <si>
    <t>We carried out a study to investigate the presence of some protozoan parasites (Cryptosporidium sp., Giardia sp., Toxoplasma gondii) on three species of Antarctic penguins: Adelie (Pygoscelis adeliae), gentoo (Pygoscelis papua) and chinstrap (Pygoscelis antarctica) from different locations along the Antarctic Peninsula and the South Shetland Islands. Swabs and faeces samples were analysed by PCR assay for Cryptosporidium sp. and Giardia sp. while Toxoplasma was studied using serological methods from blood samples. We did not detect the presence of these organisms in the species studied. However, based on the upper values of the confidence intervals of the observed prevalence, their presence cannot be completely excluded.</t>
  </si>
  <si>
    <t>[Jose Palacios, Maria; Barbosa, Andres; Valera, Francisco; Javier Cuervo, Jose; Benzal, Jesus] CSIC, Estn Expt Zonas Aridas, Dept Ecol Func &amp; Evolut, La Canada De San Urbano 04120, Almeria, Spain; [Barbosa, Andres] CSIC, Dept Ecol Evolut, Museo Nacl Ciencias Nat, E-28006 Madrid, Spain; [Pedraza-Diaz, Susana; Miguel Ortega-Mora, Luis] Univ Complutense, Fac Vet, Grp SALUVET, E-28040 Madrid, Spain; [De la Cruz, Carlos] Univ Extremadura, Fac Ciencias, Dept Biol Anim, E-06071 Badajoz, Spain</t>
  </si>
  <si>
    <t>Consejo Superior de Investigaciones Cientificas (CSIC); CSIC - Estacion Experimental de Zonas Aridas (EEZA); Consejo Superior de Investigaciones Cientificas (CSIC); CSIC - Museo Nacional de Ciencias Naturales (MNCN); Complutense University of Madrid; Universidad de Extremadura</t>
  </si>
  <si>
    <t>Barbosa, A (corresponding author), CSIC, Estn Expt Zonas Aridas, Dept Ecol Func &amp; Evolut, Carretera Sacramento S-N, La Canada De San Urbano 04120, Almeria, Spain.</t>
  </si>
  <si>
    <t>barbosa@mncn.csic.es</t>
  </si>
  <si>
    <t>Cuervo, José Javier/K-1646-2014; Cruz, Carlos/K-2314-2014; Benzal, Jesús/T-4555-2017; Valera, Francisco/R-3437-2019; Pedraza-Diaz, Susana/HGB-3199-2022; Barbosa, Andrés/C-3208-2008; Ortega-Mora, Luis Miguel/AFT-0684-2022; Pedraza-Diaz, Susana/F-3988-2018</t>
  </si>
  <si>
    <t>Cuervo, José Javier/0000-0001-7943-7835; Valera, Francisco/0000-0003-2266-8899; Barbosa, Andrés/0000-0001-8434-3649; Ortega-Mora, Luis Miguel/0000-0002-4986-6783; Pedraza-Diaz, Susana/0000-0001-9401-6473</t>
  </si>
  <si>
    <t>Spanish Ministry of Science [CGL2004-01348, POL2006-05175]; European Regional Development Fund; Spanish Ministry of Science and Innovation [BES-2005-8465]</t>
  </si>
  <si>
    <t>Spanish Ministry of Science(Spanish Government); European Regional Development Fund(European Union (EU)); Spanish Ministry of Science and Innovation(Spanish Government)</t>
  </si>
  <si>
    <t>This study was funded by the Spanish Ministry of Science projects CGL2004-01348 and POL2006-05175 and by the European Regional Development Fund. MJP was supported by a PhD grant from the Spanish Ministry of Science and Innovation (BES-2005-8465). We thank the Spanish Antarctic Base Gabriel de Castilla, the Argentinean Polar Base Teniente Jubany, the Spanish polar ship Las Palmas and the Maritime Logistic Unit (CSIC) for logistic support and transport. We are greatly indebted to the avian and mammal groups of the Argentinean Antarctic Institute for their help in the fieldwork. Permissions to work in the study area and for penguin manipulation were given by the Spanish Polar Committee. The suggestions of two anonymous referees improved an earlier version of this paper. This is a contribution to the International Polar Year project 172 BIRDHEALTH and to PINGUCLIM project.</t>
  </si>
  <si>
    <t>10.1017/S0954102010000039</t>
  </si>
  <si>
    <t>WOS:000280015800007</t>
  </si>
  <si>
    <t>Majewski, W; Pawlowski, J</t>
  </si>
  <si>
    <t>Majewski, Wojciech; Pawlowski, Jan</t>
  </si>
  <si>
    <t>Morphologic and molecular diversity of the foraminiferal genus Globocassidulina in Admiralty Bay, King George Island</t>
  </si>
  <si>
    <t>Antarctica; benthic foraminifera; Globocassidulina biora; rDNA</t>
  </si>
  <si>
    <t>SOUTH SHETLAND ISLANDS; BENTHIC FORAMINIFERA; SEDIMENT CORES; DISTRIBUTIONS; ASSEMBLAGES; POLLUTION; MAXWELL; TESTS; SHELF; COVE</t>
  </si>
  <si>
    <t>Four distinctive morphological types can be found among living Globocassidulina in surface sediments of Admiralty Bay (King George Island, South Shetland Islands). The molecular analysis of the SSU and ITS rDNA indicates that they are monospecific and belong to Globocassidulina biora, except for minute forms from deeper than 200 m water depth which probably represent G. subglobosa. The morphological types of G. biora that show doubled or branched apertures, varied test size and shape as well as colour of cytoplasm, represent populations at different stages of ontogenetic development. However, the variability among large G. biora from the same locations is difficult to comprehend. It seems probable that G. biora is the only recent, large, shallow water Globocassidulina represented throughout the Antarctica, while G. crassa is typical for the Magellan region.</t>
  </si>
  <si>
    <t>[Majewski, Wojciech] Polish Acad Sci, Inst Paleobiol, PL-00818 Warsaw, Poland; [Pawlowski, Jan] Univ Geneva, Dept Zool &amp; Anim Biol, CH-1211 Geneva 4, Switzerland</t>
  </si>
  <si>
    <t>Polish Academy of Sciences; Institute of Paleobiology of the Polish Academy of Sciences; University of Geneva</t>
  </si>
  <si>
    <t>Majewski, W (corresponding author), Polish Acad Sci, Inst Paleobiol, Twarda 51-55, PL-00818 Warsaw, Poland.</t>
  </si>
  <si>
    <t>wmaj@twarda.pan.pl</t>
  </si>
  <si>
    <t>Pawlowski, Jan/JNS-6857-2023; Majewski, Wojciech/D-9255-2017</t>
  </si>
  <si>
    <t>Majewski, Wojciech/0000-0002-5407-1782</t>
  </si>
  <si>
    <t>Polish Ministry of Science and Higher Education [N307 115135]; Swiss National Science Foundation [31003A_125372]; G. &amp; A. Claraz Donation; Swiss National Science Foundation (SNF) [31003A_125372] Funding Source: Swiss National Science Foundation (SNF)</t>
  </si>
  <si>
    <t>Polish Ministry of Science and Higher Education(Ministry of Science and Higher Education, Poland); Swiss National Science Foundation(Swiss National Science Foundation (SNSF)); G. &amp; A. Claraz Donation; Swiss National Science Foundation (SNF)(Swiss National Science Foundation (SNSF))</t>
  </si>
  <si>
    <t>This study was supported by a grant of Polish Ministry of Science and Higher Education No N307 115135, a grant of Swiss National Science Foundation 31003A_125372, and the G. &amp; A. Claraz Donation. We would like to thank Professor Johann Hohenegger (Vienna University) for his kindest help in obtaining X-ray micrographs, Dr Jose Fahrni and Jackie Guaird for technical assistance, and Drs Beatrice Lecroq and Frederic Sinniger for help in collecting material. We would also like to thank Alessandra Asioli and an anonymous reviewer for useful suggestions for improvement to this manuscript.</t>
  </si>
  <si>
    <t>10.1017/S0954102010000106</t>
  </si>
  <si>
    <t>WOS:000280015800008</t>
  </si>
  <si>
    <t>Kim, JH; Lim, HS; Ahn, IY; Lee, SH; Kim, M; Park, H</t>
  </si>
  <si>
    <t>Kim, Jeong-Hoon; Lim, Hyoun Soo; Ahn, In-Young; Lee, Sang-Hwan; Kim, Minkyun; Park, Hyun</t>
  </si>
  <si>
    <t>Polychlorinated biphenyl congeners in Antarctic biota from the Barton Peninsula, King George Island</t>
  </si>
  <si>
    <t>[Kim, Jeong-Hoon; Lim, Hyoun Soo; Ahn, In-Young; Park, Hyun] KORDI, Korea Polar Res Inst, Inchon 406840, South Korea; [Lee, Sang-Hwan] Mine Reclamat Corp, Technol Res Ctr, Seoul 110727, South Korea; [Kim, Minkyun] Res Inst Ind Sci &amp; Technol, Pohang 790600, South Korea</t>
  </si>
  <si>
    <t>Korea Polar Research Institute (KOPRI); Korea Institute of Ocean Science &amp; Technology (KIOST); Mine Reclamation Corporation</t>
  </si>
  <si>
    <t>Park, H (corresponding author), KORDI, Korea Polar Res Inst, Songdo Dong 7-50, Inchon 406840, South Korea.</t>
  </si>
  <si>
    <t>hpark@kopri.re.kr</t>
  </si>
  <si>
    <t>Lim, Hyoun Soo/0000-0002-2489-4470; Park, Hyun/0000-0002-8055-2010</t>
  </si>
  <si>
    <t>Korea Polar Research Institute (KOPRI) [PE09110, PE10040]</t>
  </si>
  <si>
    <t>This study was supported by the Study of the Polar Environment using Ecotoxicoproteomics (PE09110) and a Status and Changes of Polar Indicator Species and Coastal/Terrestrial Ecosystems (PE10040) grants funded by the Korea Polar Research Institute (KOPRI).</t>
  </si>
  <si>
    <t>10.1017/S0954102010000052</t>
  </si>
  <si>
    <t>WOS:000280015800009</t>
  </si>
  <si>
    <t>McClintock, JB; Silva-Rodriguez, P; Fraser, WR</t>
  </si>
  <si>
    <t>McClintock, James B.; Silva-Rodriguez, Patricia; Fraser, William R.</t>
  </si>
  <si>
    <t>Southerly breeding in gentoo penguins for the eastern Antarctic Peninsula: further evidence for unprecedented climate-change</t>
  </si>
  <si>
    <t>SEA-ICE; POPULATIONS; COMPETITION</t>
  </si>
  <si>
    <t>[McClintock, James B.] Univ Alabama, Dept Biol, Birmingham, AL 35294 USA; [Silva-Rodriguez, Patricia] Univ Nacl Mar del Plata, Dept Biol, Grp Vertebrados, Mar Del Plata, Buenos Aires, Argentina; [Fraser, William R.] Polar Oceans Res Grp, Sheridan, MT 59749 USA</t>
  </si>
  <si>
    <t>University of Alabama System; University of Alabama Birmingham; National University of Mar del Plata</t>
  </si>
  <si>
    <t>McClintock, JB (corresponding author), Univ Alabama, Dept Biol, Birmingham, AL 35294 USA.</t>
  </si>
  <si>
    <t>NSF [JBM - OPP-0441769, WRF - OPP-0823101]; Abercrombie and Kent Philanthropy; Directorate For Geosciences; Office of Polar Programs (OPP) [0741351, 0823101] Funding Source: National Science Foundation</t>
  </si>
  <si>
    <t>NSF(National Science Foundation (NSF)); Abercrombie and Kent Philanthropy; Directorate For Geosciences; Office of Polar Programs (OPP)(National Science Foundation (NSF)NSF - Directorate for Geosciences (GEO))</t>
  </si>
  <si>
    <t>Supported by the NSF (JBM - OPP-0441769; WRF - OPP-0823101). JBM wishes to acknowledge support from Abercrombie and Kent Philanthropy and an Endowed University Professorship provided by the University of Alabama at Birmingham.</t>
  </si>
  <si>
    <t>10.1017/S0954102010000076</t>
  </si>
  <si>
    <t>WOS:000280015800010</t>
  </si>
  <si>
    <t>Mckay, CP</t>
  </si>
  <si>
    <t>McKay, Christopher P.</t>
  </si>
  <si>
    <t>Liquid water formation around rocks and meteorites on Antarctic Polar Plateau ice</t>
  </si>
  <si>
    <t>CRYPTOENDOLITHIC MICROBIAL ENVIRONMENT; ALLAN HILLS 84001; AMINO-ACIDS; ALH84001; CHONDRITES; DESERT; SEARCH</t>
  </si>
  <si>
    <t>NASA, Ames Res Ctr, Div Space Sci, Moffett Field, CA 94035 USA</t>
  </si>
  <si>
    <t>National Aeronautics &amp; Space Administration (NASA); NASA Ames Research Center</t>
  </si>
  <si>
    <t>Mckay, CP (corresponding author), NASA, Ames Res Ctr, Div Space Sci, Moffett Field, CA 94035 USA.</t>
  </si>
  <si>
    <t>chris.mckay@nasa.gov</t>
  </si>
  <si>
    <t>McKay, Christopher/0000-0002-6243-1362</t>
  </si>
  <si>
    <t>10.1017/S0954102010000118</t>
  </si>
  <si>
    <t>WOS:000280015800011</t>
  </si>
  <si>
    <t>Hospitaleche, CA; Reguero, M</t>
  </si>
  <si>
    <t>Acosta Hospitaleche, Carolina; Reguero, Marcelo</t>
  </si>
  <si>
    <t>First articulated skeleton of Palaeeudyptes gunnari from the late Eocene of Isla Marambio (Seymour Island), Antarctica</t>
  </si>
  <si>
    <t>Anthropornis nordenskjoeldi biozone; fossil penguin; Palaeogene; Spheniscidae</t>
  </si>
  <si>
    <t>PENGUIN; SPHENISCIFORMES; PENINSULA; MIOCENE</t>
  </si>
  <si>
    <t>The first articulated skeleton of a penguin from the late Eocene of Antarctica is described. MLP 96-I-6-13 comes from the upper Submeseta Allomember (La Meseta Formation) of Isla Marambio (locality DPV 10/84). The significance of this finding in the context of the Anthropornis nordenskjoeldi biozone is discussed. An osteologic description of the recovered elements and a brief discussion of its systematic determination are provided. MLP 96-I-6-13 is the first articulated skeleton with sure specific assignment to Palaeeudyptes gunnari (Wiman, 1905), a species previously known only through isolated tarsometatarsi and included in the groups of Wiman.</t>
  </si>
  <si>
    <t>[Acosta Hospitaleche, Carolina; Reguero, Marcelo] Consejo Nacl Invest Cient &amp; Tecn, Museo La Plata, Div Paleontol Vertebrados, La Plata, Buenos Aires, Argentina</t>
  </si>
  <si>
    <t>Consejo Nacional de Investigaciones Cientificas y Tecnicas (CONICET); National University of La Plata; Museo La Plata</t>
  </si>
  <si>
    <t>Hospitaleche, CA (corresponding author), Consejo Nacl Invest Cient &amp; Tecn, Museo La Plata, Div Paleontol Vertebrados, Paseo Bosque S-N,B1900FWA, La Plata, Buenos Aires, Argentina.</t>
  </si>
  <si>
    <t>acostacaro@fcnym.unlp.edu.ar</t>
  </si>
  <si>
    <t>Acosta Hospitaleche, Carolina/E-5740-2017; Reguero, Marcelo A./JHS-4893-2023</t>
  </si>
  <si>
    <t>Acosta Hospitaleche, Carolina/0000-0002-2614-1448; Reguero, Marcelo A./0000-0003-0875-8484</t>
  </si>
  <si>
    <t>Conicet</t>
  </si>
  <si>
    <t>Conicet(Consejo Nacional de Investigaciones Cientificas y Tecnicas (CONICET))</t>
  </si>
  <si>
    <t>This is a contribution to the projects PICT 26219, PICT 499 and PICTA 1/2008. Instituto Antartico Argentino provided logistic support in Antarctica. The authors wish to thank Conicet for constant support and Paula Bona and Nadia Haidr from Museo de La Plata for their help in the osteological reconstruction. We also thank P. Jadwiszczak and S.A. Marenssi for suggestions on the manuscript.</t>
  </si>
  <si>
    <t>10.1017/S0954102009990769</t>
  </si>
  <si>
    <t>WOS:000280015800012</t>
  </si>
  <si>
    <t>Haselwimmer, CE; Riley, TR; Liu, JG</t>
  </si>
  <si>
    <t>Haselwimmer, C. E.; Riley, T. R.; Liu, J. G.</t>
  </si>
  <si>
    <t>Assessing the potential of multispectral remote sensing for lithological mapping on the Antarctic Peninsula: case study from eastern Adelaide Island, Graham Land</t>
  </si>
  <si>
    <t>Advanced Spaceborne Thermal Emission and Reflection Radiometer (ASTER); Antarctica; geological mapping</t>
  </si>
  <si>
    <t>SPACEBORNE THERMAL EMISSION; REFLECTION RADIOMETER ASTER; ALTERED ROCKS; AUSTRALIA</t>
  </si>
  <si>
    <t>The results of lithological mapping using Advanced Spaceborne Thermal Emission and Reflection Radiometer (ASTER) data for the Wright Peninsula region of Adelaide Island, Antarctic Peninsula are compared with existing geological maps and recent field observations to assess the potential of multispectral remote sensing to undertake lithological mapping on the Antarctic Peninsula. The Wright Peninsula comprises calc-alkaline intrusive rocks ranging from granite to gabbro, volcanic rocks of acidic to intermediate composition, and arc-related sediments. The reflective and thermal bands of a single ASTER image were analysed with reference to reflectance spectra of rock samples from the study area. Assessment of the ASTER mapping outcomes was undertaken with a newly compiled geological map of Adelaide Island and observations made during recent fieldwork. The results demonstrate that ASTER can uniquely discriminate granitoid intrusive rocks and altered rhyolitic volcanic rocks that display distinctive spectral properties. The results are more ambiguous at discriminating more intermediate/mafic rocks such as diorite/gabbro, andesite/basalt and chlorite-bearing sediments due to the similarity in spectral properties. These results demonstrate that although ASTER data are limited in their ability to uniquely discriminate lithologies they can provide important lithological information in support of geological mapping on the Antarctic Peninsula.</t>
  </si>
  <si>
    <t>[Haselwimmer, C. E.; Riley, T. R.] British Antarctic Survey, NERC, Cambridge CB3 0ET, England; [Haselwimmer, C. E.; Liu, J. G.] Univ London Imperial Coll Sci Technol &amp; Med, Dept Earth Sci &amp; Engn, London SW7 2AZ, England</t>
  </si>
  <si>
    <t>UK Research &amp; Innovation (UKRI); Natural Environment Research Council (NERC); NERC British Antarctic Survey; Imperial College London</t>
  </si>
  <si>
    <t>Haselwimmer, CE (corresponding author), British Antarctic Survey, NERC, Madingley Rd, Cambridge CB3 0ET, England.</t>
  </si>
  <si>
    <t>chha@bas.ac.uk</t>
  </si>
  <si>
    <t>Riley, Teal/0000-0002-3333-5021; Liu, Jian Guo/0000-0002-3090-0152</t>
  </si>
  <si>
    <t>NERC [NER/S/A/2006/14242]; British Antarctic Survey Antarctic [CGS 10/45]; Natural Environment Research Council [bas010020, bas0100026] Funding Source: researchfish; NERC [bas010020, bas0100026] Funding Source: UKRI</t>
  </si>
  <si>
    <t>NERC(UK Research &amp; Innovation (UKRI)Natural Environment Research Council (NERC)); British Antarctic Survey Antarctic; Natural Environment Research Council(UK Research &amp; Innovation (UKRI)Natural Environment Research Council (NERC)); NERC(UK Research &amp; Innovation (UKRI)Natural Environment Research Council (NERC))</t>
  </si>
  <si>
    <t>This research was supported by NERC studentship NER/S/A/2006/14242. Fieldwork was funded through a British Antarctic Survey Antarctic Funding Initiative Collaborative Gearing Scheme Award (CGS 10/45). The NERC Field Spectroscopy Facility is gratefully acknowledged for loan of the ASD field spectrometer (loan no: 556.0608). We thank the field operations staff at Rothera Research Station for their support during the fieldwork. Finally, we would like to thank Colm Jordan, Henning Lorenz and Yoshiki Ninomiya for providing constructive comments that improved an earlier version of this manuscript.</t>
  </si>
  <si>
    <t>10.1017/S0954102010000015</t>
  </si>
  <si>
    <t>WOS:000280015800013</t>
  </si>
  <si>
    <t>Cappelletti, A; Picco, P; Peluso, T</t>
  </si>
  <si>
    <t>Cappelletti, Andrea; Picco, Paola; Peluso, Tiziana</t>
  </si>
  <si>
    <t>Upper ocean layer dynamics and response to atmospheric forcing in the Terra Nova Bay polynya, Antarctica</t>
  </si>
  <si>
    <t>ADCP measurements; air-sea interaction; EOF analysis; Ross Sea</t>
  </si>
  <si>
    <t>ROSS-SEA; ICE EDGES; CIRCULATION; VARIABILITY; CURRENTS; DRAFT</t>
  </si>
  <si>
    <t>A one-year time series of Acoustic Doppler Current Profiler (ADCP) data was collected in Terra Nova Bay (TNB) polynya (Ross Sea, Antarctica) during 2000. Together with Automatic Weather Station (AWS) Eneide meteorological data and Special Sensor Microwave Imager (SSM/I) ice concentration data, ADCP data were analysed to investigate upper layer dynamics and variability due to atmospheric forcing. Empirical Orthogonal Function (EOF) analysis was performed to separate the surface variability caused by local forcing from the large-scale circulation component. In particular, the first mode represented the barotropic circulation while the second the stronger surface currents. The decrease in shelf water density from melting sea ice resulted in an off-shore density gradient producing a southern shift in the circulation. This result proved to be consistent with the in situ data acquired during February April at 120 m depth. The observed variability of the surface currents was assessed with respect to the thermal wind equation and the steady Ekman model. Strong katabatic winds shifted the surface currents eastward with respect to the general north-eastern circulation. The wind stress acted as a relevant forcing for the surface large-scale circulation in TNB, but had negligible effects on the vertically integrated transport.</t>
  </si>
  <si>
    <t>[Picco, Paola] Ctr Ric Ambiente Marino, ENEA, I-19100 La Spezia, Italy; [Cappelletti, Andrea] ENEA, Pisa, Italy; [Peluso, Tiziana] CNR ISMAR, I-19125 Pozzuolo Di Lerici, Italy</t>
  </si>
  <si>
    <t>Italian National Agency New Technical Energy &amp; Sustainable Economics Development; Italian National Agency New Technical Energy &amp; Sustainable Economics Development; Consiglio Nazionale delle Ricerche (CNR); Istituto di Scienze Marine (ISMAR-CNR)</t>
  </si>
  <si>
    <t>Picco, P (corresponding author), Ctr Ric Ambiente Marino, ENEA, Cp 224, I-19100 La Spezia, Italy.</t>
  </si>
  <si>
    <t>paola.picco@enea.it</t>
  </si>
  <si>
    <t>CNR, Ismar/P-1247-2014</t>
  </si>
  <si>
    <t>CNR, Ismar/0000-0001-5351-1486</t>
  </si>
  <si>
    <t>Italian National Program of Antarctic Research (PNRA), Technologies [2003/11.4]</t>
  </si>
  <si>
    <t>Italian National Program of Antarctic Research (PNRA), Technologies</t>
  </si>
  <si>
    <t>The Italian National Program of Antarctic Research (PNRA), Technologies 2003/11.4, supported this work. Data analysed were collected in the framework of PNRA-CLIMA Project. Thanks are due to Stefania Furia from ENEA CRAM for help with drawing the figures. The constructive comments of the reviewers are also gratefully acknowledged.</t>
  </si>
  <si>
    <t>10.1017/S095410201000009X</t>
  </si>
  <si>
    <t>WOS:000280015800014</t>
  </si>
  <si>
    <t>Divya, B; Soumya, KV; Nair, S</t>
  </si>
  <si>
    <t>Divya, Baby; Soumya, K. V.; Nair, Shanta</t>
  </si>
  <si>
    <t>16SrRNA and enzymatic diversity of culturable bacteria from the sediments of oxygen minimum zone in the Arabian Sea</t>
  </si>
  <si>
    <t>ANTONIE VAN LEEUWENHOEK INTERNATIONAL JOURNAL OF GENERAL AND MOLECULAR MICROBIOLOGY</t>
  </si>
  <si>
    <t>Bacteria; 16SrRNA; Extracellular hydrolytic enzymes; Oxygen minimum zone; Sediment; Arabian Sea</t>
  </si>
  <si>
    <t>PERU CONTINENTAL-MARGIN; ORGANIC-MATTER PRESERVATION; COMBINED AMINO-ACIDS; MARINE-SEDIMENTS; MICROBIAL COMMUNITIES; MOLECULAR DIVERSITY; WATER COLUMNS; CARBON; NITROGEN; IDENTIFICATION</t>
  </si>
  <si>
    <t>Sediment underlying the oxygen minimum zone of the eastern Arabian Sea is rich in organic matter. Bacteria in this sediment-water interface are of great ecological importance as they are responsible for decomposing, mineralizing and subsequent recycling of organic matter. This study has for the first time addressed the phylogenetic and functional description of culturable bacteria of this region. Genotypic characterization of the isolates using amplified rDNA restriction analysis (ARDRA) followed by 16SrRNA sequencing grouped them into various phylogenetic groups such as Firmicutes, Gammaproteobacteria, Low G+C Gram positive bacteria, Actinobacteria and unaffiliated bacteria. Among the enzyme activities, phosphatase was predominant (52%) and was associated with all the phylotypes followed by amylase (37%) and gelatinase (33%). These hydrolytic enzymes were expressed at a wide range of temperature and pH. Firmicutes expressed most of the hydrolytic activities, consistent with a role in degradation of organic matter. Multiple enzyme expression (a parts per thousand yen3) was exhibited by Actinobacteria (100%), followed by unaffiliated group (62.5%) and Firmicutes (61.5%). Besides hydrolytic enzymes, the phylotypes also elaborated functional enzymes such as nitrate reductase and catalase (58 and 81% of the isolates, respectively). In the oxygen minimum zone, the diversity was high with 28 phylotypes. Culturable bacterial assemblages encountered were Bacillus sp., Halobacillus sp., Virgibacillus sp., Paenibacillus sp., Marinilactibacillus sp., Kytococcus sp., Micrococcus sp., Halomonas sp. and Alteromonas sp. The high diversity and high percentage of extracellular hydrolytic enzyme activities of the culturable bacteria reflect their important ecological role in biogeochemical cycling of organic matter in the oxygen minimum zone.</t>
  </si>
  <si>
    <t>[Divya, Baby; Soumya, K. V.; Nair, Shanta] Natl Inst Oceanog, Microbiol Lab, Panaji 403004, Goa, India</t>
  </si>
  <si>
    <t>Council of Scientific &amp; Industrial Research (CSIR) - India; CSIR - National Institute of Oceanography (NIO)</t>
  </si>
  <si>
    <t>Nair, S (corresponding author), Natl Inst Oceanog, Microbiol Lab, Panaji 403004, Goa, India.</t>
  </si>
  <si>
    <t>shanta@nio.org</t>
  </si>
  <si>
    <t>Divya, Baby/AAE-1038-2021</t>
  </si>
  <si>
    <t>Divya, Baby/0000-0003-2002-9882</t>
  </si>
  <si>
    <t>Central Marine Living Resources Exploration (CMLRE), Kochi; Ministry of Earth Sciences, New Delhi; Council of Scientific and Industrial Research, New Delhi</t>
  </si>
  <si>
    <t>Central Marine Living Resources Exploration (CMLRE), Kochi; Ministry of Earth Sciences, New Delhi; Council of Scientific and Industrial Research, New Delhi(Council of Scientific &amp; Industrial Research (CSIR) - India)</t>
  </si>
  <si>
    <t>We thank the captain and crew of FORV Sagar Sampada for the help rendered in collection of samples. We would like to thank the referee for the valuable suggestions which has improved the quality of the manuscript. We are grateful Dr. C. T. Achuthankutty, Visiting Scientist, National Centre for Antarctic Ocean Research (NCAOR) Goa, for critically reading the Manuscript and Dr. A. Parvathi, Scientist, National Institute of Oceanography, Regional Centre (NIO, RC), Kochi for suggestions in ARDRA analysis. Ms. Neenu Tom and Ms. Jiya Jose of the National Institute of Oceanography, Regional Centre, Kochi are acknowledged for their help in laboratory experiments. This work was supported by Central Marine Living Resources Exploration (CMLRE), Kochi and laboratory facilities were extended by the Marine Microbial Reference Facility of NIO RC, Kochi funded by the Ministry of Earth Sciences, New Delhi. BD thanks Council of Scientific and Industrial Research, New Delhi, for the Senior Research Fellowship. This is NIO contribution No. 4692.</t>
  </si>
  <si>
    <t>0003-6072</t>
  </si>
  <si>
    <t>1572-9699</t>
  </si>
  <si>
    <t>ANTON LEEUW INT J G</t>
  </si>
  <si>
    <t>Antonie Van Leeuwenhoek</t>
  </si>
  <si>
    <t>10.1007/s10482-010-9423-7</t>
  </si>
  <si>
    <t>586JG</t>
  </si>
  <si>
    <t>WOS:000276902800002</t>
  </si>
  <si>
    <t>Robertson, G; Candy, SG; Wienecke, B</t>
  </si>
  <si>
    <t>Robertson, Graham; Candy, Steven G.; Wienecke, Barbara</t>
  </si>
  <si>
    <t>Effect of line shooter and mainline tension on the sink rates of pelagic longlines and implications for seabird interactions</t>
  </si>
  <si>
    <t>pelagic longline fisheries; mainline tension; line shooter; seabird interactions; co-operative research</t>
  </si>
  <si>
    <t>1. The likelihood that seabirds will be hooked and drowned in longline fisheries increases when baited hooks sink slowly. Fishermen target different fishing depths by setting the mainline through a line shooter, which controls the tension (or slackness) in the line. An experiment was conducted in Australia's pelagic longline fishery to test the hypothesis of no difference in sink rates of baited hooks attached to mainline set under varying degrees of tension. 2. Mainline was set in three con. gurations typically used in the fishery: (a) surface set tight with no slackness astern; (b) surface set loose with 2 s of slack astern; and (c) deep set loose with 7 s of slack astern. 3. Tension on the mainline had a powerful effect on sink rates. Baited hooks on branch lines attached to tight mainlines reached 2 m depth nearly twice as fast as those on the two loose mainline tensions, averaging 5.8 s (0.35 m s(-1)) compared with 9.9 s (0.20 m s(-1)) and 11.0 s (0.18 m s(-1)) for surface set loose and deep set loose tensions, respectively. 4. The likely reason for the difference is propeller turbulence. Tight mainline entered the water aft of the area affected by turbulence whereas the two loose mainlines and the clip ends of branch lines were set directly into it about 1 m astern of the vessel. The turbulence presumably slowed the sink rates of baited hooks at the other end of the branch lines. 5. The results suggest that mainline deployed with a line shooter (as in deep setting) into propeller turbulence at the vessel stern slows the sink rates of baited hooks, potentially increasing their availability to seabirds. Unless mainline can be set to avoid propeller turbulence the use of line shooters for deep setting should not be promoted as an effective deterrent to seabirds. Copyright (C) 2010 John Wiley &amp; Sons, Ltd.</t>
  </si>
  <si>
    <t>[Robertson, Graham; Candy, Steven G.; Wienecke, Barbara] Australian Antarctic Div, Kingston, Tas 7050, Australia</t>
  </si>
  <si>
    <t>Robertson, G (corresponding author), Australian Antarctic Div, 203 Channel Highway, Kingston, Tas 7050, Australia.</t>
  </si>
  <si>
    <t>David and Lucile Packard Foundation (USA); AFMA</t>
  </si>
  <si>
    <t>David and Lucile Packard Foundation (USA)(The David &amp; Lucile Packard Foundation); AFMA</t>
  </si>
  <si>
    <t>We are grateful to Gary Heilman (Tasmanian Bluefin Pty Ltd) for providing the F/V Ocean Explorer for the experiment and for general support, to Michael Madden (Operations Manager, Tasmanian Bluefin Pty Ltd) for operational assistance, Sam Drummond, skipper of the Explorer and deck hands Edy Sutarto and Samsudin for their assistance during the experiment. We appreciate the at-sea assistance of Craig Bambling of the Australian Fisheries Management Authority (AFMA), and the support of Steve Hall (AFMA) during the organizational stages of the experiment. We are grateful to the David and Lucile Packard Foundation (USA) for providing funding for the research. The experiment was conducted under AFMA's scientific permit number 901224 with the approval of the Australian Antarctic Animal Ethics Committee.</t>
  </si>
  <si>
    <t>10.1002/aqc.1100</t>
  </si>
  <si>
    <t>624ME</t>
  </si>
  <si>
    <t>WOS:000279822100007</t>
  </si>
  <si>
    <t>Scott, JBT; Marshall, GJ</t>
  </si>
  <si>
    <t>Scott, Julian B. T.; Marshall, Gareth J.</t>
  </si>
  <si>
    <t>A Step-Change in the Date of Sea-Ice Breakup in Western Hudson Bay</t>
  </si>
  <si>
    <t>ARCTIC</t>
  </si>
  <si>
    <t>sea ice; breakup; Hudson Bay; climate change; polar bear</t>
  </si>
  <si>
    <t>POLAR BEARS; TIME-SERIES; TEMPERATURE; SURVIVAL; CHARTS; TRENDS; MODEL</t>
  </si>
  <si>
    <t>Over the last four decades there has been a trend to earlier summer breakup of the sea ice in western Hudson Bay, Canada. As this sea ice is critical for the polar bears that use it for hunting, the earlier breakup is believed to be a factor in the declining health of the regional polar bear population. Analysis of the change to earlier breakup using passive microwave satellite data is problematic because of currently unquantifiable systematic errors between different satellites. Analysis using Canadian sea-ice charts from 1971 to 2008 shows that the change to earlier breakup is best represented by a 12-day step. This step occurs from 1988 to 1989 with no significant trend before or after the step. Although not as great as the three-week gradual change suggested by previous studies, this change is still significant. An increase in regional southwesterly winds during the first three weeks of June and a corresponding increase in surface temperature are shown to be likely contributing factors to this earlier breakup. It remains to be seen whether these changes in atmospheric circulation might be ascribed to human actions or simply to natural climate variability.</t>
  </si>
  <si>
    <t>[Scott, Julian B. T.; Marshall, Gareth J.] British Antarctic Survey, NERC, Cambridge CB3 0ET, England</t>
  </si>
  <si>
    <t>Scott, JBT (corresponding author), British Antarctic Survey, NERC, High Cross,Madingley Rd, Cambridge CB3 0ET, England.</t>
  </si>
  <si>
    <t>jbts@bas.ac.uk</t>
  </si>
  <si>
    <t>ARCTIC INST N AMER</t>
  </si>
  <si>
    <t>CALGARY</t>
  </si>
  <si>
    <t>UNIV OF CALGARY 2500 UNIVERSITY DRIVE NW 11TH FLOOR LIBRARY TOWER, CALGARY, ALBERTA T2N 1N4, CANADA</t>
  </si>
  <si>
    <t>0004-0843</t>
  </si>
  <si>
    <t>Arctic</t>
  </si>
  <si>
    <t>618TY</t>
  </si>
  <si>
    <t>WOS:000279379800003</t>
  </si>
  <si>
    <t>Fushishita, A; Kuwabara, T; Kato, C; Yasue, S; Bieber, JW; Evenson, P; Da Silva, MR; Dal Lago, A; Schuch, NJ; Tokumaru, M; Duldig, ML; Humble, JE; Sabbah, I; Al Jassar, HK; Sharma, MM; Munakata, K</t>
  </si>
  <si>
    <t>Fushishita, A.; Kuwabara, T.; Kato, C.; Yasue, S.; Bieber, J. W.; Evenson, P.; Da Silva, M. R.; Dal Lago, A.; Schuch, N. J.; Tokumaru, M.; Duldig, M. L.; Humble, J. E.; Sabbah, I.; Al Jassar, H. K.; Sharma, M. M.; Munakata, K.</t>
  </si>
  <si>
    <t>PRECURSORS OF THE FORBUSH DECREASE ON 2006 DECEMBER 14 OBSERVED WITH THE GLOBAL MUON DETECTOR NETWORK (GMDN)</t>
  </si>
  <si>
    <t>cosmic rays; interplanetary medium; methods: data analysis; solar-terrestrial relations; Sun: coronal mass ejections (CMEs)</t>
  </si>
  <si>
    <t>COSMIC-RAYS; INTERPLANETARY; CME</t>
  </si>
  <si>
    <t>We analyze the precursor of a Forbush decrease (FD) observed with the Global Muon Detector Network on 2006 December 14. An intense geomagnetic storm is also recorded during this FD with the peak Kp index of 8+. By using the two-dimensional map of the cosmic ray intensity produced after removing the contribution from the diurnal anisotropy, we succeed in extracting clear signatures of the precursor. A striking feature of this event is that a weak loss-cone (LC) signature is first recorded more than a day prior to the storm sudden commencement (SSC) onset. This suggests that the LC precursor appeared only 7 hr after the coronal mass ejection eruption from the Sun, when the interplanetary (IP) shock driven by the interplanetary coronal mass ejection was located at 0.4 AU from the Sun. We find the precursor being successively observed with multiple detectors in the network according to the Earth's spin and confirmed that the precursor continuously exists in space. The long lead time (15.6 hr) of this precursor which is almost twice the typical value indicates that the interplanetary magnetic field (IMF) was more quiet in this event than a typical power spectrum assumed for the IMF turbulence. The amplitude (-6.45%) of the LC anisotropy at the SSC onset is more than twice the FD size, indicating that the maximum intensity depression behind the IP shock is much larger than the FD size recorded at the Earth in this event. We also find the excess intensity from the sunward IMF direction clearly observed during similar to 10 hr preceding the SSC onset. It is shown that this excess intensity is consistent with the measurement of the particles accelerated by the head-on collisions with the approaching shock. This is the first detailed observation of the precursor due to the shock reflected particles with muon detectors.</t>
  </si>
  <si>
    <t>[Fushishita, A.; Kato, C.; Yasue, S.; Munakata, K.] Shinshu Univ, Dept Phys, Nagano 3908621, Japan; [Kuwabara, T.; Bieber, J. W.; Evenson, P.] Univ Delaware, Bartol Res Inst, Newark, DE 19716 USA; [Kuwabara, T.; Bieber, J. W.; Evenson, P.] Univ Delaware, Dept Phys &amp; Astron, Newark, DE 19716 USA; [Da Silva, M. R.; Dal Lago, A.] Natl Inst Space Res INPE, BR-12227010 Sao Jose Dos Campos, SP, Brazil; [Schuch, N. J.] INPE, So Reg Space Res Ctr, BR-97110970 Santa Maria, RS, Brazil; [Tokumaru, M.] Nagoya Univ, Solar Terr Environm Lab, Nagoya, Aichi 4648601, Japan; [Duldig, M. L.] Australian Antarctic Div, Kingston, Tas 7050, Australia; [Humble, J. E.] Univ Tasmania, Sch Math &amp; Phys, Hobart, Tas 7001, Australia; [Sabbah, I.] King Abdulaziz Univ, Fac Sci, Dept Astron, Jeddah, Saudi Arabia; [Al Jassar, H. K.; Sharma, M. M.; Munakata, K.] Kuwait Univ, Dept Phys, Fac Sci, Kuwait, Kuwait</t>
  </si>
  <si>
    <t>Shinshu University; University of Delaware; University of Delaware; Instituto Nacional de Pesquisas Espaciais (INPE); Instituto Nacional de Pesquisas Espaciais (INPE); Nagoya University; Australian Antarctic Division; University of Tasmania; King Abdulaziz University; Kuwait University</t>
  </si>
  <si>
    <t>Fushishita, A (corresponding author), Shinshu Univ, Dept Phys, Nagano 3908621, Japan.</t>
  </si>
  <si>
    <t>AlJassar, Hala/Y-3030-2019; Schuch, Nelson Jorge/K-9730-2015; Dal Lago, Alisson/H-6511-2017; Rockenbach, Marlos/C-1711-2012</t>
  </si>
  <si>
    <t>Duldig, Marcus/0000-0001-7463-8267; AlJassar, Hala/0000-0002-4486-237X; Dal Lago, Alisson/0000-0002-4361-6492; Humble, John/0000-0002-4698-1671; Rockenbach, Marlos/0000-0002-9737-9429</t>
  </si>
  <si>
    <t>NASA [NNX 08AQ01G]; Ministry of Education, Culture, Sports, Science and Technology in Japan; Solar-Terrestrial Environment Laboratory, Nagoya University; Kuwait University [SP03/03]</t>
  </si>
  <si>
    <t>NASA(National Aeronautics &amp; Space Administration (NASA)); Ministry of Education, Culture, Sports, Science and Technology in Japan(Ministry of Education, Culture, Sports, Science and Technology, Japan (MEXT)); Solar-Terrestrial Environment Laboratory, Nagoya University; Kuwait University</t>
  </si>
  <si>
    <t>This work is supported in part by NASA grant NNX 08AQ01G, in part by Grants-in-Aid for Scientific Research from the Ministry of Education, Culture, Sports, Science and Technology in Japan, and by the joint research programs of the Solar-Terrestrial Environment Laboratory, Nagoya University. The observations with the Kuwait Muon Telescope are supported by the Kuwait University grant SP03/03. We thank N. F. Ness for providing ACE magnetic field data via the ACE Science Center.</t>
  </si>
  <si>
    <t>JUN 1</t>
  </si>
  <si>
    <t>10.1088/0004-637X/715/2/1239</t>
  </si>
  <si>
    <t>595VR</t>
  </si>
  <si>
    <t>Bronze, Green Submitted, Green Published</t>
  </si>
  <si>
    <t>WOS:000277642100040</t>
  </si>
  <si>
    <t>Deshpande, CG; Pant, V; Kamra, AK</t>
  </si>
  <si>
    <t>Deshpande, C. G.; Pant, Vimlesh; Kamra, A. K.</t>
  </si>
  <si>
    <t>The ultrafine particles over the southern mid-latitude Indian Ocean - wind-generated or advected down with subsidence?</t>
  </si>
  <si>
    <t>Submicron size aerosols; Marine aerosols; Number size distribution; Southern Hemisphere; Indian Ocean; Latitudinal distribution of aerosols</t>
  </si>
  <si>
    <t>MARINE BOUNDARY-LAYER; ELECTRIC-CONDUCTIVITY MEASUREMENTS; SEA-SALT EMISSIONS; SIZE DISTRIBUTION; NONPRECIPITATING CLOUDS; AEROSOL-PARTICLES; ORGANIC AEROSOL; DISTRIBUTIONS; NUCLEI; SULFUR</t>
  </si>
  <si>
    <t>Concentration and number size distribution of aerosol particles from 4.4 to 168 nm diameter are measured at ten latitudinal positions in the Indian Ocean during the Pilot Expedition to Southern Ocean (PESO) from January 23 to March 31, 2004. Total number concentration of particles is minimum in the southern tropical trade wind region and maximum in the roaring forties. Number size distributions follow the power law over the northern Indian Ocean but are monomodal with the maxima lying between 35 and 60 nm over the southern Indian Ocean. Particles of diameter as small as 5 nm are observed in concentrations of similar to 10(3) cm(-3) in the roaring forties (e.g. similar to 40-50 degrees S). Concentration of particles of &lt;50 nm diameter increases with wind speed. Thus, in addition to the ultrafine and Aitken mode particles being transported from the free troposphere to the marine boundary layer with the subsidence following cold frontal passages in the southern mid-latitudes, the wind-generated particles significantly contribute to the ultrafine aerosols down to 5 nm diameter in the roaring forties. Observations indicate that while the wind-generated particles dominate at similar to 45 degrees S, the particles associated with the subsidence dominate at similar to 38 degrees S. (C) 2010 Elsevier B.V. All rights reserved.</t>
  </si>
  <si>
    <t>[Deshpande, C. G.; Pant, Vimlesh; Kamra, A. K.] Indian Inst Trop Meteorol, Pune, Maharashtra, India</t>
  </si>
  <si>
    <t>Deshpande, CG (corresponding author), Indian Inst Trop Meteorol, Pune, Maharashtra, India.</t>
  </si>
  <si>
    <t>cgdesh@tropmet.res.in</t>
  </si>
  <si>
    <t>Pant, Vimlesh/0000-0002-9564-8605</t>
  </si>
  <si>
    <t>Authors express their gratitude to the National Centre for Antarctic and Ocean Research, Goa for participation in the PESO expedition. The meteorological data provided by the India Meteorological Department is thankfully acknowledged. The authors gratefully acknowledge the NOAA Air Resources Laboratory (ARL) for the provision of the HYSPLIT transport and dispersion model and READY website (http://www.arl.noaa.gov/ready.html) and Ocean color website of NASA (http://www.ncolor.gsfc.nasa.gov/cgi/browse.pl) for the provision of satellite map of chlorophyll-a concentrations in the Indian Ocean during February 2004 used in this publication. One of us (AKK) is thankful for financial support under INSA senior scientist program.</t>
  </si>
  <si>
    <t>10.1016/j.atmosres.2010.01.002</t>
  </si>
  <si>
    <t>607BV</t>
  </si>
  <si>
    <t>WOS:000278474200006</t>
  </si>
  <si>
    <t>Mirarefi, AY; Boutet, S; Ramakrishnan, S; Kiss, AJ; Cheng, CHC; DeVries, AL; Robinson, IK; Zukoski, CF</t>
  </si>
  <si>
    <t>Mirarefi, Amir Y.; Boutet, Sebastien; Ramakrishnan, Subramanian; Kiss, Andor J.; Cheng, Chi-Hing C.; DeVries, Arthur L.; Robinson, Ian K.; Zukoski, Charles F.</t>
  </si>
  <si>
    <t>Small-angle X-ray scattering studies of the intact eye lens: Effect of crystallin composition and concentration on microstructure</t>
  </si>
  <si>
    <t>BIOCHIMICA ET BIOPHYSICA ACTA-GENERAL SUBJECTS</t>
  </si>
  <si>
    <t>Crystallin; Lens; Liquid-liquid phase separation; Transparency; Short-range order; Small-angle X-ray scattering (SAXS); Antarctica</t>
  </si>
  <si>
    <t>COLLOID-POLYMER SUSPENSIONS; DYNAMIC LIGHT-SCATTERING; AGED ALPHA-CRYSTALLINS; PROTEINS; POLYDISPERSE; EVOLUTION; BETA; TRANSPARENCY; ASSOCIATION; VERTEBRATE</t>
  </si>
  <si>
    <t>Background: The cortex and nucleus of eye lenses are differentiated by both crystallin protein concentration and relative distribution of three major crystallins (alpha, beta, and gamma). Here, we explore the effects of composition and concentration of crystallins on the microstructure of the intact bovine lens (37 C) along with several lenses from Antarctic fish (-2 degrees C) and subtropical bigeye tuna (18 degrees C). Methods: Our studies are based on small-angle X-ray scattering (SAXS) investigations of the intact lens slices where we study the effect of crystallin composition and concentration on microstructure. Results: We are able to distinguish the nuclear and cortical regions by the development of a characteristic peak in the intensity of scattered X-rays. For both the bovine and fish lenses, the peak corresponds to that expected for dense suspensions of alpha-crystallins. Conclusions: The absence of the scattering peak in the nucleus indicates that there is no characteristic wavelength for density fluctuations in the nucleus although there is liquid-like order in the packing of the different crystallins. The loss in peak is due to increased polydispersity in the sizes of the crystallins and due to the packing of the smaller gamma-crystallins in the void space of a-crystallins. General significance: Our results provide an understanding for the low turbidity of the eye lens that is a mixture of different proteins. This will inform design of optically transparent suspensions that can be used in a number of applications (e.g., artificial liquid lenses) or to better understand human diseases pathologies such as cataract. (C) 2010 Elsevier B.V. All rights reserved.</t>
  </si>
  <si>
    <t>[Ramakrishnan, Subramanian] FAMU FSU Coll Engn, Dept Chem &amp; Biomed Engn, Tallahassee, FL 32310 USA; [Mirarefi, Amir Y.; Zukoski, Charles F.] Univ Illinois, Dept Chem &amp; Biomol Engn, Ctr Biophys &amp; Computat Biol, Urbana, IL 61801 USA; [Boutet, Sebastien; Robinson, Ian K.] Univ Illinois, Dept Phys, Urbana, IL 61801 USA; [Kiss, Andor J.] Miami Univ, Dept Zool, Lab Ecophysiol Cryobiol, Oxford, OH 45056 USA; [Cheng, Chi-Hing C.; DeVries, Arthur L.] Univ Illinois, Dept Anim Biol, Urbana, IL 61801 USA</t>
  </si>
  <si>
    <t>State University System of Florida; Florida A&amp;M University; Florida State University; University of Illinois System; University of Illinois Urbana-Champaign; University of Illinois System; University of Illinois Urbana-Champaign; University System of Ohio; Miami University; University of Illinois System; University of Illinois Urbana-Champaign</t>
  </si>
  <si>
    <t>Ramakrishnan, S (corresponding author), FAMU FSU Coll Engn, Dept Chem &amp; Biomed Engn, Tallahassee, FL 32310 USA.</t>
  </si>
  <si>
    <t>srama@eng.fsu.edu</t>
  </si>
  <si>
    <t>Kiss, Andor J/E-9863-2016; Robinson, Ian/A-4906-2010</t>
  </si>
  <si>
    <t>Kiss, Andor J/0000-0002-7508-0485; Robinson, Ian/0000-0003-4897-5221</t>
  </si>
  <si>
    <t>U.S. Department of Energy, Office of Science, Office of Basic Energy Sciences [W-31-109-ENG-38]; University of Illinois at Urbana-Champaign, Materials Research Laboratory; Oak Ridge National Laboratory; National Institute of Standards and Technology; UOP LLC; U.S. DOE; University of Illinois at Urbana-Champaign, Frederick Seitz Materials Research Laboratory [DEFG02-96ER45439]; NSF [OPP 02-31006]; ACS-PRF [47954-G9]</t>
  </si>
  <si>
    <t>U.S. Department of Energy, Office of Science, Office of Basic Energy Sciences(United States Department of Energy (DOE)); University of Illinois at Urbana-Champaign, Materials Research Laboratory; Oak Ridge National Laboratory(United States Department of Energy (DOE)); National Institute of Standards and Technology(National Institute of Standards &amp; Technology (NIST) - USA); UOP LLC; U.S. DOE(United States Department of Energy (DOE)); University of Illinois at Urbana-Champaign, Frederick Seitz Materials Research Laboratory; NSF(National Science Foundation (NSF)); ACS-PRF(American Chemical SocietyAmerican Cancer Society)</t>
  </si>
  <si>
    <t>The authors thank use of the Advanced Photon Source was supported by the U.S. Department of Energy, Office of Science, Office of Basic Energy Sciences, under contract no. W-31-109-ENG-38. The UNICAT facility at the Advanced Photon Source (APS) is supported by the University of Illinois at Urbana-Champaign, Materials Research Laboratory (U.S. DoE, the State of Illinois-IBHE-HECA and the NSF), the Oak Ridge National Laboratory (U.S. DoE under contract with Lockheed Martin Energy Research), the National Institute of Standards and Technology (U.S. Department of Commerce), and UOP LLC. This work was supported by the U.S. DOE via the University of Illinois at Urbana-Champaign, Frederick Seitz Materials Research Laboratory, grant no. DEFG02-96ER45439 and NSF grant OPP 02-31006 to A.L.D. and C.-H.C.C. S. Ramakrishnan would like to thank ACS-PRF for partial support (PRF no. 47954-G9).</t>
  </si>
  <si>
    <t>0304-4165</t>
  </si>
  <si>
    <t>1872-8006</t>
  </si>
  <si>
    <t>BBA-GEN SUBJECTS</t>
  </si>
  <si>
    <t>Biochim. Biophys. Acta-Gen. Subj.</t>
  </si>
  <si>
    <t>10.1016/j.bbagen.2010.02.004</t>
  </si>
  <si>
    <t>598PJ</t>
  </si>
  <si>
    <t>WOS:000277849900002</t>
  </si>
  <si>
    <t>Hosoi-Tanabe, S; Zhang, HY; Zhu, DC; Nagata, S; Ban, SH; Imura, S</t>
  </si>
  <si>
    <t>Hosoi-Tanabe, Shoko; Zhang, Hongyan; Zhu, Daochen; Nagata, Shinichi; Ban, Syuhei; Imura, Satoshi</t>
  </si>
  <si>
    <t>Comprehensive Analysis of an Antarctic Bacterial Community with the Adaptability of Growth at Higher Temperatures than those in Antarctica</t>
  </si>
  <si>
    <t>BIOCONTROL SCIENCE</t>
  </si>
  <si>
    <t>Antarctic lake; Bacterial community; 16S rRNA gene; Temperature-adaptability</t>
  </si>
  <si>
    <t>MICROBIAL PLANKTON; LAKE-FRYXELL; DIVERSITY; SOIL</t>
  </si>
  <si>
    <t>To investigate the adaptability to higher temperatures of Antarctic microorganisms persisting in low temperature conditions for a long time, Antarctic lake samples were incubated in several selection media at 25 degrees C and 30 degrees C. The microorganisms did not grow at 30 degrees C; however, some of them grew at 25 degrees C, indicating that the bacteria in Antarctic have the ability to grow at a wide range of temperatures. Total DNA was extracted from these microorganisms and amplified using the bacteria-universal primers. The amplified fragments were cloned, and randomly selected 48 clones were sequenced. The sequenced clones showed high similarity to the alpha-subdivision of the Proteobacteria with specific affinity to the genus Agrobacterium, Caulobacter and Brevundimonas, the beta-subdivision of Proteobacteria with specific affinity to the genus Cuprlavidus, and Bacillus of the phylum Firmicutes. These results showed the presence of universal genera, suggesting that the bacteria in the Antarctic lake were not specific to this environment.</t>
  </si>
  <si>
    <t>[Hosoi-Tanabe, Shoko; Zhang, Hongyan; Zhu, Daochen; Nagata, Shinichi] Kobe Univ, Res Ctr Inland Seas, Higashinada Ku, Kobe, Hyogo 6580022, Japan; [Ban, Syuhei] Univ Shiga Prefecture, Hikone City, Shiga 5228533, Japan; [Imura, Satoshi] Natl Inst Polar Res, Tokyo 1908518, Japan</t>
  </si>
  <si>
    <t>Kobe University; University Shiga Prefecture; Research Organization of Information &amp; Systems (ROIS); National Institute of Polar Research (NIPR) - Japan</t>
  </si>
  <si>
    <t>Hosoi-Tanabe, S (corresponding author), Kobe Univ, Res Ctr Inland Seas, Higashinada Ku, 5-1-1 Fukaeminami, Kobe, Hyogo 6580022, Japan.</t>
  </si>
  <si>
    <t>syonatsu@maritime.kobe-u.ac.jp</t>
  </si>
  <si>
    <t>Zhu, Daochen/HPG-3968-2023</t>
  </si>
  <si>
    <t>Zhu, Daochen/0000-0001-9646-9556; Ban, Syuhei/0000-0002-7168-5583</t>
  </si>
  <si>
    <t>SOC ANTIBACTERIAL &amp; ANTIFUNGAL AGENTS, JAPAN</t>
  </si>
  <si>
    <t>OSAKA</t>
  </si>
  <si>
    <t>NISHI-HONMACHI 1-13-38, SHIN-KOSAN BLDG, NISHI-KU, 7 FL, OSAKA, 550-0005, JAPAN</t>
  </si>
  <si>
    <t>1342-4815</t>
  </si>
  <si>
    <t>1884-0205</t>
  </si>
  <si>
    <t>BIOCONTROL SCI</t>
  </si>
  <si>
    <t>Biocontrol Sci.</t>
  </si>
  <si>
    <t>10.4265/bio.15.57</t>
  </si>
  <si>
    <t>Biology; Biotechnology &amp; Applied Microbiology</t>
  </si>
  <si>
    <t>Life Sciences &amp; Biomedicine - Other Topics; Biotechnology &amp; Applied Microbiology</t>
  </si>
  <si>
    <t>616KC</t>
  </si>
  <si>
    <t>WOS:000279207200004</t>
  </si>
  <si>
    <t>Lodolo, E; Tassone, A</t>
  </si>
  <si>
    <t>Lodolo, E.; Tassone, A.</t>
  </si>
  <si>
    <t>Gateways and climate: the Drake Passage opening</t>
  </si>
  <si>
    <t>BOLLETTINO DI GEOFISICA TEORICA ED APPLICATA</t>
  </si>
  <si>
    <t>27th Annual Conference of the Italian-Group-for-Solid-Earth-Geophysics</t>
  </si>
  <si>
    <t>OCT 06-08, 2008</t>
  </si>
  <si>
    <t>Trieste, ITALY</t>
  </si>
  <si>
    <t>SCOTIA; TECTONICS; OCEAN; GLACIATION; EVOLUTION</t>
  </si>
  <si>
    <t>The Oligocene opening of the Drake Passage between the southern tip of South America and the Antarctic Peninsula, and the subsequent evolution of the Scotia plate, have definitively separated Antarctica from the other continental masses, and have created conditions for the development of the Antarctic Circumpolar Current. This annular water flow has had a profound influence on the global climate system because it has allowed the free transfer of water masses between the Pacific and Atlantic Oceans at mid to high southerly latitudes. The comparative seismic analysis of the passive margins of the western sector of the Scotia plate, represented by the Tierra del Fuego continental margin to the north, and by the Terror Rise to the south, has shown significant morphological and structural similarities between these two margins, supporting the interpretation that they were conjugate before the Drake Passage opened. Moreover, the identification of the oldest magnetic anomalies present at the base of the two margin pairs, corresponding to about 32 million years ago, has allowed the reconstruction, through time, of the relative positions of the two continental margins, and to constrain the events that occurred immediately after the break-up and opening of the Drake Passage. These timings correlate with events seen in the oxygen isotope record from benthic foraminera, and support the view that the Drake Passage opening was the trigger for abrupt Eocene-Oligocene climate deterioration and the growth of extensive ice sheets on the Antarctic continent.</t>
  </si>
  <si>
    <t>[Lodolo, E.] Ist Nazl Oceanog &amp; Geofis Sperimentale, I-34010 Trieste, Italy; [Tassone, A.] Univ Buenos Aires, CONICET, Inst Geofis D Valencio, RA-1053 Buenos Aires, DF, Argentina</t>
  </si>
  <si>
    <t>Istituto Nazionale di Oceanografia e di Geofisica Sperimentale; University of Buenos Aires; Consejo Nacional de Investigaciones Cientificas y Tecnicas (CONICET)</t>
  </si>
  <si>
    <t>Lodolo, E (corresponding author), Ist Nazl Oceanog &amp; Geofis Sperimentale, Borgo Grotta Gigante 42-C, I-34010 Trieste, Italy.</t>
  </si>
  <si>
    <t>elodolo@ogs.trieste.it</t>
  </si>
  <si>
    <t>LODOLO, Emanuele/0000-0002-4706-2095</t>
  </si>
  <si>
    <t>IST NAZIONALE DI OCEANOGRAFIA E DI GEOFISICA</t>
  </si>
  <si>
    <t>SGONICO</t>
  </si>
  <si>
    <t>BORGO GROTTA GIGANTE, 42-C, SGONICO, TRIESTE 34010, ITALY</t>
  </si>
  <si>
    <t>0006-6729</t>
  </si>
  <si>
    <t>2239-5695</t>
  </si>
  <si>
    <t>B GEOFIS TEOR APPL</t>
  </si>
  <si>
    <t>Boll. Geofis. Teor. Appl.</t>
  </si>
  <si>
    <t>JUN-SEP</t>
  </si>
  <si>
    <t>623TJ</t>
  </si>
  <si>
    <t>WOS:000279766900002</t>
  </si>
  <si>
    <t>Núñez-Olivera, E; Otero, S; Tomás, R; Fabón, G; Martínez-Abaigar, J</t>
  </si>
  <si>
    <t>Nunez-Olivera, Encarnacion; Otero, Saul; Tomas, Rafael; Fabon, Gabriel; Martinez-Abaigar, Javier</t>
  </si>
  <si>
    <t>Cyclic environmental factors only partially explain the seasonal variability of photoprotection and physiology in two mosses from an unforested headwater stream</t>
  </si>
  <si>
    <t>BRYOLOGIST</t>
  </si>
  <si>
    <t>Aquatic bryophytes; kaempferol derivatives; mountain streams; seasonal changes; ultraviolet radiation</t>
  </si>
  <si>
    <t>UV-B RADIATION; EXSERTIFOLIA SUBSP CORDIFOLIA; UNCINATA HEDW. LOESKE; AQUATIC LIVERWORT; ULTRAVIOLET-RADIATION; ABSORBING COMPOUNDS; ANTARCTIC MOSSES; OZONE DEPLETION; DNA-DAMAGE; BRYOPHYTES</t>
  </si>
  <si>
    <t>We studied the relationships between environmental variables and the physiology of two (semi-)aquatic mosses (Bryum pseudotriquetrum and Fontinalis antipyretica) in an unforested headwater stream over a three year period. Neither environmental or physiological variables showed significant interannual variations. Most environmental variables (water temperature, stratospheric ozone, and photosynthetic, UV-A and UV-B radiation) showed distinct seasonal variations, but only a few physiological ones did. In both species, photoprotection variables (the activity of the xanthophyll cycle and the bulk UV absorbance of the methanol-extractable UV-absorbing compounds, MEUVAC) varied more seasonally than variables related to physiological activity, such as the sclerophylly index and chlorophyll fluorescence parameters (F-v/F-m and Phi(PSII)). Changes in physiological activity would be attenuated by the buffering capacity of water with respect to the influence of environmental factors, and dynamic variables like F-v/F-m and Phi(PSII) would be little determined by cyclic environmental factors. In B. pseudotriquetrum, both MEUVAC and kaempferol 3,7-O-diglycoside (a potentially UV-protective flavonoid) were positively associated with radiation levels, whereas in F. antipyretica photoprotection mechanisms were not correlated with any environmental variable. In addition, MEUVAC was 3-4 fold higher in B. pseudotriquetrum than in F. antipyretica. Thus, different photoprotection mechanisms, with a different environmental regulation, can be suggested for these two species. DNA damage was not found in any sample, probably because both species displayed efficient DNA repair mechanisms.</t>
  </si>
  <si>
    <t>[Nunez-Olivera, Encarnacion; Otero, Saul; Tomas, Rafael; Fabon, Gabriel; Martinez-Abaigar, Javier] Univ La Rioja, Logrono 26006, La Rioja, Spain</t>
  </si>
  <si>
    <t>Universidad de La Rioja</t>
  </si>
  <si>
    <t>Núñez-Olivera, E (corresponding author), Univ La Rioja, Avda Madre de Dios 51, Logrono 26006, La Rioja, Spain.</t>
  </si>
  <si>
    <t>encarnacion.nunez@unirioja.es</t>
  </si>
  <si>
    <t>Tomas-Las-Heras, Rafael/M-2754-2018; Martinez-Abaigar, Javier/L-7000-2014; Nunez-Olivera, Encarnacion/L-7164-2014</t>
  </si>
  <si>
    <t>Tomas-Las-Heras, Rafael/0000-0002-8496-7280; Martinez-Abaigar, Javier/0000-0002-9762-9862; Nunez-Olivera, Encarnacion/0000-0002-7221-3852</t>
  </si>
  <si>
    <t>Ministerio de Educacion y Ciencia of Spain, the Ministerio de Ciencia e Innovacion; Fondo Europeo de Desarrollo Regional, FEDER [CGL2005-02663, CGL2008-04450]; Gobierno de La Rioja, Spain</t>
  </si>
  <si>
    <t>Ministerio de Educacion y Ciencia of Spain, the Ministerio de Ciencia e Innovacion(Spanish Government); Fondo Europeo de Desarrollo Regional, FEDER(European Union (EU)Spanish Government); Gobierno de La Rioja, Spain</t>
  </si>
  <si>
    <t>We are grateful to the Ministerio de Educacion y Ciencia of Spain, the Ministerio de Ciencia e Innovacion, and the Fondo Europeo de Desarrollo Regional, FEDER (Projects CGL2005-02663 and CGL2008-04450) for their financial support. Said Otero and Gabriel Fabon benefited from the Project Colabora 2008/04 (Gobierno de La Rioja, Spain). Prof. D.-P. Hader (Erlangen, Germany) and Prof. Osamu Nikaido (Kanazawa University, Japan) kindly provided materials for the analysis of DNA damage. Valdezcaray S.A. and Gonzalo Morras are gratefully acknowledged by their help in the maintenance of the sensors at Valdezcaray. The Gobierno de La Rioja authorized our work in the Natural Park of Sierra Cebollera.</t>
  </si>
  <si>
    <t>AMER BRYOLOGICAL LICHENOLOGICAL SOC INC</t>
  </si>
  <si>
    <t>OMAHA</t>
  </si>
  <si>
    <t>C/O DR ROBERT S EGAN, SEC-TRES, ABLS, UNIV NEBRASKA OMAHA, DEPT BIOLOGY, OMAHA, NE 68182-0040 USA</t>
  </si>
  <si>
    <t>0007-2745</t>
  </si>
  <si>
    <t>1938-4378</t>
  </si>
  <si>
    <t>Bryologist</t>
  </si>
  <si>
    <t>SUM</t>
  </si>
  <si>
    <t>10.1639/0007-2745-113.2.277</t>
  </si>
  <si>
    <t>625CK</t>
  </si>
  <si>
    <t>WOS:000279869600008</t>
  </si>
  <si>
    <t>Stickler, A; Grant, AN; Ewen, T; Ross, TF; Vose, RS; Comeaux, J; Bessemoulin, P; Jylhä, K; Adam, WK; Jeannet, P; Nagumy, A; Sterin, AM; Allan, R; Compo, GP; Griesser, T; Brönnimann, S</t>
  </si>
  <si>
    <t>Stickler, A.; Grant, A. N.; Ewen, T.; Ross, T. F.; Vose, R. S.; Comeaux, J.; Bessemoulin, P.; Jylhae, K.; Adam, W. K.; Jeannet, P.; Nagumy, A.; Sterin, A. M.; Allan, R.; Compo, G. P.; Griesser, T.; Broennimann, S.</t>
  </si>
  <si>
    <t>THE COMPREHENSIVE HISTORICAL UPPER-AIR NETWORK</t>
  </si>
  <si>
    <t>BULLETIN OF THE AMERICAN METEOROLOGICAL SOCIETY</t>
  </si>
  <si>
    <t>DUST BOWL DROUGHT; NORTH-AMERICA; DATA SET; TEMPERATURE; REANALYSIS; VARIABILITY; HEMISPHERE; PRESSURE; CLIMATE; PERIOD</t>
  </si>
  <si>
    <t>To better understand variability in weather and climate, it is vital to address past atmospheric circulation. This need requires meteorological information not just from the surface but also at upper levels. Current global upper-level datasets only reach back to the 1940s or 1950s and do not cover some important periods in the first half of the twentieth century. Extending the observational record is therefore considered important in order to analyze climate variability in the past and verify global climate models used to predict future climate change. Although earlier upper-air data from platforms such as radio-sondes, aircraft, pilot balloons, registering balloons, and kites are available from various sources, no systematic compilation and quality assessment of upper-level data prior to the International Geophysical Year (1957/58) has ever been performed. Here we present the Comprehensive Historical Upper-Air Network (CHUAN). It is a consistent global historical upper-air dataset that has been derived from heterogeneous data available from various sources as well as from newly digitized data. This paper describes the CHUAN dataset, the metadata, the quality control procedures, and the relationship to existing datasets. Some examples are given of its usefulness for analyzing weather and climate during the first half of the twentieth century. The CHUAN dataset comprises 3987 station records worldwide or about 16.4 million profiles (of which 12.6 million are before 1958 and 5.3 million, primarily from pilot balloons, are before 1948). A monthly mean version can be downloaded from the World Wide Web (www.historicalupperair.org).</t>
  </si>
  <si>
    <t>[Stickler, A.] ETH, Inst Atmospher &amp; Climate Sci, CHN, CH-8092 Zurich, Switzerland; [Ross, T. F.; Vose, R. S.] NOAA, Natl Climat Data Ctr, Asheville, NC USA; [Comeaux, J.] Natl Ctr Atmospher Res, Boulder, CO 80307 USA; [Bessemoulin, P.] Mateo France, Toulouse, France; [Jylhae, K.] Finnish Meteorol Inst, FIN-00101 Helsinki, Finland; [Adam, W. K.] Meteorol Observ, Deutsch Wetterdienst, Lindenberg, Germany; [Jeannet, P.] MeteoSwiss Aerol Stn, Payerne, Switzerland; [Nagumy, A.] Arctic &amp; Antarctic Res Inst, St Petersburg 199226, Russia; [Sterin, A. M.] RIHMI WDC, Obninsk, Russia; [Allan, R.] Met Off Hadley Ctr, Exeter, Devon, England; [Compo, G. P.] Univ Colorado, CIRES Climate Diagnost Ctr, Boulder, CO 80309 USA; [Compo, G. P.] NOAA, Earth Syst Res Lab, Div Phys Sci, Boulder, CO USA</t>
  </si>
  <si>
    <t>Swiss Federal Institutes of Technology Domain; ETH Zurich; National Center Atmospheric Research (NCAR) - USA; National Oceanic Atmospheric Admin (NOAA) - USA; National Center Atmospheric Research (NCAR) - USA; Meteo France; Finnish Meteorological Institute; Deutscher Wetterdienst; Arctic &amp; Antarctic Research Institute; Met Office - UK; Hadley Centre; University of Colorado System; University of Colorado Boulder; National Oceanic Atmospheric Admin (NOAA) - USA</t>
  </si>
  <si>
    <t>Stickler, A (corresponding author), ETH, Inst Atmospher &amp; Climate Sci, CHN, Univ Str 16, CH-8092 Zurich, Switzerland.</t>
  </si>
  <si>
    <t>alexander.stickler@env.ethz.ch</t>
  </si>
  <si>
    <t>Ewen, Tracy/AAG-7948-2019; COMPO, GILBERT P./X-3024-2019; Vose, Russell/GSI-5687-2022; Brönnimann, Stefan/A-5737-2008; Grant, Andrea/A-1693-2008</t>
  </si>
  <si>
    <t>Ewen, Tracy/0000-0002-7751-5235; COMPO, GILBERT P./0000-0001-5199-9633; Bronnimann, Stefan/0000-0001-9502-7991; Grant, Andrea/0000-0002-1553-596X</t>
  </si>
  <si>
    <t>Swiss National Science Foundation [PP002-102731]; NOAA Climate Program Office; Queensland Climate Change Centre of Excellence (QCCCE), Australia; DECC; Defra; MoD Integrated Climate Programme (ICP) [UK-GA01101, CBC/2B/0417_Annex C5]</t>
  </si>
  <si>
    <t>Swiss National Science Foundation(Swiss National Science Foundation (SNSF)); NOAA Climate Program Office(National Oceanic Atmospheric Admin (NOAA) - USA); Queensland Climate Change Centre of Excellence (QCCCE), Australia; DECC; Defra(Department for Environment, Food &amp; Rural Affairs (DEFRA)); MoD Integrated Climate Programme (ICP)</t>
  </si>
  <si>
    <t>AS, ANG, TE, TG, and SB were funded by the Swiss National Science Foundation (PP002-102731). GPC was supported by the NOAA Climate Program Office. ERA-40 data were downloaded from the ECMWF server. NCEP-NCAR 50-year reanalysis data were downloaded from the NCAR website. Thanks go to SMHI and NMI for providing large parts of the Scandinavian radiosonde data. We would like to acknowledge COST action ES0601. Rob Allan is supported with funds from the Queensland Climate Change Centre of Excellence (QCCCE) in Australia, together with the joint DECC, Defra, and MoD Integrated Climate Programme (ICP) in the UK-GA01101, CBC/2B/0417_Annex C5.</t>
  </si>
  <si>
    <t>0003-0007</t>
  </si>
  <si>
    <t>1520-0477</t>
  </si>
  <si>
    <t>B AM METEOROL SOC</t>
  </si>
  <si>
    <t>Bull. Amer. Meteorol. Soc.</t>
  </si>
  <si>
    <t>10.1175/2009BAMS2852.1</t>
  </si>
  <si>
    <t>628HT</t>
  </si>
  <si>
    <t>WOS:000280107300003</t>
  </si>
  <si>
    <t>Chang, WJ; Dyen, M; Spagnuolo, L; Simon, P; Whyte, L; Ghoshal, S</t>
  </si>
  <si>
    <t>Chang, Wonjae; Dyen, Michael; Spagnuolo, Lou; Simon, Philippe; Whyte, Lyle; Ghoshal, Subhasis</t>
  </si>
  <si>
    <t>Biodegradation of semi- and non-volatile petroleum hydrocarbons in aged, contaminated soils from a sub-Arctic site: Laboratory pilot-scale experiments at site temperatures</t>
  </si>
  <si>
    <t>CHEMOSPHERE</t>
  </si>
  <si>
    <t>Total petroleum hydrocarbons; Hydrocarbon fractions; Biostimulation; Residual hydrocarbons; Bioavailability; Aggregate size</t>
  </si>
  <si>
    <t>DIESEL FUEL; ANTARCTIC SOILS; ALPINE SOILS; BIOREMEDIATION; OIL; REMEDIATION; BIOAUGMENTATION; BIOSTIMULATION; ENHANCEMENT; DEGRADATION</t>
  </si>
  <si>
    <t>This study evaluates the feasibility of landfarming biotreatment of petroleum-contaminated soils obtained from a sub-Arctic site at Resolution Island, Nunavut, Canada, and evaluates the changes in composition of the semi- and non-volatile petroleum hydrocarbon fractions during the biotreatment. Pilot-scale landfarming experiments were conducted in a laboratory in soil tanks under temperature profiles representative of the 3-year site air temperatures in July and August where temperature varied uniformly between 1 degrees C and 10 degrees C over 10 d. The site soils were acidic and N-deficient, but contained indigenous populations of hydrocarbon-degrading microorganisms. Biostimulation with nitrogen and phosphorus nutrient amendments to achieve C-TPH:N:P molar ratio of 100:9:1, and CaCO3 amendment at 2000 mg Kg(-1) for maintaining neutral pH, and periodic 10-day tilling, reduced total petroleum hydrocarbon (TPH) concentrations by up to 64% over a 60-day period. The rate and extent of semi-volatile (F2: &gt;C10-C16) and non-volatile (F3: &gt;C16-C34) petroleum hydrocarbon fractions in the landfarms containing higher initial TPH levels (similar to 2000 mg Kg(-1)) and lower TPH levels (similar to 1000 mg Kg(-1)) were compared. Significant biodegradation of the F2 and F3 fractions occurred in both of those systems. First-order biodegradation rate constants of up to 0.019 +/- 0.001 d(-1) were determined for the F3 hydrocarbon fraction and were similar to the F2 fraction biodegradation rate constants of up to 0.024 +/- 0.005 d(-1). Biodegradation profiles of the C14, C16 and C18 alkanes revealed that at TPH concentrations above 1000 mg Kg(-1) these compounds are degraded concurrently, whereas below 1000 mg Kg(-1) the higher-molecular weight alkanes are preferentially degraded. After the 60-day treatment period, the TPH concentration was approximately 500 mg Kg(-1), and the residual TPH mass was largely associated with particles and aggregated particles with diameters of 0.6-2 mm, rather than the larger or finer particles and aggregates. (C) 2010 Elsevier Ltd. All rights reserved.</t>
  </si>
  <si>
    <t>[Chang, Wonjae; Ghoshal, Subhasis] McGill Univ, Dept Civil Engn, Montreal, PQ H3A 2K6, Canada; [Dyen, Michael; Whyte, Lyle] McGill Univ, Dept Nat Resources Sci, Montreal, PQ H3A 2K6, Canada; [Spagnuolo, Lou] Indian &amp; No Affairs Canada, Ottawa, ON, Canada; [Simon, Philippe] Qikiqtaaluk Environm, Montreal, PQ, Canada</t>
  </si>
  <si>
    <t>McGill University; McGill University</t>
  </si>
  <si>
    <t>Ghoshal, S (corresponding author), McGill Univ, Dept Civil Engn, 817 Sherbrooke St W, Montreal, PQ H3A 2K6, Canada.</t>
  </si>
  <si>
    <t>subhasis.ghoshal@mcgill.ca</t>
  </si>
  <si>
    <t>; Ghoshal, Subhasis/V-2848-2017</t>
  </si>
  <si>
    <t>Chang, Wonjae/0000-0003-2573-672X; Ghoshal, Subhasis/0000-0001-9968-6150</t>
  </si>
  <si>
    <t>Indian and Northern Affairs Canada; Qikiqtaaluk Environmental Inc.</t>
  </si>
  <si>
    <t>Financial support from Indian and Northern Affairs Canada and Qikiqtaaluk Environmental Inc., is gratefully acknowledged. Sara Varvarigos assisted with the pilot-scale experiments.</t>
  </si>
  <si>
    <t>0045-6535</t>
  </si>
  <si>
    <t>1879-1298</t>
  </si>
  <si>
    <t>Chemosphere</t>
  </si>
  <si>
    <t>10.1016/j.chemosphere.2010.03.055</t>
  </si>
  <si>
    <t>615KC</t>
  </si>
  <si>
    <t>WOS:000279132900017</t>
  </si>
  <si>
    <t>Colman, RA; Power, SB</t>
  </si>
  <si>
    <t>Colman, Robert A.; Power, Scott B.</t>
  </si>
  <si>
    <t>Atmospheric radiative feedbacks associated with transient climate change and climate variability</t>
  </si>
  <si>
    <t>Climate change; Climate feedbacks; Climate variability</t>
  </si>
  <si>
    <t>WATER-VAPOR FEEDBACK; NINO SOUTHERN-OSCILLATION; SENSITIVITY; OCEAN; PREDICTABILITY; TEMPERATURE; TROPOSPHERE; SIMULATION</t>
  </si>
  <si>
    <t>This study examines in detail the 'atmospheric' radiative feedbacks operating in a coupled General Circulation Model (GCM). These feedbacks (defined as the change in top of atmosphere radiation per degree of global surface temperature change) are due to responses in water vapour, lapse rate, clouds and surface albedo. Two types of radiative feedback in particular are considered: those arising from century scale 'transient' warming (from a 1% per annum compounded CO2 increase), and those operating under the model's own unforced 'natural' variability. The time evolution of the transient (or 'secular') feedbacks is first examined. It is found that both the global strength and the latitudinal distributions of these feedbacks are established within the first two or three decades of warming, and thereafter change relatively little out to 100 years. They also closely approximate those found under equilibrium warming from a 'mixed layer' ocean version of the same model forced by a doubling of CO2. These secular feedbacks are then compared with those operating under unforced (interannual) variability. For water vapour, the interannual feedback is only around two-thirds the strength of the secular feedback. The pattern reveals widespread regions of negative feedback in the interannual case, in turn resulting from patterns of circulation change and regions of decreasing as well as increasing surface temperature. Considering the vertical structure of the two, it is found that although positive net mid to upper tropospheric contributions dominate both, they are weaker (and occur lower) under interannual variability than under secular change and are more narrowly confined to the tropics. Lapse rate feedback from variability shows weak negative feedback over low latitudes combined with strong positive feedback in mid-to-high latitudes resulting in no net global feedback-in contrast to the dominant negative low to mid-latitude response seen under secular climate change. Surface albedo feedback is, however, slightly stronger under interannual variability-partly due to regions of extremely weak, or even negative, feedback over Antarctic sea ice in the transient experiment. Both long and shortwave global cloud feedbacks are essentially zero on interannual timescales, with the shortwave term also being very weak under climate change, although cloud fraction and optical property components show correlation with global temperature both under interannual variability and transient climate change. The results of this modelling study, although for a single model only, suggest that the analogues provided by interannual variability may provide some useful pointers to some aspects of climate change feedback strength, particularly for water vapour and surface albedo, but that structural differences will need to be heeded in such an analysis.</t>
  </si>
  <si>
    <t>[Colman, Robert A.; Power, Scott B.] Bur Meteorol, Ctr Australian Weather &amp; Climate Res, Melbourne, Vic 3001, Australia</t>
  </si>
  <si>
    <t>Bureau of Meteorology - Australia; Commonwealth Scientific &amp; Industrial Research Organisation (CSIRO)</t>
  </si>
  <si>
    <t>Colman, RA (corresponding author), Bur Meteorol, Ctr Australian Weather &amp; Climate Res, GPO Box 1289, Melbourne, Vic 3001, Australia.</t>
  </si>
  <si>
    <t>r.colman@bom.gov.au</t>
  </si>
  <si>
    <t>Power, Scott Brendan/AAF-3370-2019</t>
  </si>
  <si>
    <t>Power, Scott Brendan/0000-0002-9596-4368</t>
  </si>
  <si>
    <t>Australian Climate Change Science Programme</t>
  </si>
  <si>
    <t>This work was partially supported by the Australian Climate Change Science Programme, administered by the Department of Climate Change. The authors wish to thank Bertrand Timbal, Ming Cai and an anonymous reviewer for their detailed and constructive comments.</t>
  </si>
  <si>
    <t>10.1007/s00382-009-0541-8</t>
  </si>
  <si>
    <t>601TU</t>
  </si>
  <si>
    <t>WOS:000278088400001</t>
  </si>
  <si>
    <t>Sandblom, E; Olsson, C; Davison, W; Axelsson, M</t>
  </si>
  <si>
    <t>Sandblom, Erik; Olsson, Catharina; Davison, William; Axelsson, Michael</t>
  </si>
  <si>
    <t>Nervous and humoral catecholaminergic control of blood pressure and cardiac performance in the Antarctic fish Pagothenia borchgrevinki</t>
  </si>
  <si>
    <t>Adrenergic nerves; Antarctic fish; Blood pressure; Cardiac output; Circulating catecholamines; Immunohistochemistry</t>
  </si>
  <si>
    <t>GADUS-MORHUA; CARDIOVASCULAR-RESPONSES; BULBUS ARTERIOSUS; HEART-RATE; STRESS-RESPONSE; TELEOST FISH; ATLANTIC COD; INNERVATION; EXERCISE; TEMPERATURES</t>
  </si>
  <si>
    <t>The role of circulating and neural catecholamines for cardiovascular control in the Antarctic fish Pagothenia borchgrevinki was studied in vivo using pharmacological tools and with immunohistochemistry on isolated tissues. Adrenergic nerve blockade with bretylium decreased dorsal aortic pressure (P(da)) and systemic vascular resistance (R(sys)), while cardiac output (Q) did not change. The blockade of alpha-adrenoceptors with phentolamine reduced P(da) and R(sys) further, revealing that vasomotor tone was influenced by circulating catecholamines in bretylium treated fish. The physiological evidence for an adrenergic nervous control of the vasculature was corroborated by the presence of tyrosine hydroxylase (TH)-immunoreactive fibres associated with blood vessels in spleen, gonads and gastrointestinal tract. TH-immunoreactive fibres were not observed in the atrium and ventricle, but a dense population of TH-immunoreactive fibres was apparent in the bulbus arteriosus. The present study suggests that an adrenergic nervous mechanism is responsible for maintaining vasomotor tone in P. borchgrevinki. While experiments failed to demonstrate a tonic adrenergic nervous influence affecting cardiac performance, an adrenergic nervous control of bulbar compliance may be essential for optimizing gill blood flow dynamics in this species, which has a high relative stroke volume and displays profound changes in stroke volume in vivo. (C) 2010 Elsevier Inc. All rights reserved.</t>
  </si>
  <si>
    <t>[Sandblom, Erik; Olsson, Catharina; Axelsson, Michael] Univ Gothenburg, Dept Zool, S-40530 Gothenburg, Sweden; [Davison, William] Univ Canterbury, Sch Biol Sci, Christchurch 1, New Zealand</t>
  </si>
  <si>
    <t>University of Gothenburg; University of Canterbury</t>
  </si>
  <si>
    <t>Sandblom, E (corresponding author), Univ Gothenburg, Dept Zool, Box 463, S-40530 Gothenburg, Sweden.</t>
  </si>
  <si>
    <t>erik.sandblom@zool.gu.se</t>
  </si>
  <si>
    <t>Axelsson, Michael/D-1412-2009</t>
  </si>
  <si>
    <t>Axelsson, Michael/0000-0002-7839-3233</t>
  </si>
  <si>
    <t>Swedish Research Council</t>
  </si>
  <si>
    <t>Swedish Research Council(Swedish Research Council)</t>
  </si>
  <si>
    <t>The professional technical assistance from Christina Hagstrom with the immunohistochemistry work is greatly appreciated. We thank Antarctica New Zealand and the base staff of Scott Base for logistic support and the ability to visit and work in Antarctica. E.S. and M.A. were financially supported by travel grants and a general research grant from the Swedish Research Council.</t>
  </si>
  <si>
    <t>10.1016/j.cbpa.2010.02.004</t>
  </si>
  <si>
    <t>597HW</t>
  </si>
  <si>
    <t>WOS:000277748500010</t>
  </si>
  <si>
    <t>Vanella, FA; Boy, CC; Lattuca, ME; Calvo, J</t>
  </si>
  <si>
    <t>Alberto Vanella, Fabian; Boy, Claudia C.; Eugenia Lattuca, Maria; Calvo, Jorge</t>
  </si>
  <si>
    <t>Temperature influence on post-prandial metabolic rate of sub-Antarctic teleost fish</t>
  </si>
  <si>
    <t>Bioenergetics; Notothenioids; Specific dynamic action; SDA; Sub-Antarctic; Teleost</t>
  </si>
  <si>
    <t>DYNAMIC ACTION; SILURUS-MERIDIONALIS; SOUTHERN CATFISH; BODY-MASS; SIZE</t>
  </si>
  <si>
    <t>The influence of temperature on the aerobic metabolism and the energetic cost of food intake (Specific Dynamic Action; SDA) have been investigated in four species of Sub-Antarctic teleosts. The species were the notothenioids Paranotothenia magellanica, Patagonotothen sima and Harpagifer bispinis and the zoarcid Austrolycus depressiceps. Individuals were captured in the vicinity of Ushuaia Bay. Experimental temperatures were 10, 4 and 2 degrees C, which correspond to summer, winter and extreme winter respectively. Individual respirometry chambers and calorimetric techniques were used. Different food items were provided: crustaceans (isopods and amphipods) and Argentinean hake muscle. Interspecific analysis was done on species fed with isopods. A rapid increase in oxygen consumption was registered after meals, indicating a typical SDA response. The Duration of the SDA was longer at low temperatures. The extra energy spent during the process itself, and when expressed as a percentage of consumed food energy, decreased with decreasing temperature. The SDA Coefficient was higher for H. bispinis that were fed with isopods. We suggest that decreases in temperature diminish the metabolic cost and extend SDA. Energy-saving mechanisms could be an evolutionary advantage to minimize the energetic cost of living at low sub-Antarctic temperatures. A general model of exponential decay is suggested for the duration of SDA and Temperature, based on the present study and compiled from literature data. (C) 2010 Elsevier Inc. All rights reserved.</t>
  </si>
  <si>
    <t>[Alberto Vanella, Fabian; Boy, Claudia C.; Eugenia Lattuca, Maria; Calvo, Jorge] Consejo Nacl Invest Cient &amp; Tecn, CADIC, Ushuaia, Tierra Del Fueg, Argentina</t>
  </si>
  <si>
    <t>Vanella, FA (corresponding author), Consejo Nacl Invest Cient &amp; Tecn, CADIC, Bernardo Houssay 200, Ushuaia, Tierra Del Fueg, Argentina.</t>
  </si>
  <si>
    <t>fvanella@gmail.com</t>
  </si>
  <si>
    <t>Consejo Nacional de Investigaciones Cientificas y Tecnicas [PIP 6187]; Agencia Nacional de Promocion Cientifica y Tecnologica [PICT 38152]</t>
  </si>
  <si>
    <t>Consejo Nacional de Investigaciones Cientificas y Tecnicas(Consejo Nacional de Investigaciones Cientificas y Tecnicas (CONICET)); Agencia Nacional de Promocion Cientifica y Tecnologica(ANPCyTSpanish Government)</t>
  </si>
  <si>
    <t>This study was supported by a grant from the Consejo Nacional de Investigaciones Cientificas y Tecnicas (PIP 6187) and a grant from the Agencia Nacional de Promocion Cientifica y Tecnologica (PICT 38152). Authors are very grateful to Daniel Aureliano and Marcelo Gutierrez for their technical collaboration.</t>
  </si>
  <si>
    <t>10.1016/j.cbpa.2010.02.006</t>
  </si>
  <si>
    <t>WOS:000277748500012</t>
  </si>
  <si>
    <t>Pastene, LA; Acevedo, J; Goto, M; Zerbini, AN; Acuña, P; Aguayo-Lobo, A</t>
  </si>
  <si>
    <t>Pastene, Luis A.; Acevedo, Jorge; Goto, Mutsuo; Zerbini, Alexandre N.; Acuna, Paola; Aguayo-Lobo, Anelio</t>
  </si>
  <si>
    <t>Population structure and possible migratory links of common minke whales, Balaenoptera acutorostrata, in the Southern Hemisphere</t>
  </si>
  <si>
    <t>Balaenoptera acutorostrata; Southern Hemisphere; mtDNA; Genetic diversity; Phylogeny</t>
  </si>
  <si>
    <t>NORTH-ATLANTIC; MEDITERRANEAN SEA; GENETIC-STRUCTURE; MITOCHONDRIAL; SEQUENCES</t>
  </si>
  <si>
    <t>Mitochondrial DNA control region sequences were analyzed to investigate population structure and possible migratory links of common minke whales (Balaenoptera acutorostrata) in two ocean basins: western South Atlantic (WSA) and western South Pacific (WSP). The results of several different phylogenetic estimations consistently grouped all haplotypes but one (n = 1) from these two ocean basins into two separate clades. South and North Atlantic haplotypes were more closely related to each other than either was to haplotypes from the WSP. The interpopulation genetic distance between WSA and WSP whales was similar to that reported between North Pacific and North Atlantic common minke whales (0.0234). The migration rate between the two ocean basins was estimated at near-zero using MDIV. The genetic evidence presented here was consistent with the hypothesis of migratory links among Brazil, Chilean Patagonia and the Antarctic Peninsula, and between low-latitude and Antarctic waters of the WSP. The results suggest multiple populations of common minke whales in the Southern Hemisphere, which may have conservation as well as taxonomic implications. Our single locus results should be corroborated by additional analyses in a larger number of samples and at more genetic markers.</t>
  </si>
  <si>
    <t>[Pastene, Luis A.; Goto, Mutsuo] Inst Cetacean Res, Chuo Ku, Tokyo 1040055, Japan; [Acevedo, Jorge; Acuna, Paola; Aguayo-Lobo, Anelio] Ctr Estudios Cuaternario Fuego Patagonia &amp; Antarc, Punta Arenas, Chile; [Zerbini, Alexandre N.] Alaska Fisheries Sci Ctr, Natl Marine Mammal Lab, Seattle, WA 98115 USA; [Zerbini, Alexandre N.] Inst Aqualie, Projeto Monitoramento Baleias Satelite, BR-22763010 Rio De Janeiro, Brazil; [Aguayo-Lobo, Anelio] Inst Antartico Chileno, Punta Arenas, Chile</t>
  </si>
  <si>
    <t>Pastene, LA (corresponding author), Inst Cetacean Res, Chuo Ku, Toyomi Cho 4-5, Tokyo 1040055, Japan.</t>
  </si>
  <si>
    <t>pastene@cetacean.jp</t>
  </si>
  <si>
    <t>Acevedo, Jorge/AAV-3574-2020; Zerbini, Alexandre/ABH-3916-2020; Zerbini, Alexandre/G-4138-2012</t>
  </si>
  <si>
    <t>Zerbini, Alexandre/0000-0002-9776-6605; Acevedo, Jorge/0000-0002-6106-0838</t>
  </si>
  <si>
    <t>Fundacion Centro de Estudios del Cuaternario (CEQUA); Instituto Antartico Chileno (INACH); JARPA (Japanese Whale Research Program under Special Permit in the Antarctic) [1987/1988, 1992/1993]; Microsoft Corporation</t>
  </si>
  <si>
    <t>Fundacion Centro de Estudios del Cuaternario (CEQUA)(Comision Nacional de Investigacion Cientifica y Tecnologica (CONICYT)CONICYT Regional/CEQUA); Instituto Antartico Chileno (INACH); JARPA (Japanese Whale Research Program under Special Permit in the Antarctic); Microsoft Corporation(Microsoft)</t>
  </si>
  <si>
    <t>We thank H. Oikawa (Institute of Cetacean Research, ICR) for laboratory assistance. We also thank N. Kanda (ICR), Bill Perrin (Southwest Fisheries Science Center), journal subject editor and two anonymous reviewers for useful comments and suggestions on this manuscript. The CEQUA researchers thank the Directors of the Fundacion Centro de Estudios del Cuaternario (CEQUA) and Instituto Antartico Chileno (INACH) for providing funding and support for the Antarctic Peninsula survey. Samples from Brazil were provided by Luciano Dalla-Rosa, Tony Greig, Everaldo Lima de Queiroz, Daniel Danilewicz, Ignacio Moreno, Marcos Cesar de Oliveira Santos, Alexandre Azevedo, Jose Lailson Brito Jr. and Paulo Simoes-Lopes. Samples from Areas IV and V in the Antarctic were collected by JARPA (Japanese Whale Research Program under Special Permit in the Antarctic) researchers between the austral summer seasons 1987/1988 and 1992/1993. Part of this work was carried out by using the resources of the Computational Biology Service Unit from Cornell University which is partially funded by Microsoft Corporation.</t>
  </si>
  <si>
    <t>10.1007/s10592-009-9944-7</t>
  </si>
  <si>
    <t>612LI</t>
  </si>
  <si>
    <t>WOS:000278899500027</t>
  </si>
  <si>
    <t>Murray, JB; de Vries, BV; Marquez, A; Williams, DA; Byrne, P; Muller, JP; Kim, JR</t>
  </si>
  <si>
    <t>Murray, John B.; de Vries, B. van Wyk; Marquez, Alvaro; Williams, David A.; Byrne, Paul; Muller, Jan-Peter; Kim, Jung-Rack</t>
  </si>
  <si>
    <t>Late-stage water eruptions from Ascraeus Mons volcano, Mars: Implications for its structure and history</t>
  </si>
  <si>
    <t>Mars; volcanism; tectonism; channels; water ice mudflows</t>
  </si>
  <si>
    <t>FLUVIAL VALLEYS; SHIELD VOLCANOS; GUSEV CRATER; LAVA FLOWS; EVOLUTION; EMPLACEMENT; MODELS; ORIGIN; HRSC; FOURNAISE</t>
  </si>
  <si>
    <t>Ascraeus Mons was one of the first of the Martian volcanoes to be imaged by the High Resolution Stereo Camera (HRSC) experiment onboard the ESA Mars Express spacecraft. These images show much of the volcano at a higher resolution than previously, and details of its lava flows, sinuous rilles, flank vents and tectonic features indicate an unexpected origin for some of these features. We establish the time-stratigraphic sequence for these features, and use a numerical model on HRSC stereo DTMs of the sinuous rilles, and conclude that they were formed by water erosion. Terrestrial analogues for such features are found at Reunion Island and other volcanoes. We then examine the overall structure of the volcano, which is dissimilar to that of large terrestrial volcanoes in important respects, and perform laboratory analogue experiments of its deformation, concluding that the tectonic features were formed by sinking of the volcano into a substratum that was much weaker than the volcanic edifice. An ice-rich substratum melted by a combination of pressure melting and magmatic heating seems the most likely mechanism. Analogous watere-scape structures in a similar volcanic situation have been identified at Mt Haddington in the Antarctic. The possible role of a hydrological cycle and a hydrothermal system within the volcano are discussed. Based on field evidence, we propose that much of the broad aprons of lobate flows issuing from the NE and SSW foot of Ascraeus Mons are composed of mudflows rather than lava flows. These different approaches are linked into a coherent history of this volcano. The similarity of Ascraeus Mons to Pavonis Mons and Arsia Mons (though Ascraeus is younger) suggests that some of our conclusions may apply to these volcanoes too. (C) 2009 Elsevier B.V. All rights reserved.</t>
  </si>
  <si>
    <t>[Murray, John B.; Byrne, Paul] Open Univ, Dept Earth &amp; Planetary Sci, Milton Keynes MK7 6AA, Bucks, England; [de Vries, B. van Wyk] Univ Blaise Pascal, Lab Magmas &amp; Volcans, F-63000 Clermont Ferrand, France; [Marquez, Alvaro] URJC, Area Geol, Madrid, Spain; [Williams, David A.] Arizona State Univ, Sch Earth &amp; Space Explorat, Tempe, AZ 85287 USA; [Byrne, Paul] Trinity Coll Dublin, Dept Geol, Dublin 2, Ireland; [Muller, Jan-Peter; Kim, Jung-Rack] Univ Coll London, Mullard Space Sci Lab, Imaging Grp, Dept Space &amp; Climate Phys, Dorking RH5 6NT, Surrey, England</t>
  </si>
  <si>
    <t>Open University - UK; Centre National de la Recherche Scientifique (CNRS); Universite Clermont Auvergne (UCA); Universidad Rey Juan Carlos; Arizona State University; Arizona State University-Tempe; Trinity College Dublin; University of London; University College London</t>
  </si>
  <si>
    <t>Murray, JB (corresponding author), Open Univ, Dept Earth &amp; Planetary Sci, Walton Hall, Milton Keynes MK7 6AA, Bucks, England.</t>
  </si>
  <si>
    <t>j.b.murray@open.ac.uk</t>
  </si>
  <si>
    <t>Williams, David/HKN-3732-2023; Facility, NERC Geophysical Equipment/G-5260-2010; Muller, Jan-Peter/Q-8886-2019; Kim, Jung-Rack/AGH-8655-2022; Byrne, Paul K./N-8606-2017</t>
  </si>
  <si>
    <t>Muller, Jan-Peter/0000-0002-5077-3736; Kim, Jung-Rack/0000-0003-3494-5400; Marquez, Alvaro/0000-0001-6722-3565; Byrne, Paul K./0000-0002-5644-7069; Gutierrez Gutierrez, Dania Sofia/0009-0003-0471-7690; Williams, David/0000-0002-7930-9347</t>
  </si>
  <si>
    <t>U.K. Particle Physics and Astronomy Research Council (now called the Science and Technology Facilities Council) [PP/C502630/1]; Natural Environment Research Council (Great Britain); CNRS (France); NATO; EEC; Leverhulme Trust; Earthwatch (USA); University College London; Open University, GNV (Italy); Royal Society; URJC; NASA; NERC [GEF010002] Funding Source: UKRI; STFC [PP/E002366/1] Funding Source: UKRI; Natural Environment Research Council [GEF010002] Funding Source: researchfish; Science and Technology Facilities Council [PP/E002366/1] Funding Source: researchfish</t>
  </si>
  <si>
    <t>U.K. Particle Physics and Astronomy Research Council (now called the Science and Technology Facilities Council); Natural Environment Research Council (Great Britain)(UK Research &amp; Innovation (UKRI)Natural Environment Research Council (NERC)); CNRS (France)(Centre National de la Recherche Scientifique (CNRS)); NATO(NATO (North Atlantic Treaty Organisation)); EEC; Leverhulme Trust(Leverhulme Trust); Earthwatch (USA); University College London; Open University, GNV (Italy); Royal Society(Royal Society); URJC; NASA(National Aeronautics &amp; Space Administration (NASA));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</si>
  <si>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work of JBM, J-PM and J-RK was carried out as part of a research grant from the U.K. Particle Physics and Astronomy Research Council (now called the Science and Technology Facilities Council) reference no. PP/C502630/1. The Mt Etna deformation measurements reported here were made thanks to several grants from the Natural Environment Research Council (Great Britain), CNRS (France), NATO, the EEC, the Leverhulme Trust, Earthwatch (USA), University College London, Open University, GNV (Italy) and the Royal Society, and we thank the Parco dell'Etna for their support and permission to work on Etna. BvWdV's work on Mt Haddington was carried out under the British Antarctic Survey LCHAIS project run by John Smellie. AM was supported by URJC grants to work at the Open University in 2005 and 2007. DAW was supported by NASA through the Jet Propulsion Laboratory for US participation in the ESA Mars Express mission, and through the NASA Planetary Geology and Geophysics Program. We thank Emilie Thiebaud for her comments on the hydrological and geothermal sections.</t>
  </si>
  <si>
    <t>10.1016/j.epsl.2009.06.020</t>
  </si>
  <si>
    <t>614VJ</t>
  </si>
  <si>
    <t>WOS:000279087600023</t>
  </si>
  <si>
    <t>Samanta, A; Anderson, BT; Ganguly, S; Knyazikhin, Y; Nemani, RR; Myneni, RB</t>
  </si>
  <si>
    <t>Samanta, Arindam; Anderson, Bruce T.; Ganguly, Sangram; Knyazikhin, Yuri; Nemani, Ramakrishna R.; Myneni, Ranga B.</t>
  </si>
  <si>
    <t>EARTH Interactions</t>
  </si>
  <si>
    <t>EARTH INTERACTIONS</t>
  </si>
  <si>
    <t>Forcing; Feedback; Climate</t>
  </si>
  <si>
    <t>STRATOSPHERIC WATER-VAPOR; BREWER-DOBSON CIRCULATION; CLIMATE-CHANGE; ALBEDO FEEDBACK; OVERSHOOT; SENSITIVITY; FORCINGS; WELL</t>
  </si>
  <si>
    <t>Recent research indicates that the warming of the climate system resulting from increased greenhouse gas (GHG) emissions over the next century will persist for many centuries after the cessation of these emissions, principally because of the persistence of elevated atmospheric carbon dioxide (CO2) concentrations and their attendant radiative forcing. However, it is unknownwhether the responses of other components of the climate system-including those related to Greenland and Antarctic ice cover, the Atlantic thermohaline circulation, the West African monsoon, and ecosystem and human welfare would be reversed even if atmospheric CO2 concentrations were to recover to 1990 levels. Here, using a simple set of experiments employing a current-generation numerical climate model, the authors examine the response of the physical climate system to decreasing CO2 concentrations following an initial increase. Results indicate that many characteristics of the climate system, including global temperatures, precipitation, soil moisture, and sea ice, recover as CO2 concentrations decrease. However, other components of the Earth system may still exhibit nonlinear hysteresis. In these experiments, for instance, increases in stratospheric water vapor, which initially result from increased CO2 concentrations, remain present even as CO2 concentrations recover. These results suggest that identification of additional threshold behaviors in response to human-induced global climate change should focus on subcomponents of the full Earth system, including cryosphere, biosphere, and chemistry.</t>
  </si>
  <si>
    <t>[Samanta, Arindam] Boston Univ, Dept Geog &amp; Environm, Boston, MA 02215 USA; [Ganguly, Sangram] NASA, Ames Res Ctr, BAERI, Moffett Field, CA 94035 USA</t>
  </si>
  <si>
    <t>Boston University; National Aeronautics &amp; Space Administration (NASA); NASA Ames Research Center</t>
  </si>
  <si>
    <t>Samanta, A (corresponding author), Boston Univ, Dept Geog &amp; Environm, 675 Commonwealth Ave, Boston, MA 02215 USA.</t>
  </si>
  <si>
    <t>arindam.sam@gmail.com</t>
  </si>
  <si>
    <t>Samanta, Arindam/B-9550-2009; Myneni, Ranga B./AAU-6088-2021; ganguly, sangram/B-5108-2010; Myneni, Ranga/F-5129-2012</t>
  </si>
  <si>
    <t>Myneni, Ranga/0000-0002-0234-6393</t>
  </si>
  <si>
    <t>NASA AMES Research Center; Boston University; National Center for Atmospheric Research</t>
  </si>
  <si>
    <t>NASA AMES Research Center(National Aeronautics &amp; Space Administration (NASA)); Boston University; National Center for Atmospheric Research</t>
  </si>
  <si>
    <t>We acknowledge support from A. Michaelis (NASA AMES Research Center), M. Dugan (Boston University), and R. Neale (National Center for Atmospheric Research).</t>
  </si>
  <si>
    <t>1087-3562</t>
  </si>
  <si>
    <t>EARTH INTERACT</t>
  </si>
  <si>
    <t>Earth Interact.</t>
  </si>
  <si>
    <t>10.1175/2010EI325.1</t>
  </si>
  <si>
    <t>614QQ</t>
  </si>
  <si>
    <t>WOS:000279075200001</t>
  </si>
  <si>
    <t>Kaeuffer, R; Bonenfant, C; Chapuis, JL; Devillard, S</t>
  </si>
  <si>
    <t>Kaeuffer, Renaud; Bonenfant, Christophe; Chapuis, Jean-Louis; Devillard, Sebastien</t>
  </si>
  <si>
    <t>Dynamics of an introduced population of mouflon Ovis aries on the sub-Antarctic archipelago of Kerguelen</t>
  </si>
  <si>
    <t>DENSITY-DEPENDENCE; UNGULATE DYNAMICS; SVALBARD REINDEER; FLUCTUATIONS; SURVIVAL; WEATHER; CLIMATE; SCALE; DEER; MANAGEMENT</t>
  </si>
  <si>
    <t>A commonly reported pattern in large herbivores is their propensity to irrupt and crash when colonizing new areas. However, the relative role of density-dependence, climate, and cohort effects on demographic rates in accounting for the irruptive dynamics of large herbivores remains unclear. Using a 37-yr time series of abundance in a mouflon Ovis aries population located on Haute Island, a sub-Antarctic island of Kerguelen, 1) we investigated if irruptive dynamics occurred and 2) we quantified the relative effects of density and climate on mouflon population dynamics. Being released in a new environment, we expected mouflon to show rapid growth and marked over-compensation. In support of this prediction, we found a two-phase dynamics, the first phase being characterised by an irruptive pattern best described by the theta-Caughley model. Parameter estimates were r(m)=0.29 +/- 0.005(maximum growth rate), K=473 +/- 45 (carrying capacity) and S=2903 +/- 396 (surplus) mouflon. With a theta=3.18 +/- 0.69 our model also supported the hypothesis that density dependence is strongest at high density in large herbivores. The second phase was characterised by an unstable dynamics where growth rate was negatively affected by population abundance and winter precipitation. Climate, however, did not trigger population crashes and our model suggested that lagged density-dependence and over-grazing were the probable causes of mouflon irruptive dynamics. We compare our results with those of Soay sheep and discuss the possibility of a reversible alteration of the island carrying capacity after the initial over-grazing period.</t>
  </si>
  <si>
    <t>[Kaeuffer, Renaud] Univ Quebec, Dept Sci Biol, GRECA, Montreal, PQ H3C 3P8, Canada; [Bonenfant, Christophe] CNRS, Ctr Etud Biol Chize, Unite Propre Rech 1934, FR-79360 Beauvoir Sur Niort, France; [Chapuis, Jean-Louis] Museum Natl Hist Nat, CNRS, Dept Ecol &amp; Gest Biodivers, UMR 7204 P6, FR-75231 Paris 05, France; [Devillard, Sebastien] Univ Lyon 1, CNRS, UMR 5558, Lab Biometrie &amp; Biol Evolut, FR-69622 Villeurbanne, France</t>
  </si>
  <si>
    <t>University of Quebec; University of Quebec Montreal; Centre National de la Recherche Scientifique (CNRS); Museum National d'Histoire Naturelle (MNHN); Centre National de la Recherche Scientifique (CNRS); VetAgro Sup; Centre National de la Recherche Scientifique (CNRS); CNRS - Institute of Ecology &amp; Environment (INEE); Universite Claude Bernard Lyon 1</t>
  </si>
  <si>
    <t>Kaeuffer, R (corresponding author), Univ Quebec, Dept Sci Biol, GRECA, CP 8888 Succursale Ctr Ville, Montreal, PQ H3C 3P8, Canada.</t>
  </si>
  <si>
    <t>devillar@biomserv.univ-lyon1.fr</t>
  </si>
  <si>
    <t>dev, seb/IYJ-0117-2023; Bonenfant, Christophe/I-8645-2019</t>
  </si>
  <si>
    <t>Bonenfant, Christophe/0000-0002-9924-419X; DEVILLARD, Sebastien/0000-0001-6911-4362</t>
  </si>
  <si>
    <t>IPEV [276]; Centre National de la Recherche Scientifique (CNRS)</t>
  </si>
  <si>
    <t>IPEV; Centre National de la Recherche Scientifique (CNRS)(Centre National de la Recherche Scientifique (CNRS))</t>
  </si>
  <si>
    <t>We thank P. Bousses, D. Reale and all fieldworkers who collected mouflon data at Kerguelen, F. Barraquand for proofreading our formulas and A. Hendry who kindly edited the English. Thanks to H. Santin-Janin and M. Garel for helping with analyses and technical advices. D. Forsyth, J.-M. Gaillard, D. A. Kelt, A. Mysterud and E. Solberg greatly helped at clarifying and improving the manuscript. We are also grateful to D. Forsyth and P. Caley for providing their source code to fit the different models. This sudy was financed by the IPEV program #276. CB was financially supported by the Centre National de la Recherche Scientifique (CNRS).</t>
  </si>
  <si>
    <t>1600-0587</t>
  </si>
  <si>
    <t>10.1111/j.1600-0587.2009.05604.x</t>
  </si>
  <si>
    <t>632VP</t>
  </si>
  <si>
    <t>WOS:000280457500002</t>
  </si>
  <si>
    <t>Nicol, S; Bowie, A; Jarman, S; Lannuzel, D; Meiners, KM; van der Merwe, P</t>
  </si>
  <si>
    <t>Nicol, Stephen; Bowie, Andrew; Jarman, Simon; Lannuzel, Delphine; Meiners, Klaus M.; van der Merwe, Pier</t>
  </si>
  <si>
    <t>Southern Ocean iron fertilization by baleen whales and Antarctic krill</t>
  </si>
  <si>
    <t>FISH AND FISHERIES</t>
  </si>
  <si>
    <t>Baleen whales; iron fertilization; krill; Southern Ocean</t>
  </si>
  <si>
    <t>POPULATIONS; SAMPLES; TURBULENCE; METALS; WORLD; CYCLE; SEAL</t>
  </si>
  <si>
    <t>Iron is the limiting micronutrient in the Southern Ocean and experiments have demonstrated that addition of soluble iron to surface waters results in phytoplankton blooms, particularly by large diatoms. Antarctic krill (Euphausia superba) eat diatoms and recycle iron in surface waters when feeding. Baleen whales eat krill, and, historically, defecation by baleen whales could have been a major mechanism for recycling iron, if whale faeces contain significant quantities of iron. We analysed the iron content in 27 samples of faeces from four species of baleen whale. Faecal iron content (145.9 +/- 133.7 mg kg(-1)) is approximately ten million times that of Antarctic seawater, suggesting that it could act as a fertilizer. Furthermore, we analysed the iron content of seven krill species and of muscle tissue of two species of baleen whales; all samples had high iron levels. Using these figures, together with recent estimates of the range and biomass of krill, we calculate that the Antarctic krill population contains similar to 24% of the total iron in the surface waters in its range. Thus, krill can act as a long-term reservoir of iron in Antarctic surface waters, by storing the iron in their body tissue. Pre-exploitation populations of whales and krill must have stored larger quantities of iron and would have also recycled more iron in surface waters, enhancing overall ocean productivity through a positive feedback loop. Thus, allowing the great whales to recover might actually increase Southern Ocean productivity through enhancing iron levels in the surface layer.</t>
  </si>
  <si>
    <t>[Nicol, Stephen; Jarman, Simon] Australian Antarctic Div, Dept Environm Water Heritage &amp; Arts, Australian Marine Mammal Ctr, Kingston, Tas 7050, Australia; [Nicol, Stephen; Bowie, Andrew; Lannuzel, Delphine; Meiners, Klaus M.; van der Merwe, Pier] Univ Tasmania, Antarctic Climate &amp; Ecosyst Cooperat Res Ctr, Hobart, Tas 7001, Australia; [Lannuzel, Delphine] Univ Tasmania, Ctr Marine Sci, Hobart, Tas 7001, Australia; [van der Merwe, Pier] Inst Antarctic &amp; So Ocean Studies, Hobart, Tas 7000, Australia</t>
  </si>
  <si>
    <t>Australian Antarctic Division; Antarctic Climate &amp; Ecosystems Cooperative Research Centre (ACE CRC); University of Tasmania; University of Tasmania</t>
  </si>
  <si>
    <t>Nicol, S (corresponding author), Australian Antarctic Div, Dept Environm Water Heritage &amp; Arts, Australian Marine Mammal Ctr, 203 Channel Highway, Kingston, Tas 7050, Australia.</t>
  </si>
  <si>
    <t>steve.nicol@aad.gov.au</t>
  </si>
  <si>
    <t>lannuzel, delphine/J-7937-2014; van der Merwe, Pier/C-9210-2015; Jarman, Simon/H-9265-2016; Bowie, Andrew/C-8677-2013</t>
  </si>
  <si>
    <t>lannuzel, delphine/0000-0001-6154-1837; van der Merwe, Pier/0000-0002-7428-8030; Jarman, Simon/0000-0002-0792-9686; Bowie, Andrew/0000-0002-5144-7799</t>
  </si>
  <si>
    <t>Australian Government; Australian Antarctic Division; Australian Marine Mammal Centre</t>
  </si>
  <si>
    <t>Australian Government(Australian Government); Australian Antarctic Division; Australian Marine Mammal Centre</t>
  </si>
  <si>
    <t>This study was developed from some original ideas published by Victor Smetacek whose intellectual underpinning is gratefully acknowledged. This work was supported by the Australian Government's Cooperative Research Centres Programme through the Antarctic Climate and Ecosystem Cooperative Research Centre, by the Australian Antarctic Division and by the Australian Marine Mammal Centre. We thank Ashley Townsend for analytical support. No whales were killed in the pursuit of this research.</t>
  </si>
  <si>
    <t>1467-2960</t>
  </si>
  <si>
    <t>FISH FISH</t>
  </si>
  <si>
    <t>Fish. Fish.</t>
  </si>
  <si>
    <t>10.1111/j.1467-2979.2010.00356.x</t>
  </si>
  <si>
    <t>596NQ</t>
  </si>
  <si>
    <t>WOS:000277692300007</t>
  </si>
  <si>
    <t>Wilson, RP</t>
  </si>
  <si>
    <t>Wilson, Rory P.</t>
  </si>
  <si>
    <t>Resource partitioning and niche hyper-volume overlap in free-living Pygoscelid penguins</t>
  </si>
  <si>
    <t>Antarctica; foraging ecology; Pygoscelis adeliae; Pygoscelis antarctica; Pygoscelis papua; ecological segregation; interspecific competition; diving behaviour; area utilization; temporal differences</t>
  </si>
  <si>
    <t>SOUTH-SHETLAND ISLANDS; KING-GEORGE-ISLAND; INTERSPECIFIC COMPETITION; CHINSTRAP PENGUINS; FIELD EXPERIMENTS; ANTARCTIC KRILL; OPTIMAL ALLOCATION; ADELIE PENGUINS; DIVING BEHAVIOR; SEABIRDS</t>
  </si>
  <si>
    <t>P&gt;1. Species potentially competing for the same resource are considered to be able to co-exist if they occupy different niches. In an apparent example of this, Adelie, Chinstrap and Gentoo penguins all feed predominantly on krill Euphausea superba at certain sites of sympatry in Antarctica and are proposed to exploit different niche hyper-volumes via differential area and depth utilization. 2. Patterns of foraging for 49 of these penguins breeding in sympatry were assessed using dead-reckoning loggers to examine foraging niche overlap. 3. Area use overlaps were 0 center dot 29 for Adelie boolean AND Chinstrap, 0 center dot 44 for Adelie boolean AND Gentoo, and 0 center dot 40 for Chinstrap boolean AND Adelie and depth use overlaps were 0 center dot 69 for Adelie boolean AND Chinstrap, 0 center dot 48 for Adelie boolean AND Gentoo, and 0 center dot 52 for Chinstrap boolean AND Gentoo Penguins. 4. Foraging efficiency was greatest for Adelie Penguins diving near surface waters (0-15 m) while Chinstraps were most efficient at medium depths (15-60 m) and Gentoo Penguins most efficient at deeper depths (&gt; 60 m). There appear to be physiological reasons for this. Penguins primarily exploited those depths where they were most efficient. 5. The overlap for foraging periods was 0 center dot 47 for Adelie boolean AND Chinstrap, 0 center dot 26 for Adelie boolean AND Gentoo, and 0 center dot 40 for Chinstrap boolean AND Gentoo Penguins. Chinstraps foraged primarily at night, Gentoos during the morning and Adelies in the afternoon. Temporal differences in foraging may result in the three species exploiting krill at those depths where it is best adapted to pursue it, this being mediated by the diel vertical migration of krill. 6. Integration of all measured parameters together gives minimal overlap between species with total overlaps of 0 center dot 09 for Adelie boolean AND Chinstrap, 0 center dot 05 for Adelie boolean AND Gentoo, and 0 center dot 08 for Chinstrap boolean AND Gentoo Penguins so it appears that these penguins conform to conventional theory in avoiding competition in areas of sympatry. However, a model incorporating prey movement between hyper-volumes indicates that penguins may still compete, even in the virtual absence of hyper-volume overlap. 7. This study shows that Pygoscelid penguin do indeed exploit different hypervolumes in areas of sympatry but that such exploitation of different niches by sympatric species feeding on a common resource does not necessarily result in reduced competition if the mobility of prey is high.</t>
  </si>
  <si>
    <t>Swansea Univ, Inst Environm Sustainabil, Sch Soc &amp; Environm, Swansea SA2 8PP, W Glam, Wales</t>
  </si>
  <si>
    <t>Swansea University</t>
  </si>
  <si>
    <t>Wilson, RP (corresponding author), Swansea Univ, Inst Environm Sustainabil, Sch Soc &amp; Environm, Singleton Pk, Swansea SA2 8PP, W Glam, Wales.</t>
  </si>
  <si>
    <t>r.p.wilson@swansea.ac.uk</t>
  </si>
  <si>
    <t>Deutsche Forschungsgemeinschaft; Japanese Ministry for Education Science and Culture</t>
  </si>
  <si>
    <t>Deutsche Forschungsgemeinschaft(German Research Foundation (DFG)); Japanese Ministry for Education Science and Culture</t>
  </si>
  <si>
    <t>This study was supported by the Deutsche Forschungsgemeinschaft and the Japanese Ministry for Education Science and Culture. I am grateful to the Alfred Wegener Institute and Base Marsh for logistic support as well as to Rudi Bannasch and Boris Culik for help in diverse ways. Thanks are also extended to Akiko Kato, Shingo Minamikawa, Yasuhiko Naito, Yan Ropert-Coudert and Antje Steinfurth for support, both knowingly and unknowingly.</t>
  </si>
  <si>
    <t>10.1111/j.1365-2435.2009.01654.x</t>
  </si>
  <si>
    <t>581FW</t>
  </si>
  <si>
    <t>WOS:000276508000017</t>
  </si>
  <si>
    <t>Antibus, JV; Panter, K; Dunbar, N; Wilch, T; Mcintosh, W</t>
  </si>
  <si>
    <t>Antibus, J. V.; Panter, K.; Dunbar, N.; Wilch, T.; Mcintosh, W.</t>
  </si>
  <si>
    <t>Oxygen isotope and cation chemistry: Evidence of multiple water sources influencing the alteration of Antarctic hyaloclastites</t>
  </si>
  <si>
    <t>Conference on Goldschmidt 2010 - Earth, Energy, and the Environment</t>
  </si>
  <si>
    <t>JUN 13-18, 2010</t>
  </si>
  <si>
    <t>Knoxville, TN</t>
  </si>
  <si>
    <t>[Antibus, J. V.; Panter, K.] Bowling Green State Univ, Dept Geol, Bowling Green, OH 43403 USA; [Dunbar, N.; Mcintosh, W.] New Mexico Inst Min &amp; Technol, Dept Geol, Socorro, NM 87801 USA; [Wilch, T.] Albion Coll, Dept Geol, Albion, MI 49224 USA</t>
  </si>
  <si>
    <t>University System of Ohio; Bowling Green State University; New Mexico Institute of Mining Technology; Albion College</t>
  </si>
  <si>
    <t>antibuj@bgsu.edu; kpanter@bgsu.edu</t>
  </si>
  <si>
    <t>Dunbar, Nelia W./HZL-8693-2023; Panter, Kurt S/B-4486-2010</t>
  </si>
  <si>
    <t>Dunbar, Nelia W./0000-0002-5181-937X;</t>
  </si>
  <si>
    <t>A26</t>
  </si>
  <si>
    <t>676TL</t>
  </si>
  <si>
    <t>WOS:000283941400053</t>
  </si>
  <si>
    <t>Belyatsky, B; Krymsky, R; Antonov, A; Rodionov, N; Sergeev, S</t>
  </si>
  <si>
    <t>Belyatsky, B.; Krymsky, R.; Antonov, A.; Rodionov, N.; Sergeev, S.</t>
  </si>
  <si>
    <t>Lithospheric mantle evolution of the East Antarctic craton: Isotope evidence and PGE patterns of spinel lherzolite xenoliths</t>
  </si>
  <si>
    <t>[Belyatsky, B.] VNIIOkeangeologia, St Petersburg, Russia; [Krymsky, R.; Antonov, A.; Rodionov, N.; Sergeev, S.] VSEGEI CIR, St Petersburg, Russia</t>
  </si>
  <si>
    <t>bbelyatsky@mail.ru; robert_krymsky@yahoo.com</t>
  </si>
  <si>
    <t>Rodionov, Nickolay V/T-8826-2017; Belyatsky, Boris/V-6644-2019</t>
  </si>
  <si>
    <t>Belyatsky, Boris/0000-0002-4022-9366</t>
  </si>
  <si>
    <t>A76</t>
  </si>
  <si>
    <t>WOS:000283941401333</t>
  </si>
  <si>
    <t>Burn-Nunes, L; Rosman, KJR; Vallelonga, P; Loss, RD; Curran, M; Smith, AM</t>
  </si>
  <si>
    <t>Burn-Nunes, L.; Rosman, K. J. R.; Vallelonga, P.; Loss, R. D.; Curran, M.; Smith, A. M.</t>
  </si>
  <si>
    <t>The measurement of Pb in ancient Antarctic ice: Implications for source regions of aerosols and past environmental conditions</t>
  </si>
  <si>
    <t>[Burn-Nunes, L.; Rosman, K. J. R.; Loss, R. D.] Curtin Univ Technol, Perth, WA, Australia; [Vallelonga, P.] Univ Copenhagen, Niels Bohr Inst, Ctr Ice &amp; Climate, DK-1168 Copenhagen, Denmark; [Curran, M.] Australian Antarctic Div, Hobart, Tas, Australia; [Curran, M.] Antarctic Climate &amp; Ecosyst CRC, Hobart, Tas, Australia; [Smith, A. M.] Australian Nucl Sci &amp; Technol Org, Kirrawee Dc, Australia</t>
  </si>
  <si>
    <t>Curtin University; University of Copenhagen; Niels Bohr Institute; Australian Antarctic Division; University of Tasmania; Australian Nuclear Science &amp; Technology Organisation</t>
  </si>
  <si>
    <t>L.Burn@curtin.edu.au; ptravis@nbi.ku.dk; R.Loss@curtin.edu; Mark.Curran@aad.gov.au; ams@ansto.gov.au</t>
  </si>
  <si>
    <t>Smith, Alexis M. S./J-4757-2012; Vallelonga, Paul/I-9650-2016</t>
  </si>
  <si>
    <t>Vallelonga, Paul/0000-0003-1055-7235</t>
  </si>
  <si>
    <t>A130</t>
  </si>
  <si>
    <t>WOS:000283941401441</t>
  </si>
  <si>
    <t>Colville, EJ; Carlson, AE; Beard, BL; Stoner, JS; Hillaire-Marcel, C</t>
  </si>
  <si>
    <t>Colville, E. J.; Carlson, A. E.; Beard, B. L.; Stoner, J. S.; Hillaire-Marcel, C.</t>
  </si>
  <si>
    <t>Relative Greenland and Antarctic ice sheet contributions to sea level during Marine Isotope Stage 5e</t>
  </si>
  <si>
    <t>[Colville, E. J.; Carlson, A. E.; Beard, B. L.] Univ Wisconsin, Dept Geosci, Madison, WI 53711 USA; [Stoner, J. S.] Oregon State Univ, COAS, Corvallis, OR 97331 USA; [Hillaire-Marcel, C.] Univ Quebec, GEOTOP, Montreal, PQ H3C 3P8, Canada</t>
  </si>
  <si>
    <t>University of Wisconsin System; University of Wisconsin Madison; Oregon State University; University of Quebec; University of Quebec Montreal</t>
  </si>
  <si>
    <t>colville@geology.wisc.edu</t>
  </si>
  <si>
    <t>Hillaire-Marcel, Claude/C-9153-2013</t>
  </si>
  <si>
    <t>Hillaire-Marcel, Claude/0000-0002-3733-4632</t>
  </si>
  <si>
    <t>A186</t>
  </si>
  <si>
    <t>WOS:000283941400622</t>
  </si>
  <si>
    <t>Hartin, CA; Fine, RA; Peterson, LC; Clement, AC; Kamenkovich, I</t>
  </si>
  <si>
    <t>Hartin, C. A.; Fine, R. A.; Peterson, L. C.; Clement, A. C.; Kamenkovich, I.</t>
  </si>
  <si>
    <t>Model Comparison of Subantarctic Mode and Antarctic Intermediate Water in the South Pacific between the Last Glacial Maximum and abrupt climate events</t>
  </si>
  <si>
    <t>[Hartin, C. A.; Fine, R. A.; Peterson, L. C.; Clement, A. C.; Kamenkovich, I.] Univ Miami, Rosenstiel Sch Marine &amp; Atmospher Sci, Miami, FL 33149 USA</t>
  </si>
  <si>
    <t>chartin@rsmas.miami.edu</t>
  </si>
  <si>
    <t>Kamenkovich, Igor/AAG-3451-2019</t>
  </si>
  <si>
    <t>A385</t>
  </si>
  <si>
    <t>WOS:000283941401145</t>
  </si>
  <si>
    <t>Jean-Baptiste, P; Fourre, E; Petit, JR; Bulat, S; Alekina, I; Lipenkov, V</t>
  </si>
  <si>
    <t>Jean-Baptiste, P.; Fourre, E.; Petit, J. R.; Bulat, S.; Alekina, I.; Lipenkov, V.</t>
  </si>
  <si>
    <t>Helium isotope in the accreted ice of subglacial lake Vostok (Antarctica)</t>
  </si>
  <si>
    <t>[Jean-Baptiste, P.; Fourre, E.] CEA Saclay, LSCE, F-91191 Gif Sur Yvette, France; [Petit, J. R.] UJF, CNRS, LGGE, F-38402 St Martin Dheres, France; [Bulat, S.; Alekina, I.] RAS, Petersburg Nucl Phys Inst, St Petersburg 188300, Leningrad Reg, Russia; [Lipenkov, V.] Arctic &amp; Antarctic Res Inst, St Petersburg 19939, Russia</t>
  </si>
  <si>
    <t>Universite Paris Saclay; CEA; Centre National de la Recherche Scientifique (CNRS); Centre National de la Recherche Scientifique (CNRS); Communaute Universite Grenoble Alpes; Universite Grenoble Alpes (UGA); Russian Academy of Sciences; National Research Centre - Kurchatov Institute; Petersburg Nuclear Physics Institute; Arctic &amp; Antarctic Research Institute</t>
  </si>
  <si>
    <t>Philippe.Jean-Baptiste@cea.fr</t>
  </si>
  <si>
    <t>Lipenkov, Vladimir Y/Q-8262-2016; Fourre, Elise/H-8066-2013</t>
  </si>
  <si>
    <t>A461</t>
  </si>
  <si>
    <t>WOS:000283941401492</t>
  </si>
  <si>
    <t>Evolution of desert pavements and the vesicular layer in soils of the Transantarctic Mountains</t>
  </si>
  <si>
    <t>GEOMORPHOLOGY</t>
  </si>
  <si>
    <t>Desert soils; Soil chronosequences; Pavement development index; Ventifaction; Desert varnish</t>
  </si>
  <si>
    <t>ICE-SURFACE FLUCTUATIONS; ALLUVIAL-FAN SURFACES; MCMURDO DRY VALLEYS; MOJAVE-DESERT; WRIGHT-VALLEY; COSMOGENIC HE-3; TAYLOR GLACIER; DEVELOPMENT RATES; SOUTHERN NEVADA; STONE PAVEMENTS</t>
  </si>
  <si>
    <t>Compared to mid-latitude deserts, the properties, formation and evolution of desert pavements and the underlying vesicular layer in Antarctica are poorly understood. This study examines the desert pavements and the vesicular layer from seven soil chronosequences in the Transantarctic Mountains that have developed on two contrasting parent materials: sandstone-dolerite and granite-gneiss. The pavement density commonly ranges from 63 to 92% with a median value of 80% and does not vary significantly with time of exposure or parent material composition. The dominant size range of clasts decreases with time of exposure, ranging from 16-64 mm on Holocene and late Quaternary surfaces to 8-16 mm on surfaces of middle Quaternary and older age. The proportion of clasts with ventifaction increases progressively through time from 20% on drifts of Holocene and late Quaternary age to 35% on Miocene-aged drifts. Desert varnish forms rapidly, especially on dolerite clasts. with nearly 100% cover on surfaces of early Quaternary and older age. Macropitting occurs only on clasts that have been exposed since the Miocene. A pavement development index, based on predominant clast-size class, pavement density, and the proportion of clasts with ventifaction, varnish, and pits, readily differentiated pavements according to relative age. From these findings we judge that desert pavements initially form from a surficial concentration of boulders during till deposition followed by a short period of deflation and a longer period of progressive chemical and physical weathering of surface clasts. The vesicular layer that underlies the desert pavement averages 4 cm in thickness and is enriched in silt, which is contributed primarily by weathering rather than eolian deposition. A comparison is made between desert pavement properties in mid-latitude deserts and Antarctic deserts. (C) 2010 Elsevier B.V. All rights reserved.</t>
  </si>
  <si>
    <t>Bockheim, JG (corresponding author), Univ Wisconsin, Dept Soil Sci, 1525 Observ Dr, Madison, WI 53706 USA.</t>
  </si>
  <si>
    <t>National Science Foundation Office of Polar Programs, Antarctic Division</t>
  </si>
  <si>
    <t>National Science Foundation Office of Polar Programs, Antarctic Division(National Science Foundation (NSF))</t>
  </si>
  <si>
    <t>This project was supported by grants from the National Science Foundation Office of Polar Programs, Antarctic Division. The author appreciates working with G.H. Denton and the field assistance of S.C. Wilson. Three anonymous reviewers offered valuable suggestions for improving this manuscript.</t>
  </si>
  <si>
    <t>0169-555X</t>
  </si>
  <si>
    <t>1872-695X</t>
  </si>
  <si>
    <t>Geomorphology</t>
  </si>
  <si>
    <t>10.1016/j.geomorph.2010.02.012</t>
  </si>
  <si>
    <t>599IK</t>
  </si>
  <si>
    <t>WOS:000277904600018</t>
  </si>
  <si>
    <t>Kastner, S; Enters, D; Ohlendorf, C; Haberzettl, T; Kuhn, G; Lücke, A; Mayr, C; Reyss, JL; Wastegård, S; Zolitschka, B</t>
  </si>
  <si>
    <t>Kastner, Stephanie; Enters, Dirk; Ohlendorf, Christian; Haberzettl, Torsten; Kuhn, Gerhard; Luecke, Andreas; Mayr, Christoph; Reyss, Jean-Louis; Wastegard, Stefan; Zolitschka, Bernd</t>
  </si>
  <si>
    <t>Reconstructing 2000 years of hydrological variation derived from laminated proglacial sediments of Lago del Desierto at the eastern margin of the South Patagonian Ice Field, Argentina</t>
  </si>
  <si>
    <t>proglacial lake; laminated sediments; palaeoclimatology; Pb-210/Cs-137-dating; Medieval Climate Anomaly; Little Ice Age; 20th century warming; Patagonia</t>
  </si>
  <si>
    <t>LAGUNA-POTROK-AIKE; RADIONUCLIDE DATING PB-210; SETTING LAKES PUYEHUE; ENVIRONMENTAL HISTORY; GLACIER FLUCTUATIONS; NORTHERN PATAGONIA; CHILEAN PATAGONIA; BRITISH-COLUMBIA; SANTA-CRUZ; RECORD</t>
  </si>
  <si>
    <t>Lago del Desierto (49 degrees 02'S, 72 degrees 51'W) is situated in the climatically sensitive area of Southern Patagonia close to the Hielo Patagonico Sur (HPS or South Patagonian Ice Field, Argentina). Next to marine records and Antarctic ice cores, this continental area is important to reveal hemispheric and global climate trends. As instrumental climate records from this region are generally short and scarce, environmental archives are the only source of long-term records of climate variations. In this study, the potential of laminated proglacial sediments from Lago del Desierto as a palaeoclimate archive is evaluated. Two parallel gravity cores (max. length 283 cm) were analysed using a multi-proxy approach. Radiometric dating (C-14, Pb-210 and Cs-137) and tephrochronology document that the sediment cover the last 2000 years. Especially in the middle part of the record, numerous turbidites make climate variations difficult to decipher. However, after exclusion of event layers changes in sedimentological, mineralogical, and geochemical parameters reveal a long-term trend of runoff variations and sediment accessibility controlled by changes in temperature and precipitation. An abrupt transition in sediment composition occurred around AD 850 and is interpreted as a change in sediment availability related to the initial exposure of formerly glaciated areas in the catchment. This striking change mirrors the onset of warmer climate conditions during the Medieval Climate Anomaly. Moreover, the Little Ice Age cooling and the subsequent 20th century warming can be traced in the sediment record corresponding to an overall trend observed for southern South America. The proglacial lacustrine sediment record of Lago del Desierto thus constitutes a link between glacier studies of the HPS and other terrestrial climate archives in a region were long, and continuous climate records are still rare. (C) 2010 Elsevier B.V. All rights reserved.</t>
  </si>
  <si>
    <t>[Kastner, Stephanie; Enters, Dirk; Ohlendorf, Christian; Haberzettl, Torsten; Zolitschka, Bernd] Univ Bremen, AG GEOPOLAR, Inst Geog, D-28359 Bremen, Germany; [Enters, Dirk] Univ Savoie Technolac, UMR CNRS 5204, F-73376 Le Bourget Du Lac, France; [Kuhn, Gerhard] Alfred Wegener Inst Polar &amp; Marine Res, D-27568 Bremerhaven, Germany; [Luecke, Andreas] Res Ctr Julich, Inst Chem &amp; Dynam Geosphere ICG Sedimentary Syst, D-52425 Julich, Germany; [Reyss, Jean-Louis] CEA, Lab Sci Climat &amp; Environm, UMR CNRS, F-91191 Gif Sur Yvette, France; [Mayr, Christoph] Univ Munich, Dept Earth &amp; Environm Sci, D-80333 Munich, Germany; [Wastegard, Stefan] Stockholm Univ, Dept Phys Geog &amp; Quaternary Geol, S-10691 Stockholm, Sweden</t>
  </si>
  <si>
    <t>University of Bremen; Centre National de la Recherche Scientifique (CNRS); Universite Savoie Mont Blanc; Helmholtz Association; Alfred Wegener Institute, Helmholtz Centre for Polar &amp; Marine Research; Helmholtz Association; Research Center Julich; Universite Paris Saclay; CEA; Centre National de la Recherche Scientifique (CNRS); University of Munich; Stockholm University</t>
  </si>
  <si>
    <t>Kastner, S (corresponding author), Univ Bremen, AG GEOPOLAR, Inst Geog, Celsiusstr FVG M, D-28359 Bremen, Germany.</t>
  </si>
  <si>
    <t>steka@uni-bremen.de</t>
  </si>
  <si>
    <t>Wastegard, Stefan/G-5720-2012; Zolitschka, Bernd/P-1487-2019; Haberzettl, Torsten/AAV-9216-2021; Enters, Dirk/AAF-1669-2021</t>
  </si>
  <si>
    <t>Zolitschka, Bernd/0000-0001-8256-0420; Haberzettl, Torsten/0000-0002-6975-9774; Enters, Dirk/0000-0002-0484-541X; Ohlendorf, Christian/0000-0003-3794-7313; Kuhn, Gerhard/0000-0001-6069-7485; Lucke, Andreas/0000-0003-4199-0808; Mayr, Christoph/0000-0001-9002-9963; Kastner, Stephanie/0000-0001-5850-658X</t>
  </si>
  <si>
    <t>German Federal Ministry of Education and Research (BMBF) [01 LD 0034, 01 LD 0035]</t>
  </si>
  <si>
    <t>German Federal Ministry of Education and Research (BMBF)(Federal Ministry of Education &amp; Research (BMBF))</t>
  </si>
  <si>
    <t>We would like to thank the SALSA scientific team for the fieldwork at Lago del Desierto in March 2005. Sabine Stahl and Benjamin Bunning are acknowledged for assistance with sampling and geochemical analyses. Thomas Frederichs and Christian Hilgenfeld (Department of Marine Geophysics, University of Bremen) kindly enabled magnetic susceptibility measurements. Tephra samples were analysed by courtesy of Peter Abbott (University of Swansea). For assistance during XRF-scanning, we thank Rita Frohlking (AWI Bremerhaven). The coring was conducted as a pilot study during a field trip in the framework of the DEKLIM project South Argentinean Lake Sediment Archives and modelling (SALSA, grants 01 LD 0034 and 0035) founded by the German Federal Ministry of Education and Research (BMBF). We appreciate the critical review of the manuscript and the helpful comments of Nathalie Fagel.</t>
  </si>
  <si>
    <t>10.1016/j.gloplacha.2010.04.007</t>
  </si>
  <si>
    <t>627LF</t>
  </si>
  <si>
    <t>WOS:000280040300011</t>
  </si>
  <si>
    <t>Allen, CS; Oakes-Fretwell, L; Anderson, JB; Hodgson, DA</t>
  </si>
  <si>
    <t>Allen, Claire S.; Oakes-Fretwell, Lisa; Anderson, John B.; Hodgson, Dominic A.</t>
  </si>
  <si>
    <t>A record of Holocene glacial and oceanographic variability in Neny Fjord, Antarctic Peninsula</t>
  </si>
  <si>
    <t>HOLOCENE</t>
  </si>
  <si>
    <t>Antarctic Peninsula; climate change; diatoms; Holocene; meltwater; palaeoceanography; tidewater glacier; sea-ice</t>
  </si>
  <si>
    <t>SOUTHERN-OCEAN SEDIMENTS; MAJOR DIATOM TAXA; VI ICE SHELF; SEA-ICE; PALMER-DEEP; CLIMATE-CHANGE; WEDDELL SEA; FRAGILARIOPSIS-CYLINDRUS; CONTINENTAL-SHELF; SURFACE SEDIMENTS</t>
  </si>
  <si>
    <t>Analyses of a 12 m marine sediment core from Neny Fjord, Marguerite Bay, Antarctic Peninsula (68.2571 degrees S, 66.9617 degrees W), yield a high-resolution record of Holocene climate variability. The sediments preserve signals of past glacial and marine environments and offer a unique insight into atmospheric and oceanic forcings on the western Antarctic Peninsula climate. Dating of basal material reveals that deglaciation of the fjord occurred prior to 9040 cal. yr BP and provides a minimum constraint on the timing of deglaciation close to the southern Antarctic Peninsula ice-divide. Continuous deposition of ice-distal sediments and seasonally open-water diatoms indicates that the site has not been over-ridden by glacier ice during the Holocene. A facies of sand-rich material offers the only evidence of a localized glacier advance, during the mid Holocene. Statistical analysis of diatom assemblage data reveals several climatic episodes of varying magnitude and duration. These include an early-Holocene warm period (similar to 9000 and similar to 7000 cal. yr BP), potentially associated with influx of Circumpolar Deep Water onto the continental shelf and coinciding with widespread glacial retreat and Holocene collapse of the George VI Ice Shelf. The mid-Holocene (similar to 7000 to similar to 2800 cal. yr BP) sediments are characterized by diatom assemblages indicative of less pervasive sea-ice cover and prolonged growing seasons with evidence of increased meltwater discharge from similar to 4000 cal. yr BP. The youngest sediments (similar to 2800 cal. yr BP to present) contain a record that is consistent with the widely documented 'neoglacial' period followed by an abrupt reversal and climate amelioration from sometime after similar to 200 cal. yr BP.</t>
  </si>
  <si>
    <t>[Allen, Claire S.; Hodgson, Dominic A.] British Antarctic Survey, Nat Environm Res Council, Cambridge CB3 0ET, England; [Oakes-Fretwell, Lisa; Anderson, John B.] Rice Univ, Houston, TX 77251 USA</t>
  </si>
  <si>
    <t>UK Research &amp; Innovation (UKRI); Natural Environment Research Council (NERC); NERC British Antarctic Survey; Rice University</t>
  </si>
  <si>
    <t>Allen, CS (corresponding author), British Antarctic Survey, Nat Environm Res Council, Madingley Rd, Cambridge CB3 0ET, England.</t>
  </si>
  <si>
    <t>csall@bas.ac.uk</t>
  </si>
  <si>
    <t>Anderson, John/B-1011-2012</t>
  </si>
  <si>
    <t>RVIB NB Palmer; Raytheon Polar Services Company [NBP0201]; National Science Foundation [OPP99-09734]; Natural Environment Research Council; NERC [bas010016, bas0100024] Funding Source: UKRI; Natural Environment Research Council [bas0100024, bas010016] Funding Source: researchfish</t>
  </si>
  <si>
    <t>RVIB NB Palmer; Raytheon Polar Services Company; National Science Foundation(National Science Foundation (NSF));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</si>
  <si>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 and crew of the RVIB NB Palmer and the scientific staff and Raytheon Polar Services Company crew for their hard work and support during NBP0201. Thanks also to the BAS 'MAGIC' team for providing the DEM image, Hilary Blagbrough for lab assistance at BAS, the AMS facility at the University of Arizona radiogenic isotope facility for the radiocarbon dates, Jenny Pike and the two anonymous reviewers for their encouraging comments and suggestions. This work was completed with funding from the National Science Foundation Award OPP99-09734 and from the Natural Environment Research Council through the British Antarctic Survey's 'CACHE-PEP' project led by D. Hodgson.</t>
  </si>
  <si>
    <t>SAGE PUBLICATIONS LTD</t>
  </si>
  <si>
    <t>1 OLIVERS YARD, 55 CITY ROAD, LONDON EC1Y 1SP, ENGLAND</t>
  </si>
  <si>
    <t>0959-6836</t>
  </si>
  <si>
    <t>1477-0911</t>
  </si>
  <si>
    <t>Holocene</t>
  </si>
  <si>
    <t>10.1177/0959683609356581</t>
  </si>
  <si>
    <t>606OH</t>
  </si>
  <si>
    <t>WOS:000278435600006</t>
  </si>
  <si>
    <t>Viscardy, S; Errera, Q; Christophe, Y; Chabrillat, S; Lambert, JC</t>
  </si>
  <si>
    <t>Viscardy, S.; Errera, Q.; Christophe, Y.; Chabrillat, S.; Lambert, J. -C.</t>
  </si>
  <si>
    <t>Evaluation of Ozone Analyses From UARS MLS Assimilation by BASCOE Between 1992 and 1997</t>
  </si>
  <si>
    <t>IEEE JOURNAL OF SELECTED TOPICS IN APPLIED EARTH OBSERVATIONS AND REMOTE SENSING</t>
  </si>
  <si>
    <t>BASCOE; 4D-Var assimilation; GMES; ozone; PROMOTE</t>
  </si>
  <si>
    <t>PROFILES; VALIDATION</t>
  </si>
  <si>
    <t>We present the analyses of UARS MLS ozone data obtained by the Belgian Assimilation System for Chemical ObsErvations (BASCOE). This system, based on the 4D-var method, is dedicated to the assimilation of stratospheric chemistry observations. It uses a 3-D Chemical Transport Model (3D-CTM) including 57 chemical species with explicit calculation of stratospheric chemistry. The CTM is driven by ECMWF ERA-40 analyses of winds and temperature, with a horizontal grid of 3.75 degrees in latitude by 5 degrees in longitude, and with 37 pressure levels from the surface to 0.1 hPa. BASCOE has assimilated UARS MLS observations acquired during the period 1992-1997. We discuss how BASCOE is able to reproduce MLS data, and we evaluate the BASCOE analyses with respect to independent observations from UARS HALOE, ozonesondes, and ground-based lidars. An excellent agreement is found with independent observations (bias usually less than 10%), except in the lowermost stratosphere and in the Antarctic ozone hole. The performances of BASCOE ozone analyses are also compared to those of two other long-term ozone reanalyses; namely, ERA-40 and ERA-Interim, both from ECMWF. Finally, sensitivity test based on BASCOE free model runs suggest that ozone analyses during the ozone hole period would be greatly improved by driving BASCOE with the dynamical fields of the new ECMWF reanalyses ERA-Interim. This work is part of the Stratospheric Ozone Profile Record service raised by the GMES Service Element PROMOTE.</t>
  </si>
  <si>
    <t>Chabrillat, Simon/AAM-7850-2020; Lambert, Jean-Christopher/IUN-1096-2023</t>
  </si>
  <si>
    <t>Chabrillat, Simon/0000-0003-4378-1567; Lambert, Jean-Christopher/0000-0001-7243-6848; Errera, Quentin/0000-0002-4818-4879; Viscardy, Sebastien/0000-0002-5608-7438</t>
  </si>
  <si>
    <t>ProDEx; Belgian Science Policy Office [C90328]; ESA</t>
  </si>
  <si>
    <t>ProDEx; Belgian Science Policy Office(Belgian Federal Science Policy Office); ESA(European Space Agency)</t>
  </si>
  <si>
    <t>Manuscript received April 22, 2009; revised September 14, 2009. This work was supported in part by ProDEx and the Belgian Science Policy Office via the project SECPEA (C90328) and in part by ESA's GMES Service Element for the Atmosphere PROMOTE (http://www.gse-promote.org). First published February 22, 2010; current version published May 19, 2010.</t>
  </si>
  <si>
    <t>1939-1404</t>
  </si>
  <si>
    <t>2151-1535</t>
  </si>
  <si>
    <t>IEEE J-STARS</t>
  </si>
  <si>
    <t>IEEE J. Sel. Top. Appl. Earth Observ. Remote Sens.</t>
  </si>
  <si>
    <t>10.1109/JSTARS.2010.2040463</t>
  </si>
  <si>
    <t>Engineering, Electrical &amp; Electronic; Geography, Physical; Remote Sensing; Imaging Science &amp; Photographic Technology</t>
  </si>
  <si>
    <t>Engineering; Physical Geography; Remote Sensing; Imaging Science &amp; Photographic Technology</t>
  </si>
  <si>
    <t>599DJ</t>
  </si>
  <si>
    <t>WOS:000277890100004</t>
  </si>
  <si>
    <t>Sardessai, S; Maya, MV; Shetye, S; Kumar, SP; Fernandes, V; Paul, J; Ramaiah, N</t>
  </si>
  <si>
    <t>Sardessai, S.; Maya, M. V.; Shetye, Suhas; Kumar, S. Prasanna; Fernandes, Veronica; Paul, Jane; Ramaiah, N.</t>
  </si>
  <si>
    <t>Environmental controls on the seasonal carbon dioxide fluxes in the northeastern Indian Ocean</t>
  </si>
  <si>
    <t>Carbon dioxide fluxes; Salinity; Temperature; Primary productivity; Wind speed; Eddies; Seasonal variability; Northeastern Indian Ocean</t>
  </si>
  <si>
    <t>ARABIAN SEA; CO2; SEAWATER; EASTERN; DISSOCIATION; NUTRIENTS; CONSTANTS; PCO(2); ACID; BAY</t>
  </si>
  <si>
    <t>Total carbon dioxide (TCO2) and computations of partial pressure of carbon dioxide (pCO(2)) had been examined in Northerneastern region of Indian Ocean. It exhibit seasonal and spatial variability. North-south gradients in the pCO(2) levels were closely related to gradients in salinity caused by fresh water discharge received from rivers. Eddies observed in this region helped to elevate the nutrients availability and the biological controls by increasing the productivity. These phenomena elevated the carbon dioxide draw down during the fair seasons. Seasonal fluxes estimated from local wind speed and air-sea carbon dioxide difference indicate that during southwest monsoon, the northeastern Indian Ocean acts as a strong sink of carbon dioxide (-20.04 mmol m (-2) d(-1)). Also during fall intermonsoon the area acts as a weak sink of carbon dioxide (-4.69 mmol m (-2) d(-1)). During winter monsoon, this region behaves as a weak carbon dioxide source with an average sea to air flux of 4.77 mmol m(-2) d(-1) In the northern region, salinity levels in the surface level are high during winter compared to the other two seasons. Northeastern Indian Ocean shows significant intraseasonal variability in carbon dioxide fluxes that are mediated by eddies which provide carbon dioxide and nutrients from the subsurface waters to the mixed layer.</t>
  </si>
  <si>
    <t>[Sardessai, S.; Maya, M. V.; Kumar, S. Prasanna; Fernandes, Veronica; Paul, Jane; Ramaiah, N.] Natl Inst Oceanog, Panaji, Goa, India; [Shetye, Suhas] Natl Ctr Antarctic &amp; Ocean Res, Vasco Da Gama, Goa, India</t>
  </si>
  <si>
    <t>Sardessai, S (corresponding author), Natl Inst Oceanog, Panaji, Goa, India.</t>
  </si>
  <si>
    <t>Fernandes, Veronica/L-2989-2019; Ramaiah, Nagappa/AAV-3530-2021; M.V., Maya/Q-7251-2018</t>
  </si>
  <si>
    <t>Ministry of Earth Sciences</t>
  </si>
  <si>
    <t>The authors thank the Ministry of Earth Sciences for supporting the Bay Of Bengal Process Studies (BOBPS) programme. We gratefully acknowledge the support of all the cruise participants in the collection and analyses of samples (Mr. G. Nampoothiri, P.M.mMuralidharan, Ms/s xavita Vaz, Karen Lobo, Nisha Pires, Avina Barreto, Mr. B. Thorat, Mr. Nilesh parsekar,) This is MO contribution no. 4758.</t>
  </si>
  <si>
    <t>0975-1033</t>
  </si>
  <si>
    <t>654GI</t>
  </si>
  <si>
    <t>WOS:000282156100003</t>
  </si>
  <si>
    <t>Murray, H; Lucieer, A; Williams, R</t>
  </si>
  <si>
    <t>Murray, Humphrey; Lucieer, Arko; Williams, Raymond</t>
  </si>
  <si>
    <t>Texture-based classification of sub-Antarctic vegetation communities on Heard Island</t>
  </si>
  <si>
    <t>INTERNATIONAL JOURNAL OF APPLIED EARTH OBSERVATION AND GEOINFORMATION</t>
  </si>
  <si>
    <t>Vegetation mapping; Multispectral classification; Grey level co-occurrence matrix (GLCM); Texture-based classification; Sub-Antarctic Heard Island; IKONOS imagery</t>
  </si>
  <si>
    <t>PER-PIXEL CLASSIFICATION; COOCCURRENCE TEXTURE; SPECIES COMPOSITION; SPATIAL-RESOLUTION; LAND-COVER; FOREST; IMAGERY; SCALE</t>
  </si>
  <si>
    <t>This study was the first to use high-resolution IKONOS imagery to classify vegetation communities on sub-Antarctic Heard Island. We focused on the use of texture measures, in addition to standard multispectral information, to improve the classification of sub-Antarctic vegetation communities. Heard Island's pristine and rapidly changing environment makes it a relevant and exciting location to study the regional effects of climate change. This study uses IKONOS imagery to provide automated, up-to-date, and non-invasive means to map vegetation as an important indicator for environmental change. Three classification techniques were compared: multispectral classification, texture based classification, and a combination of both. Texture features were calculated using the Grey Level Co-occurrence Matrix (GLCM). We investigated the effect of the texture window size on classification accuracy. The combined approach produced a higher accuracy than using multispectral bands alone. It was also found that the selection of GLCM texture features is critical. The highest accuracy (85%) was produced using all original spectral bands and three uncorrelated texture features. Incorporating texture improved classification accuracy by 6%. (C) 2010 Elsevier B.V. All rights reserved.</t>
  </si>
  <si>
    <t>[Lucieer, Arko] Univ Tasmania, Sch Geog &amp; Environm Studies, Hobart, Tas 7001, Australia; [Williams, Raymond] Univ Tasmania, Sch Comp &amp; Informat Syst, Hobart, Tas 7001, Australia; [Murray, Humphrey] Datal Software, Launceston, Tas 7250, Australia</t>
  </si>
  <si>
    <t>University of Tasmania; University of Tasmania</t>
  </si>
  <si>
    <t>Lucieer, A (corresponding author), Univ Tasmania, Sch Geog &amp; Environm Studies, Private Bag 76, Hobart, Tas 7001, Australia.</t>
  </si>
  <si>
    <t>Arko.Lucieer@utas.edu.au</t>
  </si>
  <si>
    <t>Williams, Raymond/J-6104-2012; Lucieer, Arko/F-1247-2013; williams, Ray/HSE-3267-2023</t>
  </si>
  <si>
    <t>Lucieer, Arko/0000-0002-9468-4516;</t>
  </si>
  <si>
    <t>0303-2434</t>
  </si>
  <si>
    <t>INT J APPL EARTH OBS</t>
  </si>
  <si>
    <t>Int. J. Appl. Earth Obs. Geoinf.</t>
  </si>
  <si>
    <t>10.1016/j.jag.2010.01.006</t>
  </si>
  <si>
    <t>602CC</t>
  </si>
  <si>
    <t>WOS:000278114800002</t>
  </si>
  <si>
    <t>Simpson, A</t>
  </si>
  <si>
    <t>Simpson, Alistair</t>
  </si>
  <si>
    <t>The effect of Antarctic residence on energy dynamics and aerobic fitness</t>
  </si>
  <si>
    <t>INTERNATIONAL JOURNAL OF CIRCUMPOLAR HEALTH</t>
  </si>
  <si>
    <t>energy dynamics; aerobic fitness; Antarctic residence</t>
  </si>
  <si>
    <t>STANDARD COLD STRESS; BASAL METABOLIC RATE; POLAR EXPEDITION; BODY-WEIGHT; FOOD-INTAKE; MEN; ENVIRONMENTS; TEMPERATURE; EXPENDITURE; REQUIREMENTS</t>
  </si>
  <si>
    <t>Objective. To review the current literature that describes the effect of Antarctic residence on energy dynamics and aerobic fitness. Study design. Literature review. Methods. Published literature on energy dynamics and aerobic fitness in the polar environment was reviewed. Energy dynamics were represented by body weight, body fat, food intake and energy expenditure. Consideration was given to seasonal variation and possible explanations for the apparent high metabolic cost of Antarctic residence. The influence of cold exposure was discussed and comment was made on the differences between temperate and polar residence. Results. Food intake and energy expenditure are found to increase with Antarctic residence. There is often an associated increase in body weight and body fat. Seasonal variation is common but not universal, with an increase in body weight and body fat in winter. Variation in aerobic fitness appears to be related to the specific study sample rather than Antarctic residence per se. Conclusions. In most instances, Antarctic residence has effects on energy dynamics and aerobic fitness. Explanations for the observed changes may include physiological adaptations, such as a raised basal metabolic rate and increased thermogenesis. However, cold-induced changes are less likely when cold exposure is minimized by heated buildings and insulated clothing. Activity patterns related to work and leisure thus represent a more likely cause. The majority of the research is several decades old; further research would help to elucidate the patterns of energy dynamics of modern Antarctic workers. (Int J Circumpolar Health 2010; 69(3):220-235)</t>
  </si>
  <si>
    <t>Royal Infirm Edinburgh NHS Trust, Dept Anaesthesia Intens Care &amp; Pain Med, Edinburgh EH16 4SA, Midlothian, Scotland</t>
  </si>
  <si>
    <t>Royal Infirmary of Edinburgh; University of Edinburgh</t>
  </si>
  <si>
    <t>Simpson, A (corresponding author), Royal Infirm Edinburgh NHS Trust, Dept Anaesthesia Intens Care &amp; Pain Med, 51 Little France Crescent,Old Dalkeith Rd, Edinburgh EH16 4SA, Midlothian, Scotland.</t>
  </si>
  <si>
    <t>alistair@altitude.org</t>
  </si>
  <si>
    <t>INT ASSOC CIRCUMPOLAR HEALTH PUBL</t>
  </si>
  <si>
    <t>OULU</t>
  </si>
  <si>
    <t>AAPISTIE1, OULU, FIN-90220, FINLAND</t>
  </si>
  <si>
    <t>1239-9736</t>
  </si>
  <si>
    <t>INT J CIRCUMPOL HEAL</t>
  </si>
  <si>
    <t>Int. J. Circumpolar Health</t>
  </si>
  <si>
    <t>10.3402/ijch.v69i3.17625</t>
  </si>
  <si>
    <t>Public, Environmental &amp; Occupational Health</t>
  </si>
  <si>
    <t>627QM</t>
  </si>
  <si>
    <t>WOS:000280055800004</t>
  </si>
  <si>
    <t>Caburlotto, A; Lucchi, RG; De Santis, L; Macrì, P; Tolotti, R</t>
  </si>
  <si>
    <t>Caburlotto, Andrea; Lucchi, R. G.; De Santis, L.; Macri, P.; Tolotti, R.</t>
  </si>
  <si>
    <t>Sedimentary processes on the Wilkes Land continental rise reflect changes in glacial dynamic and bottom water flow</t>
  </si>
  <si>
    <t>High salinity shelf water; Turbidity currents; Glacio-marine depositional processes; Marine isotopic stage 11; Glacial dynamic changes</t>
  </si>
  <si>
    <t>RELATIVE GEOMAGNETIC PALEOINTENSITY; SOUTHERN-OCEAN SEDIMENTS; ANTARCTIC ICE-SHEET; MAJOR DIATOM TAXA; GEORGE-V; SEA-ICE; LATE PLEISTOCENE; STRATIGRAPHIC EVIDENCE; EAST ANTARCTICA; WEDDELL SEA</t>
  </si>
  <si>
    <t>Four sediment cores were analysed in order to determine the sedimentary processes associated with the channel-ridge depositional system that characterise the George V Land continental margin on the Wilkes Land. The sedimentary record indicates that the WEGA channel was a dynamic turbiditic system up to M.I.S. 11. After this time, the channel became a lower-energy environment with sediments delivered to the channel through high-density bottom waters that we identify to be the high salinity shelf waters (HSSW) forming on the shelf area. The HSSW entrains the fine-grained sediments of the shelf area and deliver them to the continental rise. The biostratigraphy and facies of the sediments within the WEGA channel indicate that the HSSW down flow was active also during last glacial. The change from a turbiditic system to a low-energy bottom current system within the WEGA channel likely reflects a different ice-flow pattern, with ice-sheet reaching the continental shelf edge only within the ice trough (ice stream).</t>
  </si>
  <si>
    <t>[Caburlotto, Andrea; De Santis, L.] OGS, Ist Nazl Oceanog &amp; Geofis Sperimentale, I-34010 Sgonico, Italy; [Lucchi, R. G.] Univ Barcelona, Dept Estatrig, E-08028 Barcelona, Spain; [Macri, P.] INGV, I-00143 Rome, Italy; [Tolotti, R.] Univ Genoa, Dip Te Ris, I-16132 Genoa, Italy</t>
  </si>
  <si>
    <t>Istituto Nazionale di Oceanografia e di Geofisica Sperimentale; University of Barcelona; Istituto Nazionale Geofisica e Vulcanologia (INGV); University of Genoa</t>
  </si>
  <si>
    <t>Caburlotto, A (corresponding author), OGS, Ist Nazl Oceanog &amp; Geofis Sperimentale, Borgo Grotta Gigante 42-C, I-34010 Sgonico, Italy.</t>
  </si>
  <si>
    <t>acaburlotto@ogs.trieste.it</t>
  </si>
  <si>
    <t>Macrì, Patrizia/ABD-2144-2021</t>
  </si>
  <si>
    <t>Macrì, Patrizia/0000-0003-2287-4019; De Santis, Laura/0000-0002-7752-7754; caburlotto, andrea/0000-0001-7259-6884; Lucchi, Renata Giulia/0000-0001-5111-6968</t>
  </si>
  <si>
    <t>Programma Nazionale delle Ricerche in Antartide (PNRA); OGS</t>
  </si>
  <si>
    <t>Programma Nazionale delle Ricerche in Antartide (PNRA); OGS(Ontario Graduate Scholarship)</t>
  </si>
  <si>
    <t>We acknowledge Captain and crew of the R. V. Tangaroa for their skilful support during the WEGA 2000 cruise. We thank G. Kuhn, M. Weber and R. Stein for detailed review that greatly improved the manuscript. This work was funded by the Programma Nazionale delle Ricerche in Antartide (PNRA) under the WEGA Project. The first author benefits from an OGS doctoral fellowship in Polar Science at the University of Siena (Italy). The grain size analysis has been made at the Laboratorio Antartide'' at the Department of Geological, environmental and Marine Sciences of the University of Trieste (Italy).</t>
  </si>
  <si>
    <t>10.1007/s00531-009-0422-8</t>
  </si>
  <si>
    <t>595VN</t>
  </si>
  <si>
    <t>WOS:000277641600012</t>
  </si>
  <si>
    <t>Escapa, IH; Decombeix, AL; Taylor, EL; Taylor, TN</t>
  </si>
  <si>
    <t>Escapa, Ignacio H.; Decombeix, Anne-Laure; Taylor, Edith L.; Taylor, Thomas N.</t>
  </si>
  <si>
    <t>EVOLUTION AND RELATIONSHIPS OF THE CONIFER SEED CONE TELEMACHUS: EVIDENCE FROM THE TRIASSIC OF ANTARCTICA</t>
  </si>
  <si>
    <t>INTERNATIONAL JOURNAL OF PLANT SCIENCES</t>
  </si>
  <si>
    <t>Triassic; Antarctica; conifers; Telemachus; evolution</t>
  </si>
  <si>
    <t>POLLEN; LEAVES; PLANTS; NOV</t>
  </si>
  <si>
    <t>The seed cone Telemachus is known from several Triassic localities in Gondwana. New specimens from two localities in Antarctica provide additional information about the type species, Telemachus elongatus, based on details of morphology and anatomy revealed by using a modified transfer technique on the compressed plants. Seed cones of T. elongatus are up to 6.0 cm long and characterized by conspicuous, elongate bracts. A second Antarctic species, described here as Telemachus antarcticus, is segregated, based on a shorter bract and differences in cone size. Newly recognized features of the genus include the shape, size, and disposition of the ovules; vascularization of the ovuliferous complex; and scale and bract histology. As a result of this new information, it is now possible to compare Telemachus with the permineralized Middle Triassic conifer seed cone Parasciadopitys from the Central Transantarctic Mountains. The similarities between the two genera make it possible to relate organs in different preservational modes and to develop a more complete concept for this widely distributed Gondwana conifer. Placing the Telemachus plant within a phylogenetic context makes it possible to evaluate the relationship with other so-called transitional conifers, an informal group that has been interpreted as intermediate between Paleozoic and modern conifers.</t>
  </si>
  <si>
    <t>[Escapa, Ignacio H.] Univ Kansas, Dept Ecol &amp; Evolutionary Biol, Lawrence, KS 66045 USA; Univ Kansas, Nat Hist Museum, Lawrence, KS 66045 USA; Univ Kansas, Biodivers Inst, Lawrence, KS 66045 USA</t>
  </si>
  <si>
    <t>University of Kansas; University of Kansas; University of Kansas</t>
  </si>
  <si>
    <t>Escapa, IH (corresponding author), Univ Kansas, Dept Ecol &amp; Evolutionary Biol, Lawrence, KS 66045 USA.</t>
  </si>
  <si>
    <t>iescapa@mef.org.ar</t>
  </si>
  <si>
    <t>E., Ignacio/AAA-3569-2021; Decombeix, Anne-Laure/H-3710-2013</t>
  </si>
  <si>
    <t>Decombeix, Anne-Laure/0000-0002-6348-0086; Escapa, Ignacio/0000-0002-7042-7750</t>
  </si>
  <si>
    <t>We thank Michael Krings and Ruben Cuneo, who helped with the early development of the ideas included in this contribution. We also thank Rudolph Serbet, who provided assistance in some aspects of fossil preparation, and Sara Taliaferro, for the reconstructions. This manuscript was improved through critical comments from three anonymous reviewers. This research was supported by the National Science Foundation (OPP-0635477 to E. L. Taylor and T. N. Taylor).</t>
  </si>
  <si>
    <t>1058-5893</t>
  </si>
  <si>
    <t>INT J PLANT SCI</t>
  </si>
  <si>
    <t>Int. J. Plant Sci.</t>
  </si>
  <si>
    <t>10.1086/651948</t>
  </si>
  <si>
    <t>592OS</t>
  </si>
  <si>
    <t>WOS:000277389500010</t>
  </si>
  <si>
    <t>Villaescusa, JA; Casamayor, EO; Rochera, C; Velázquez, D; Chicote, A; Quesada, A; Camacho, A</t>
  </si>
  <si>
    <t>Villaescusa, Juan A.; Casamayor, Emilio O.; Rochera, Carlos; Velazquez, David; Chicote, Alvaro; Quesada, Antonio; Camacho, Antonio</t>
  </si>
  <si>
    <t>A close link between bacterial community composition and environmental heterogeneity in maritime Antarctic lakes</t>
  </si>
  <si>
    <t>INTERNATIONAL MICROBIOLOGY</t>
  </si>
  <si>
    <t>maritime Antarctic lakes; bacterioplankton; aquatic trophic status</t>
  </si>
  <si>
    <t>FRESH-WATER LAKES; MICROBIAL MATS; BACTERIOPLANKTON COMMUNITY; PLANKTONIC COMMUNITIES; ARCHAEAL ASSEMBLAGES; LIVINGSTON ISLAND; BYERS PENINSULA; FLOW-CYTOMETRY; CIERVA POINT; DIVERSITY</t>
  </si>
  <si>
    <t>Seven maritime Antarctic lakes located on Byers Peninsula (Livingston Island, South Shetland Islands) were surveyed to determine the relationship between planktonic bacterial community composition and environmental features. Specifically, the extent to which factors other than low temperature determine the composition of bacterioplankton assemblages of maritime Antarctic lakes was evaluated. Both deep and shallow lakes in the central plateau of the Peninsula, as well as a coastal lake, were studied in order to fully account for the environmental heterogeneity of the Peninsula's lakes. The results showed that shallow coastal lakes display eutrophic conditions, mainly due to the influence of marine animals, whereas plateau lakes are generally deeper and most are oligotrophic, with very limited inputs of nutrients and organic matter. Meso-eutrophic shallow lakes are also present on the Peninsula; they contain microbial mats and a higher trophic status because of the biologically mediated active nutrient release from the sediments. Diversity studies of the lakes' planktonic bacterial communities using molecular techniques showed that bacterial diversity is lower in eutrophic than in oligotrophic lakes. The former also differed in community composition with respect to dominant taxa. Multivariate statistical analyses of environmental data yielded the same clustering of lakes as obtained based on the DGGE band pattern after DNA extraction and amplification of 16S rRNA gene fragments. Thus, even in extremely cold lakes, the bacterial community composition parallels other environmental factors, such as those related to trophic status. This correspondence is not only mediated by the influence of marine fauna but also by processes including sediment and ice melting dynamics. The bacterial community can therefore be considered to be equally representative as environmental abiotic variables in demonstrating the environmental heterogeneity among maritime Antarctic lakes. [Int Microbiol 2010; I 3(2):67-77]</t>
  </si>
  <si>
    <t>[Camacho, Antonio] Univ Valencia, Dept Microbiol &amp; Ecol, Cavanilles Inst Biodivers &amp; Evolutionary Biol, E-46100 Burjassot, Spain; [Casamayor, Emilio O.] CEAB CSIC, Dept Continental Ecol, Blanes, Spain; [Velazquez, David; Quesada, Antonio] Autonomous Univ Madrid, Dept Biol, Madrid, Spain; [Chicote, Alvaro] Univ Castilla La Mancha, ETSICCP, E-13071 Ciudad Real, Spain</t>
  </si>
  <si>
    <t>University of Valencia; Consejo Superior de Investigaciones Cientificas (CSIC); CSIC - Centre d'Estudis Avancats de Blanes (CEAB); Autonomous University of Madrid; Universidad de Castilla-La Mancha</t>
  </si>
  <si>
    <t>Camacho, A (corresponding author), Univ Valencia, Dept Microbiol &amp; Ecol, Cavanilles Inst Biodivers &amp; Evolutionary Biol, Edificio Invest Jeroni Munoz,Campus Burjassot, E-46100 Burjassot, Spain.</t>
  </si>
  <si>
    <t>antonio.camacho@uv.es</t>
  </si>
  <si>
    <t>Casamayor, Emilio/A-3676-2010; Rochera, Carlos/M-2932-2014; Camacho, Antonio/I-3417-2015; Quesada, Antonio/L-2430-2013; Velazquez, David/M-2309-2017</t>
  </si>
  <si>
    <t>Casamayor, Emilio/0000-0001-7074-3318; Rochera, Carlos/0000-0002-8294-4755; Camacho, Antonio/0000-0003-0841-2010; Quesada, Antonio/0000-0002-8913-5993; Chicote, Alvaro/0000-0002-0058-3029; Velazquez, David/0000-0002-4127-8370</t>
  </si>
  <si>
    <t>Spanish Ministry of Education and Science [CGL2005-06549-C02-02/ANT, CGL2005-06549-C02-01/ANT]; European FEDER funds</t>
  </si>
  <si>
    <t>Spanish Ministry of Education and Science(Spanish Government); European FEDER funds(European Union (EU))</t>
  </si>
  <si>
    <t>This study was supported by the project CGL2005-06549-C02-02/ANT from the Spanish Ministry of Education and Science to AC, which was co-financed by European FEDER funds, and CGL2005-06549-C02-01/ANT to AQ. Molecular analyses were funded by project CGL2006-27884-E/ANT to EOC. Support for travel costs was also obtained from grants CGL2007-29841-E and CTM2008-05205-E, given by the Spanish Ministry of Science and Innovation to AC. The authors are indebted to the LIMNOPOLAR Team for their support, as well as to the crew of the ship Las Palmas (Spanish Navy) and the Marine Technology Unit (UTM-CSIC) for logistic support. We also thank the Central Service for the Support to Experimental Research (SCSIE) from the University of Valencia for their assistance with some of the analyses.</t>
  </si>
  <si>
    <t>1139-6709</t>
  </si>
  <si>
    <t>1618-1905</t>
  </si>
  <si>
    <t>INT MICROBIOL</t>
  </si>
  <si>
    <t>Int. Microbiol.</t>
  </si>
  <si>
    <t>10.2436/20.1501.01.112</t>
  </si>
  <si>
    <t>648PI</t>
  </si>
  <si>
    <t>WOS:000281706000003</t>
  </si>
  <si>
    <t>Smyshlyaev, SP; Galin, VY; Shaariibuu, G; Motsakov, MA</t>
  </si>
  <si>
    <t>Smyshlyaev, S. P.; Galin, V. Ya; Shaariibuu, Gerelmaa; Motsakov, M. A.</t>
  </si>
  <si>
    <t>Modeling the variability of gas and aerosol components in the stratosphere of polar regions</t>
  </si>
  <si>
    <t>IZVESTIYA ATMOSPHERIC AND OCEANIC PHYSICS</t>
  </si>
  <si>
    <t>ANTARCTIC OZONE HOLE; DEPLETION; CHEMISTRY; MYSTERY; CLOUDS</t>
  </si>
  <si>
    <t>A thermodynamics-microphysics model of the formation and evolution of stratospheric clouds is developed. This model was integrated into the global chemistry-climate model of the lower and middle atmosphere. Model experiments on the study of the evolution of the gas and aerosol compositions of the Arctic and Antarctic atmosphere were performed. The results of an investigation into the observed differences of changes in the contents of gaseous impurities and aerosol in polar regions showed that the presence of nitrification in the Antarctic and its absence in the Arctic are the main factors controlling distinctions between the formation of a full-value ozone hole in the Antarctic and only occasional mini-holes in the Arctic.</t>
  </si>
  <si>
    <t>[Smyshlyaev, S. P.; Shaariibuu, Gerelmaa; Motsakov, M. A.] Russian State Hydrometeorol Univ, St Petersburg 195196, Russia; [Galin, V. Ya] Russian Acad Sci, Inst Numer Math, Moscow 119991, Russia</t>
  </si>
  <si>
    <t>Russian State Hydrometeorological University; Russian Academy of Sciences</t>
  </si>
  <si>
    <t>Smyshlyaev, SP (corresponding author), Russian State Hydrometeorol Univ, Malookhtinskii Pr 98, St Petersburg 195196, Russia.</t>
  </si>
  <si>
    <t>smyshl@rshu.ru</t>
  </si>
  <si>
    <t>Motsakov, Maxim/B-4430-2018; Smyshlyaev, Sergei/F-1198-2014</t>
  </si>
  <si>
    <t>Smyshlyaev, Sergei/0000-0002-8291-6738</t>
  </si>
  <si>
    <t>Russian Foundation for Basic Research [09-05-00916a, 08-05-01006a]</t>
  </si>
  <si>
    <t>This study was supported by the Russian Foundation for Basic Research, project nos. 09-05-00916a and 08-05-01006a.</t>
  </si>
  <si>
    <t>0001-4338</t>
  </si>
  <si>
    <t>IZV ATMOS OCEAN PHY+</t>
  </si>
  <si>
    <t>Izv. Atmos. Ocean. Phys.</t>
  </si>
  <si>
    <t>10.1134/S0001433810030011</t>
  </si>
  <si>
    <t>615JF</t>
  </si>
  <si>
    <t>WOS:000279130200001</t>
  </si>
  <si>
    <t>Chilvers, BL; Wilkinson, IS; Mackenzie, DI</t>
  </si>
  <si>
    <t>Chilvers, B. Louise; Wilkinson, Ian S.; Mackenzie, Darryl I.</t>
  </si>
  <si>
    <t>Predicting Life-History Traits for Female New Zealand Sea Lions, Phocarctos hookeri: Integrating Short-Term Mark-Recapture Data and Population Modeling</t>
  </si>
  <si>
    <t>Auckland Islands; Fisheries interactions; Multi-state mark-recapture model; Population dynamics</t>
  </si>
  <si>
    <t>ANTARCTIC FUR SEALS; REPRODUCTIVE-PERFORMANCE; SITE FIDELITY; AGE; SURVIVAL; DYNAMICS; GROWTH; PROBABILITIES; LACTATION; BIOLOGY</t>
  </si>
  <si>
    <t>The trade-off between survival and reproduction by individuals is central to understanding life-history parameters of a species. Few mammal species have life-history information from long-term research. Instead, demographic models are commonly utilized to investigate an individual's life-history strategy, species dynamics, and population trends. This research investigates age-related survival and reproductive performance of adult female New Zealand (NZ) sea lions (Phocarctos hookeri), using multi-state mark-recapture data from known-age branded individuals over five years. The mark-recapture analysis was integrated with a population model to predict the lifetime reproductive output of female NZ sea lions. The integration of an analysis of short-term datasets with population modeling allows for the prediction of life-history parameters of long lived animals when long-term information is not available. While such approaches involve some caveats, it provides a framework for investigating population dynamics and is preferential to unsubstantiated assumptions. This technique can lead to better design and implementation of conservation management for long lived species. Base code is provided in the online supplement.</t>
  </si>
  <si>
    <t>[Chilvers, B. Louise; Wilkinson, Ian S.] Dept Conservat, Marine Conservat Grp, POB 10-420, Wellington 6011, New Zealand; [Mackenzie, Darryl I.] Proteus Wildlife Res Consultants, Dunedin 9058, New Zealand</t>
  </si>
  <si>
    <t>Chilvers, BL (corresponding author), Dept Conservat, Marine Conservat Grp, POB 10-420, Wellington 6011, New Zealand.</t>
  </si>
  <si>
    <t>Chilvers, B. Louise/AAV-1965-2021; Wilkinson, Ian S/ABG-2772-2020</t>
  </si>
  <si>
    <t>Chilvers, B. Louise/0000-0002-7657-4217;</t>
  </si>
  <si>
    <t>DOC, Research, Development, and Information [1638]; New Zealand Squid Fishery Management Company</t>
  </si>
  <si>
    <t>DOC, Research, Development, and Information; New Zealand Squid Fishery Management Company</t>
  </si>
  <si>
    <t>The work was conducted under permit from the New Zealand Department of Conservation (DOC), and was funded by DOC, Research, Development, and Information (Investigation no. 1638) and a Conservation services Levy from the New Zealand Squid Fishery Management Company. The authors thank Dr. P. Duignan, S. Childer-house, J. Amey, M. Brown, A. Castinel, W. Hockley, R. Hood, A. Maloney, P. McClelland, F. Riet Sapriza, M. Stratton, and M. Wylie for assistance with captures in the field. The authors thank DOC Southland for their logistical assistance. Approval for work was obtained from DOC Animal Ethics Committee-Approval AEC86 (1 July 1999). Thanks to I. West, A. Todd, and two anonymous reviewers who provided helpful, critical reviews of the manuscript.</t>
  </si>
  <si>
    <t>10.1007/s13253-009-0011-0</t>
  </si>
  <si>
    <t>609UX</t>
  </si>
  <si>
    <t>WOS:000278684100008</t>
  </si>
  <si>
    <t>Knuth, SL; Tripoli, GJ; Thom, JE; Weidner, GA</t>
  </si>
  <si>
    <t>Knuth, Shelley L.; Tripoli, Gregory J.; Thom, Jonathan E.; Weidner, George A.</t>
  </si>
  <si>
    <t>The Influence of Blowing Snow and Precipitation on Snow Depth Change across the Ross Ice Shelf and Ross Sea Regions of Antarctica</t>
  </si>
  <si>
    <t>JOURNAL OF APPLIED METEOROLOGY AND CLIMATOLOGY</t>
  </si>
  <si>
    <t>SNOWDRIFT SUBLIMATION; WIND; ACCUMULATION; LATITUDES; CLIMATE</t>
  </si>
  <si>
    <t>Measuring snowfall in the polar regions is an issue met with many complications. Across the Antarctic, ground-based precipitation measurements are only available from a sparse network of manned stations or field studies. Measurements from satellites promise to fill in gaps in time and space but are still in the early stages of development and require surface measurements for proper validation. Currently, measurements of accumulation from automated reporting stations are the only available means of tracking snow depth change over a broad area of the continent. The challenge remains in determining the cause of depth change by partitioning the impacts of blowing snow and precipitation. While a methodology for separating these two factors has yet to be developed, by comparing accumulation measurements with meteorological measurements, an assessment of whether these terms were a factor in snow depth change during an event can be made. This paper describes a field study undertaken between January 2005 and October 2006 designed to identify the influences of precipitation and horizontal snow transport on surface accumulation. Seven acoustic depth gauges were deployed at automatic weather stations (AWS) across the Ross Ice Shelf and Ross Sea regions of Antarctica to measure net accumulation changes. From these measurements, episodic events were identified and were compared with data from the AWS to determine the primary cause of depth change-precipitation or horizontal snow transport. Information regarding the local impacts of these two terms, as well as climatological information regarding snow depth change across this region, is also provided.</t>
  </si>
  <si>
    <t>[Knuth, Shelley L.; Thom, Jonathan E.; Weidner, George A.] Univ Wisconsin, Antarctic Meteorol Res Ctr, Madison, WI 53706 USA</t>
  </si>
  <si>
    <t>Knuth, SL (corresponding author), Univ Wisconsin, Antarctic Meteorol Res Ctr, 1225 W Dayton St, Madison, WI 53706 USA.</t>
  </si>
  <si>
    <t>shelley.knuth@colorado.edu</t>
  </si>
  <si>
    <t>Knuth, Shelley/0000-0001-7249-4773</t>
  </si>
  <si>
    <t>National Science Foundation [OPP-0338147, ANT-0636873]</t>
  </si>
  <si>
    <t>The authors thank Dr. Gordon Hamilton of the University of Maine for supplying the ADGs, as well as Dr. Mark Seefeldt of the University of Colorado for assistance with their deployment. The authors further acknowledge the use of the ADG data from the B-15K, Drygalski, and Nascent sites as provided by Dr. Douglas MacAyeal of the University of Chicago. Great assistance was also provided by Linda Keller and Dr. Matthew Lazzara of the Antarctic Meteorological Research Center regarding the climatological aspects of this work. This project is supported by the National Science Foundation (OPP-0338147 and ANT-0636873).</t>
  </si>
  <si>
    <t>1558-8424</t>
  </si>
  <si>
    <t>J APPL METEOROL CLIM</t>
  </si>
  <si>
    <t>J. Appl. Meteorol. Climatol.</t>
  </si>
  <si>
    <t>10.1175/2010JAMC2245.1</t>
  </si>
  <si>
    <t>634SC</t>
  </si>
  <si>
    <t>WOS:000280604200015</t>
  </si>
  <si>
    <t>Mo, T</t>
  </si>
  <si>
    <t>Mo, Tsan</t>
  </si>
  <si>
    <t>A Study of the NOAA Near-Nadir AMSU-A Brightness Temperatures over Antarctica</t>
  </si>
  <si>
    <t>JOURNAL OF ATMOSPHERIC AND OCEANIC TECHNOLOGY</t>
  </si>
  <si>
    <t>MICROWAVE SOUNDING UNIT; POSTLAUNCH CALIBRATION; LAND</t>
  </si>
  <si>
    <t>Daily mean brightness temperatures over Antarctica derived from measurements by three Advanced Microwave Sounding Unit-A (AMSU-A) radiometers on board NOAA-18, NOAA-19, and MetOp-A satellites are studied. To demonstrate the characteristics of the data over this test site, time series of daily averages of the brightness temperatures are constructed. These time series provide a useful pattern of annual variation of the AMSU-A measurements for intercalibration of microwave radiometers on board multiple satellites. To investigate the diurnal effect on the measurements, the time series of daily averaged brightness temperatures are constructed separately for the ascending and descending passes. Results show that there are little diurnal differences in measurements during the Antarctic winter months from each satellite. Therefore these measurements provide a practical approach to obtain relative channel biases of intersatellite data. The monthly averages of the measurements over July 2009 are employed to obtain the relative channel biases because it is the coldest month in Antarctica. The resultant channel biases for the three satellites are within the range of +/- 0.1 K for channels 1-5 and +/- 0.3 K for channels 6-15. This is strong evidence that Antarctica is a potentially good test site for intercalibration of microwave radiometers on board multiple satellites. The small relative biases at channels 1-5 indicate that Antarctica is a very stable test site that is particularly useful for intercalibration of measurements from the window channels. The establishment of a natural test site for calibration references is important for calibration and validation of spaceborne microwave instruments.</t>
  </si>
  <si>
    <t>NOAA, Ctr Satellite Applicat &amp; Res, NESDIS, Camp Springs, MD 20746 USA</t>
  </si>
  <si>
    <t>Mo, T (corresponding author), NOAA, Ctr Satellite Applicat &amp; Res, NESDIS, 5200 Auth Rd, Camp Springs, MD 20746 USA.</t>
  </si>
  <si>
    <t>tsan.mo@noaa.gov</t>
  </si>
  <si>
    <t>Mo, Tsan/F-5614-2010</t>
  </si>
  <si>
    <t>0739-0572</t>
  </si>
  <si>
    <t>J ATMOS OCEAN TECH</t>
  </si>
  <si>
    <t>J. Atmos. Ocean. Technol.</t>
  </si>
  <si>
    <t>10.1175/2010JTECHA1417.1</t>
  </si>
  <si>
    <t>Engineering, Ocean; Meteorology &amp; Atmospheric Sciences</t>
  </si>
  <si>
    <t>Engineering; Meteorology &amp; Atmospheric Sciences</t>
  </si>
  <si>
    <t>615AR</t>
  </si>
  <si>
    <t>WOS:000279103600004</t>
  </si>
  <si>
    <t>Ngwira, CM; McKinnell, LA; Cilliers, PJ</t>
  </si>
  <si>
    <t>Ngwira, Chigomezyo M.; McKinnell, Lee-Anne; Cilliers, Pierre J.</t>
  </si>
  <si>
    <t>GPS phase scintillation observed over a high-latitude Antarctic station during solar minimum</t>
  </si>
  <si>
    <t>Ionospheric irregularities; GPS scintillation; Auroral electron precipitation; Solar minimum</t>
  </si>
  <si>
    <t>AURORAL LATITUDES; REGION; IRREGULARITIES; FLUCTUATIONS; IONOSPHERE; STORMS</t>
  </si>
  <si>
    <t>Radio wave scintillation due to the presence of ionospheric irregularities can cause fading and phase variation of L-band navigation signals such as those used by the Global Positioning System (GPS). The high-latitude regions experience increased scintillation events under geomagnetically disturbed conditions, particularly during solar maximum. This paper presents phase scintillation measurements observed at the South African Antarctic polar research station during solar minimum conditions. In addition, a multi-instrument approach is shown in which the scintillation events are associated with auroral electron precipitation. Furthermore, it is shown that external energy injection into the ionosphere is an important factor in the development of irregularities producing scintillation. (C) 2010 Elsevier Ltd. All rights reserved.</t>
  </si>
  <si>
    <t>[Ngwira, Chigomezyo M.; McKinnell, Lee-Anne] Rhodes Univ, Dept Phys &amp; Elect, ZA-6140 Grahamstown, South Africa; [Ngwira, Chigomezyo M.; McKinnell, Lee-Anne; Cilliers, Pierre J.] Hermanus Magnet Observ, Hermanus, South Africa</t>
  </si>
  <si>
    <t>Rhodes University; Council for Scientific &amp; Industrial Research (CSIR) - South Africa</t>
  </si>
  <si>
    <t>Ngwira, CM (corresponding author), Rhodes Univ, Dept Phys &amp; Elect, ZA-6140 Grahamstown, South Africa.</t>
  </si>
  <si>
    <t>chigongwira@yahoo.co.uk</t>
  </si>
  <si>
    <t>ngwira, chigomezyo M/D-7310-2012; Cilliers, Pierre/ABI-2944-2020; Cilliers, Pierre/AAA-2032-2019</t>
  </si>
  <si>
    <t>Cilliers, Pierre/0000-0003-3175-5134;</t>
  </si>
  <si>
    <t>National Astrophysics and Space Science Programme of South Africa</t>
  </si>
  <si>
    <t>The authors would like to thank Daleen Koch from the HMO for the assistance in this work. Morgan O'Kennedy and Anne Mans both from the North-West University are acknowledged for providing the riometer and magnetometer data. The DMSP particle detectors were designed by Dave Hardy of AFRL, and data obtained from JHU/APL. We thank the WDC-Kyoto team for the Dst index data and NGDC solar data services for sunspot data. The solar wind IMF data was accessed through the CDAWeb database, which is hosted by the NASA/GSFC Space Physics Data Facility. The first author acknowledges the National Astrophysics and Space Science Programme of South Africa for the financial support.</t>
  </si>
  <si>
    <t>9-10</t>
  </si>
  <si>
    <t>10.1016/j.jastp.2010.03.014</t>
  </si>
  <si>
    <t>610BU</t>
  </si>
  <si>
    <t>WOS:000278705400008</t>
  </si>
  <si>
    <t>Interannual variability of the S=1 and S=2 components of the semidiurnal tide in the Antarctic MLT</t>
  </si>
  <si>
    <t>Semidiurnal tide; Antarctic; Mesosphere; QBO</t>
  </si>
  <si>
    <t>QUASI-BIENNIAL OSCILLATION; IMAGING DOPPLER INTERFEROMETER; LOWER THERMOSPHERE; SOUTH-POLE; MEAN WINDS; 12-HOUR OSCILLATION; UPPER MESOSPHERE; METEOR ECHOES; RADAR; SUPERDARN</t>
  </si>
  <si>
    <t>Twelve years of horizontal wind data from the Scott Base MF radar and the Halley SuperDARN radar recorded between January 1996 and December 2007 are analysed to study the interannual variability of the migrating (S=2) and non-migrating (S=1) components of the semidiurnal tide around 78 degrees S in the Antarctic upper mesosphere. Significant quasi-biennial modulation of the summer time S=1 component is observed. During early summer the amplitude of the component is up to 4 ms(-1) stronger during the easterly phase of the equatorial stratospheric quasi-biennial oscillation (QBO) measured at 30 hPa. No statistically significant effect is seen in amplitude of the migrating component of the tide, or in the phase (time of maximum) of either component. These results are discussed in the light of previous observations of the interannual variability of the semidiurnal tide. (C) 2010 Elsevier Ltd. All rights reserved.</t>
  </si>
  <si>
    <t>[Hibbins, R. E.; Marsh, O. J.; Jarvis, M. J.] British Antarctic Survey, Cambridge CB3 0ET, England; [McDonald, A. J.] Univ Canterbury, Dept Phys &amp; Astron, Christchurch 1, New Zealand</t>
  </si>
  <si>
    <t>Hibbins, RE (corresponding author), British Antarctic Survey, High Cross,Madingley Rd, Cambridge CB3 0ET, England.</t>
  </si>
  <si>
    <t>Marsh, Oliver/0000-0001-7874-514X; Hibbins, Robert/0000-0002-6867-2255; McDonald, Adrian/0000-0002-1456-6254</t>
  </si>
  <si>
    <t>UK Natural Environment Research Council; US National Science Foundation [DPP-8602975]; Natural Environment Research Council [bas0100023] Funding Source: researchfish; NERC [bas0100023] Funding Source: UKRI</t>
  </si>
  <si>
    <t>The authors would like to thank the Halley SuperDARN PI, M. Freeman, and the staff of the Engineering and Data Management Group of the Physical Sciences Division at the British Antarctic Survey for their technical assistance, and for the maintenance and operation of the Halley SuperDARN radar over the years. The radar was developed under funding from the UK Natural Environment Research Council and US National Science Foundation (Grant DPP-8602975). Logistic support for the Scott Base MF radar is provided by Antarctica New Zealand. We acknowledge the work by the Scott Base and University of Canterbury technical staff to ensure continuous operation.</t>
  </si>
  <si>
    <t>10.1016/j.jastp.2010.03.026</t>
  </si>
  <si>
    <t>WOS:000278705400017</t>
  </si>
  <si>
    <t>Babu, CP; Pattan, JN; Dutta, K; Basavaiah, N; Prasad, GVR; Ray, DK; Govil, P</t>
  </si>
  <si>
    <t>Babu, C. Prakash; Pattan, J. N.; Dutta, K.; Basavaiah, N.; Prasad, G. V. Ravi; Ray, D. K.; Govil, P.</t>
  </si>
  <si>
    <t>Shift in detrital sedimentation in the eastern Bay of Bengal during the late Quaternary</t>
  </si>
  <si>
    <t>JOURNAL OF EARTH SYSTEM SCIENCE</t>
  </si>
  <si>
    <t>Bay of Bengal; sediment core; calcium carbonate; dilution; detrital; biogenic; turbidite; Ganges-Brahmaputra</t>
  </si>
  <si>
    <t>RARE-EARTH-ELEMENTS; DEEP-SEA SEDIMENTS; HEAVY-METALS; SURFICIAL SEDIMENTS; WESTERN BOUNDARY; INDIAN-OCEAN; ARABIAN SEA; MONSOON; URANIUM; GANGES</t>
  </si>
  <si>
    <t>Down-core variations of granulometric, geochemical and mineral magnetism of a 70-cm long sediment core retrieved from the eastern Bay of Bengal abyssal region were studied to understand sedimentation pattern and sediment provenance during the last similar to 12 kyr BP. Based on down-core physical and elemental variations, three units were identified: unit 3 (70-43 cm) is a similar to 30 cm thick clayey silt organic carbon-rich (0.5-0.92%) turbidite probably delivered by the Brahmaputra River during the late Quaternary period. Units 2 (43-24 cm) and 1 (24-0 cm) represent enhanced and reduced supply of coarse-grained detrital sediments from the Ganges River during early and late Holocene period, respectively. Increased terrigenous supply dilutes calcium carbonate (CaCO3) and biogenic elements (P, Ba and Cu) in units 3 and 2. On the contrary, a reduction in detrital input enhances CaCO3 and biogenic elements in unit 1. Lithogenic elements (Ti, Al, K and Rb) and shale-normalized REE patterns in all three units suggest terrigenous source. The shift in provenance from the Brahmaputra to the Ganges derived sediments is evident by a sharp increase in sediment grain size, increased concentration and grain size assemblages of magnetic minerals, lithogenic elements concentration and La-n/Yb-n ratio. This study highlights terrigenous dilution on biogenic sedimentation in the eastern Bay of Bengal sediments.</t>
  </si>
  <si>
    <t>[Babu, C. Prakash; Pattan, J. N.] Natl Inst Oceanog, CSIR, Panaji 403004, Goa, India; [Dutta, K.; Prasad, G. V. Ravi; Ray, D. K.] Inst Phys, AMS Radiocarbon Lab, Bhubaneswar 751005, Orissa, India; [Basavaiah, N.] Indian Inst Geomagnetism, Navi Mumbai 410218, India; [Govil, P.] Natl Ctr Antarctic Ocean Res, Vasco 403804, Goa, India</t>
  </si>
  <si>
    <t>Council of Scientific &amp; Industrial Research (CSIR) - India; CSIR - National Institute of Oceanography (NIO); Institute of Physics Bhubaneswar (IOPB); Department of Science &amp; Technology (India); Indian Institute of Geomagnetism (IIG); Ministry of Earth Sciences (MoES) - India; National Centre for Polar and Ocean Research (NCPOR)</t>
  </si>
  <si>
    <t>Babu, CP (corresponding author), Natl Inst Oceanog, CSIR, Panaji 403004, Goa, India.</t>
  </si>
  <si>
    <t>pbabu@nio.org</t>
  </si>
  <si>
    <t>Dutta, Koushik/F-9371-2010</t>
  </si>
  <si>
    <t>Dutta, Koushik/0000-0002-5976-7965; Prasad, Gurazada/0000-0001-7044-6903</t>
  </si>
  <si>
    <t>Ministry of Earth Sciences, New Delhi</t>
  </si>
  <si>
    <t>Authors thank the Director, NIO, Goa for the permission to publish this paper. The present investigation is a part of the project Seabed surveys of the Exclusive Economic Zone of India by using multibeam sonar supported by the Ministry of Earth Sciences, New Delhi. The authors thank the anonymous reviewer for his constructive comments and suggestions and the editor for editorial corrections. Discussions with Drs V Ramaswamy, B Nagender Nath, V V Gopalakrishna and Ms K Nisha were acknowledged. Thanks are due to Dr G Parthiban for ICP-OES analysis, Dr Rajeev Saraswat and Mr T C Vineesh for their help at various stages during this work, Ms M Kulkarni and A Tomar for laboratory analysis and Mr R Uchil for drafting the figures. This is NIO contribution no. 4708.</t>
  </si>
  <si>
    <t>2347-4327</t>
  </si>
  <si>
    <t>0973-774X</t>
  </si>
  <si>
    <t>J EARTH SYST SCI</t>
  </si>
  <si>
    <t>J. Earth Syst. Sci.</t>
  </si>
  <si>
    <t>10.1007/s12040-010-0022-9</t>
  </si>
  <si>
    <t>Geosciences, Multidisciplinary; Multidisciplinary Sciences</t>
  </si>
  <si>
    <t>Geology; Science &amp; Technology - Other Topics</t>
  </si>
  <si>
    <t>641WX</t>
  </si>
  <si>
    <t>WOS:000281163400005</t>
  </si>
  <si>
    <t>Tiller, RG</t>
  </si>
  <si>
    <t>Tiller, Rachel Gjelsvik</t>
  </si>
  <si>
    <t>Regime Management at the Bottom of the Food Web</t>
  </si>
  <si>
    <t>JOURNAL OF ENVIRONMENT &amp; DEVELOPMENT</t>
  </si>
  <si>
    <t>Calanus; redfeed; plankton; regime management; regime effectiveness; regime interplay; regime; CCAMLR; ecosystem; southern ocean; northeast Atlantic; Norway; Russia; cooperation</t>
  </si>
  <si>
    <t>FISHERIES</t>
  </si>
  <si>
    <t>Fishing down the food chain is a controversial issue that demands further exploration. Redfeed is a marine species located on the second to last level on the food web. It is also one of the potential saviors of the aquaculture industry. The role of effective management of this species is of utmost importance to avoid the potential catastrophe associated with its overharvesting. Using a calculation of behavioral effectiveness, a blueprint redfeed regime is compared with the Convention for the Conservation of the Antarctic Marine Living Resources (CCAMLR), an ecosystem-based management regime with the now famous krill as its key species. Though the regimes are similar in nature, their geopolitical differences suggest that a future redfeed regime will be effective even though CCAMLR has not been. Ensuring that the redfeed is not merely incorporated into existing regimes, but is treated separately in an ecosystem-based regime, will alleviate the interplay this future redfeed regime otherwise would encounter.</t>
  </si>
  <si>
    <t>NTNU Norwegian Univ Sci &amp; Technol, Dept Sociol &amp; Polit Sci, NO-7491 Trondheim, Norway</t>
  </si>
  <si>
    <t>Norwegian University of Science &amp; Technology (NTNU)</t>
  </si>
  <si>
    <t>Tiller, RG (corresponding author), NTNU Norwegian Univ Sci &amp; Technol, Dept Sociol &amp; Polit Sci, NO-7491 Trondheim, Norway.</t>
  </si>
  <si>
    <t>rachelha@svt.ntnu.no</t>
  </si>
  <si>
    <t>Tiller, Rachel/F-7446-2015</t>
  </si>
  <si>
    <t>Tiller, Rachel/0000-0002-2505-9194</t>
  </si>
  <si>
    <t>1070-4965</t>
  </si>
  <si>
    <t>1552-5465</t>
  </si>
  <si>
    <t>J ENVIRON DEV</t>
  </si>
  <si>
    <t>J. Environ. Dev.</t>
  </si>
  <si>
    <t>10.1177/1070496509355777</t>
  </si>
  <si>
    <t>Development Studies; Environmental Studies; Regional &amp; Urban Planning</t>
  </si>
  <si>
    <t>Development Studies; Environmental Sciences &amp; Ecology; Public Administration</t>
  </si>
  <si>
    <t>V22CL</t>
  </si>
  <si>
    <t>WOS:000208253200004</t>
  </si>
  <si>
    <t>Adhikari, BN; Wall, DH; Adams, BJ</t>
  </si>
  <si>
    <t>Adhikari, Bishwo N.; Wall, Diana H.; Adams, Byron J.</t>
  </si>
  <si>
    <t>Effect of slow desiccation and freezing on gene transcription and stress survival of an Antarctic nematode</t>
  </si>
  <si>
    <t>pretreatment; desiccation; anhydrobiosis; freezing; transcription; Plectus murrayi; quantitative real-time PCR</t>
  </si>
  <si>
    <t>EUROSTA-SOLIDAGINIS DIPTERA; COLD-TOLERANCE; HEAT-SHOCK; ENTOMOPATHOGENIC NEMATODES; TREHALOSE ACCUMULATION; DROUGHT ACCLIMATION; 2ND-STAGE JUVENILES; ANTIFREEZE PROTEIN; SEASONAL-VARIATION; ORGANIC-MATTER</t>
  </si>
  <si>
    <t>Nematodes are the dominant soil animals of the Antarctic Dry Valleys and are capable of surviving desiccation and freezing in an anhydrobiotic state. Genes induced by desiccation stress have been successfully enumerated in nematodes; however, little is known about gene regulation by Antarctic nematodes that can survive multiple types and incidences of environmental stress. In order to reveal the molecular response of anhydrobiotic survival, we investigated the genetic response of an Antarctic nematode, Plectus murrayi, which can survive desiccation and freezing. Using molecular approaches, we provide insight into the regulation of desiccation-induced transcripts during different stages of stress survival under conditions characteristic of the Antarctic Dry Valley environment. Our study revealed that exposure to slow desiccation and freezing plays an important role in the transcription of stress, metabolism and signal transduction-related genes and improves desiccation and freezing survival compared with nematodes exposed to fast desiccation and freezing. Temporal analyses of gene expression showed that pre-exposure to mild stress promotes survival of harsher stress. Our results further show that exposure to slow dehydration not only improves extreme desiccation survival but also promotes enhanced cold tolerance. We also provide evidence that slow dehydration can enhance freeze tolerance in an Antarctic nematode. Expression profiling of P. murrayi transcripts is an important step in understanding the genome-level response of this nematode to different environmental stressors.</t>
  </si>
  <si>
    <t>[Adhikari, Bishwo N.; Adams, Byron J.] Brigham Young Univ, Dept Biol, Provo, UT 84602 USA; [Adhikari, Bishwo N.; Adams, Byron J.] Brigham Young Univ, Evolutionary Ecol Labs, Provo, UT 84602 USA; [Wall, Diana H.] Colorado State Univ, Dept Biol, Ft Collins, CO 80523 USA; [Wall, Diana H.] Colorado State Univ, Nat Resource Ecol Lab, Ft Collins, CO 80523 USA</t>
  </si>
  <si>
    <t>Adhikari, BN (corresponding author), Brigham Young Univ, Dept Biol, Provo, UT 84602 USA.</t>
  </si>
  <si>
    <t>adhikaribn@hotmail.com</t>
  </si>
  <si>
    <t>Adhikari, Bishwo/0000-0003-4840-9609; Adams, Byron/0000-0002-7815-3352</t>
  </si>
  <si>
    <t>National Science Foundation [98-10219]; United States Department of Agriculture CSREES NRI [2005-00903]; Brigham Young University Mentored Environment; Directorate For Geosciences; Office of Polar Programs (OPP) [1041742] Funding Source: National Science Foundation</t>
  </si>
  <si>
    <t>National Science Foundation(National Science Foundation (NSF)); United States Department of Agriculture CSREES NRI(United States Department of Agriculture (USDA)National Institute of Food and Agriculture); Brigham Young University Mentored Environment; Directorate For Geosciences; Office of Polar Programs (OPP)(National Science Foundation (NSF)NSF - Directorate for Geosciences (GEO))</t>
  </si>
  <si>
    <t>We thank Drs C.-Y. Lin and J. Griffitts for very useful advice during manuscript preparation. We are grateful to D. L. Eggett for assistance with statistical analyses and two anonymous reviewers whose constructive criticism significantly improved the paper. This work was supported by the National Science Foundation McMurdo Long Term Ecological Research Project (OPP #98-10219) to D. H. W., the United States Department of Agriculture CSREES NRI (2005-00903) to B. J. A., and a Brigham Young University Mentored Environment Grant to B. J. A.</t>
  </si>
  <si>
    <t>10.1242/jeb.032268</t>
  </si>
  <si>
    <t>596QZ</t>
  </si>
  <si>
    <t>WOS:000277701500011</t>
  </si>
  <si>
    <t>Lister, Kathryn N.; Lamare, Miles D.; Burritt, David J.</t>
  </si>
  <si>
    <t>Sea ice protects the embryos of the Antarctic sea urchin Sterechinus neumayeri from oxidative damage due to naturally enhanced levels of UV-B radiation</t>
  </si>
  <si>
    <t>Antarctica; oxidative damage; ozone hole; sea ice; sea urchin; ultraviolet radiation</t>
  </si>
  <si>
    <t>SOLAR ULTRAVIOLET-RADIATION; INDUCED DNA-DAMAGE; OZONE DEPLETION; AMINO-ACIDS; HYDROGEN-PEROXIDE; SOUTHERN-OCEAN; 280-400 NM; STRESS; LARVAE; PHYTOPLANKTON</t>
  </si>
  <si>
    <t>The 'ozone hole' has caused an increase in ultraviolet B radiation (UV-B, 280-320. nm) penetrating Antarctic coastal marine ecosystems, however the direct effect of this enhanced UV-B on pelagic organisms remains unclear. Oxidative stress, the in vivo production of reactive oxygen species to levels high enough to overcome anti-oxidant defences, is a key outcome of exposure to solar radiation, yet to date few studies have examined this physiological response in Antarctic marine species in situ or in direct relation to the ozone hole. To assess the biological effects of UV-B, in situ experiments were conducted at Cape Armitage in McMurdo Sound, Antarctica (77.06 degrees S, 164.42 degrees E) on the common Antarctic sea urchin Sterechinus neumayeri Meissner (Echinoidea) over two consecutive 4-day periods in the spring of 2008 (26-30 October and 1-5 November). The presence of the ozone hole, and a corresponding increase in UV-B exposure, resulted in unequivocal increases in oxidative damage to lipids and proteins, and developmental abnormality in embryos of S. neumayeri growing in open waters. Results also indicate that embryos have only a limited capacity to increase the activities of protective antioxidant enzymes, but not to levels sufficient to prevent severe oxidative damage from occurring. Importantly, results show that the effect of the ozone hole is largely mitigated by sea ice coverage. The present findings suggest that the coincidence of reduced stratospheric ozone and a reduction in sea ice coverage may produce a situation in which significant damage to Antarctic marine ecosystems may occur.</t>
  </si>
  <si>
    <t>[Burritt, David J.] Univ Otago, Dept Bot, Dunedin 9016, New Zealand; [Lister, Kathryn N.; Lamare, Miles D.] Univ Otago, Dept Marine Sci, Dunedin 9016, New Zealand</t>
  </si>
  <si>
    <t>Burritt, DJ (corresponding author), Univ Otago, Dept Bot, 464 Great King St, Dunedin 9016, New Zealand.</t>
  </si>
  <si>
    <t>d.burritt@botany.otago.ac.nz</t>
  </si>
  <si>
    <t>Remy, Melanie/G-3598-2010; Lamare, Miles M/A-7020-2010</t>
  </si>
  <si>
    <t>We especially thank Antarctica New Zealand for logistical support over two field seasons at Scott Base and Kelly Tarlton's Antarctic Encounter and Underwater World for financial support via a postgraduate scholarship. Thanks are also extended to staff at the Portobello Marine Laboratory for assistance during research. Thank you to the members of K-068: Nickolas Isley, Dana Clark, Michael Gonsior and Michelle Liddy (both in the 07/08 and 08/09 seasons) and K-065: Dr Steve Wing, Rebecca Macleod, Brian Grant, Greg Funnell and Jim) for help with field-work in Antarctica. Financial support to write this manuscript was provided by a University of Otago Publishing Bursary.</t>
  </si>
  <si>
    <t>10.1242/jeb.039990</t>
  </si>
  <si>
    <t>WOS:000277701500029</t>
  </si>
  <si>
    <t>Roman, RE; Lutjeharms, JRE</t>
  </si>
  <si>
    <t>Roman, R. E.; Lutjeharms, J. R. E.</t>
  </si>
  <si>
    <t>Antarctic intermediate water at the Agulhas Current retroflection region</t>
  </si>
  <si>
    <t>South Atlantic; Water masses; Inter-ocean transfer</t>
  </si>
  <si>
    <t>SOUTH INDIAN-OCEAN; OPTIMUM MULTIPARAMETER ANALYSIS; ATLANTIC OVERTURNING CIRCULATION; HYDROGRAPHIC SECTION; MASS STRUCTURE; THERMOCLINE; EXCHANGE; RINGS; VARIABILITY; MODE</t>
  </si>
  <si>
    <t>The inter-ocean transport of salty, warm Indian Ocean water to the Atlantic Ocean has been shown to stabilize the meridional overturning of the Atlantic. This salt and heat is mostly transported by Agulhas rings, shed at the Agulhas retroflection. To investigate the contribution of Antarctic Intermediate Water (AAIW) to this salt and heat flux, 7 hydrographic sections in the south-west Indian and south-east Atlantic Oceans were investigated using Optimum Multi-parameter Analysis. The mean contributions of AAIW from the South Indian Ocean ( iAAIW) and that of the Drake Passage (dAAIW), over the density range sigma(n) = 27.25-27.7, showed that iAAIW was the dominant AAIW type east of the Agulhas Current retroflection. The maximum contributions of iAAIW were confined to the Agulhas Current, the Agulhas Return Current and Agulhas rings. In the subdivided density ranges, iAAIW was always the dominant water type in the upper density range (sigma(n) = 27.25-27.4), whilst in the lower density range (sigma(n) = 27.4-27.7) the dAAIW/iAAIW mix was almost 50/50. West of the retroflection the mean iAAIW/dAAIW mix over the density range sigma(n) = 27.25-27.7 was around 50/50 for the southern part of the Cape Basin. In the upper density range the average mix of dAAIW/iAAIW was 45/55, whilst for the lower density range the mix was 46/54. Section by section comparisons, however, showed considerable differences in the observed mix of dAAIW/iAAIW in both the upper and lower density ranges. (C) 2010 Elsevier B.V. All rights reserved.</t>
  </si>
  <si>
    <t>[Roman, R. E.; Lutjeharms, J. R. E.] Univ Cape Town, Dept Oceanog, ZA-7700 Rondebosch, South Africa</t>
  </si>
  <si>
    <t>Roman, RE (corresponding author), Univ Cape Town, Dept Oceanog, ZA-7700 Rondebosch, South Africa.</t>
  </si>
  <si>
    <t>raymond.roman@uct.ac.za</t>
  </si>
  <si>
    <t>South African National Research Foundation; University of Cape Town; South African Environmental Observatory Network</t>
  </si>
  <si>
    <t>South African National Research Foundation(National Research Foundation - South Africa); University of Cape Town; South African Environmental Observatory Network</t>
  </si>
  <si>
    <t>The research on which these results are based was supported by the South African National Research Foundation, the University of Cape Town and the South African Environmental Observatory Network. JREL thanks the Leibnitz-Insitut fur Meereswissenschaften an der Christian-Albrecht-Universitat zu Kiel for hospitality during a sabbatical in which this work was completed.</t>
  </si>
  <si>
    <t>10.1016/j.jmarsys.2010.01.003</t>
  </si>
  <si>
    <t>599OW</t>
  </si>
  <si>
    <t>WOS:000277924000001</t>
  </si>
  <si>
    <t>Kawabe, M; Fujio, S</t>
  </si>
  <si>
    <t>Kawabe, Masaki; Fujio, Shinzou</t>
  </si>
  <si>
    <t>Pacific Ocean Circulation Based on Observation</t>
  </si>
  <si>
    <t>JOURNAL OF OCEANOGRAPHY</t>
  </si>
  <si>
    <t>Pacific Ocean; ocean circulation; meridional overturning; Lower and Upper Circumpolar Deep Waters; North Pacific Deep Water; Antarctic Intermediate Water; World Ocean Circulation Experiment</t>
  </si>
  <si>
    <t>TOTAL GEOSTROPHIC CIRCULATION; WESTERN BOUNDARY CURRENT; DEEP-WATER; VELOCITY-MEASUREMENTS; FLOW PATTERNS; NORTH; CURRENTS; VARIABILITY; TRANSPORT; TRACERS</t>
  </si>
  <si>
    <t>A thorough understanding of the Pacific Ocean circulation is a necessity to solve global climate and environmental problems. Here we present a new picture of the circulation by integrating observational results. Lower and Upper Circumpolar Deep Waters (LCDW, UCDW) and Antarctic Intermediate Water (AAIW) of 12, 7, and 5 Sv (10(6) m(3)s(-1)) in the lower and upper deep layers and the surface/intermediate layer, respectively, are transported to the North Pacific from the Antarctic Circumpolar Current (ACC). The flow of LCDW separates in the Central Pacific Basin into the western (4 Sv) and eastern (8 Sv) branches, and nearly half of the latter branch is further separated to flow eastward south of the Hawaiian Ridge into the Northeast Pacific Basin (NEPB). A large portion of LCDW on this southern route (4 Sv) upwells in the southern and mid-latitude eastern regions of the NEPB. The remaining eastern branch joins nearly half of the western branch; the confluence flows northward and enters the NEPB along the Aleutian Trench. Most of the LCDW on this northern route (5 Sv) upwells to the upper deep layer in the northern (in particular northeastern) region of the NEPB and is transformed into North Pacific Deep Water (NPDW). NPDW shifts southward in the upper deep layer and is modified by mixing with UCDW around the Hawaiian Islands. The modified NPDW of 13 Sv returns to the ACC. The remaining volume in the North Pacific (11 Sv) flows out to the Indian and Arctic Oceans in the surface/intermediate layer.</t>
  </si>
  <si>
    <t>[Kawabe, Masaki; Fujio, Shinzou] Univ Tokyo, Atmosphere &amp; Ocean Res Inst, Chiba 2778564, Japan</t>
  </si>
  <si>
    <t>University of Tokyo</t>
  </si>
  <si>
    <t>Kawabe, M (corresponding author), Univ Tokyo, Atmosphere &amp; Ocean Res Inst, Chiba 2778564, Japan.</t>
  </si>
  <si>
    <t>kawabe@aori.u-tokyo.ac.jp</t>
  </si>
  <si>
    <t>Fujio, Shinzou/0000-0003-4315-0124</t>
  </si>
  <si>
    <t>0916-8370</t>
  </si>
  <si>
    <t>1573-868X</t>
  </si>
  <si>
    <t>J OCEANOGR</t>
  </si>
  <si>
    <t>J. Oceanogr.</t>
  </si>
  <si>
    <t>10.1007/s10872-010-0034-8</t>
  </si>
  <si>
    <t>587WH</t>
  </si>
  <si>
    <t>WOS:000277025300008</t>
  </si>
  <si>
    <t>Kosugi, M; Katashima, Y; Aikawa, S; Tanabe, Y; Kudoh, S; Kashino, Y; Koike, H; Satoh, K</t>
  </si>
  <si>
    <t>Kosugi, Makiko; Katashima, Yuya; Aikawa, Shimpei; Tanabe, Yukiko; Kudoh, Sakae; Kashino, Yasuhiro; Koike, Hiroyuki; Satoh, Kazuhiko</t>
  </si>
  <si>
    <t>COMPARATIVE STUDY ON THE PHOTOSYNTHETIC PROPERTIES OF PRASIOLA (CHLOROPHYCEAE) AND NOSTOC (CYANOPHYCEAE) FROM ANTARCTIC AND NON-ANTARCTIC SITES</t>
  </si>
  <si>
    <t>Antarctica; Nostoc commune; optimum light intensity; optimum temperature; photosynthetic activity; Prasiola crispa</t>
  </si>
  <si>
    <t>DESICCATION-TOLERANT CYANOBACTERIUM; HIGH-TEMPERATURE TREATMENTS; PHOTOSYSTEM-II; ELECTRON-TRANSPORT; MESOPHILIC CYANOBACTERIUM; GROWTH TEMPERATURE; NET PHOTOSYNTHESIS; SANIONIA-UNCINATA; EXCITATION-ENERGY; CLADONIA-IMPEXA</t>
  </si>
  <si>
    <t>The terrestrial cyanobacterium Nostoc commune Vaucher ex Bornet et Flahault occurs worldwide, including in Japan and on the Antarctic continent. The terrestrial green alga Prasiola crispa (Lightf.) Kutz. is also distributed in Antarctica. These two species need to acclimate to the severe Antarctic climate including low ambient temperature and desiccation under strong light conditions. To clarify this acclimation process, the physiological characteristics of the photosynthetic systems of these two Antarctic terrestrial organisms were assessed. The relative rate of photosynthetic electron flow in N. commune collected in Japan and in Antarctica reached maxima at 900 and 1,100 mu mol photons . m(-2) . s(-1), respectively. The difference seemed to reflect the presence of high amounts of UV-absorbing substances within the Antarctic cyanobacterium. On the other hand, the optimal temperatures for photosynthesis at the two locations were 30 degrees C-35 degrees C and 20 degrees C-25 degrees C, respectively. This finding suggested a decreased photosynthetic thermotolerance in the Antarctic strain. P. crispa exhibited desiccation tolerance and dehydration-induced quenching of PSII fluorescence. Re-reduction of the photooxidized PSI reaction center, P700, was also inhibited at fully dry states. Photosynthetic electron flow in P. crispa reached a maximum at 20 degrees C-25 degrees C and at a light intensity of 700 mu mol photons . m(-2) s(-1). Interestingly, the osmolarity of P. crispa cells suggested that photosynthesis is performed using water absorbed in a liquid form rather than water absorbed from the air. Overall, these data suggest that these two species have acclimated to optimally photosynthesize under conditions of the highest light intensity and the highest temperature for their habitat in Antarctica.</t>
  </si>
  <si>
    <t>[Kosugi, Makiko; Katashima, Yuya; Aikawa, Shimpei; Kashino, Yasuhiro; Koike, Hiroyuki; Satoh, Kazuhiko] Univ Hyogo, Grad Sch Life Sci, Kamigori, Hyogo 6781297, Japan; [Tanabe, Yukiko; Kudoh, Sakae] Natl Inst Polar Res, Tokyo 1908518, Japan; [Kudoh, Sakae] Grad Univ Adv Studies, Dept Polar Sci, Tokyo 1908518, Japan</t>
  </si>
  <si>
    <t>University of Hyogo; Research Organization of Information &amp; Systems (ROIS); National Institute of Polar Research (NIPR) - Japan; Graduate University for Advanced Studies - Japan</t>
  </si>
  <si>
    <t>Kashino, Y (corresponding author), Univ Hyogo, Grad Sch Life Sci, 3-2-1 Kohto, Kamigori, Hyogo 6781297, Japan.</t>
  </si>
  <si>
    <t>Aikawa, Shimpei/A-6512-2014</t>
  </si>
  <si>
    <t>Aikawa, Shimpei/0000-0001-9202-0225</t>
  </si>
  <si>
    <t>Ministry of Education, Culture, Sports, Science and Technology, Japan; MEXT [20051021]; NIPR [10-27]; Hyogo Science and Technology Association [20I107]; Grants-in-Aid for Scientific Research [20051021] Funding Source: KAKEN</t>
  </si>
  <si>
    <t>Ministry of Education, Culture, Sports, Science and Technology, Japan(Ministry of Education, Culture, Sports, Science and Technology, Japan (MEXT)); MEXT(Ministry of Education, Culture, Sports, Science and Technology, Japan (MEXT)); NIPR(National Institute of Polar Research (NIPR) - Japan); Hyogo Science and Technology Association; Grants-in-Aid for Scientific Research(Ministry of Education, Culture, Sports, Science and Technology, Japan (MEXT)Japan Society for the Promotion of ScienceGrants-in-Aid for Scientific Research (KAKENHI))</t>
  </si>
  <si>
    <t>This study was supported in part by a grant (Global Center of Excellence Program) from the Ministry of Education, Culture, Sports, Science and Technology, Japan (K. S.), and grants from MEXT (20051021 for Y.K.), NIPR (10-27 for Y. K.), and the Hyogo Science and Technology Association (20I107 for Y. K.). The authors gratefully acknowledge the members of the 48th Japanese Antarctic Research Expedition for their support in the field study.</t>
  </si>
  <si>
    <t>10.1111/j.1529-8817.2010.00831.x</t>
  </si>
  <si>
    <t>611MR</t>
  </si>
  <si>
    <t>WOS:000278820000006</t>
  </si>
  <si>
    <t>Timmermans, KR; van der Wagt, B</t>
  </si>
  <si>
    <t>Timmermans, Klaas R.; van der Wagt, Bas</t>
  </si>
  <si>
    <t>VARIABILITY IN CELL SIZE, NUTRIENT DEPLETION, AND GROWTH RATES OF THE SOUTHERN OCEAN DIATOM FRAGILARIOPSIS KERGUELENSIS (BACILLARIOPHYCEAE) AFTER PROLONGED IRON LIMITATION</t>
  </si>
  <si>
    <t>cell size; diatom; iron; nitrate; nutrient depletion; phosphate; silicate</t>
  </si>
  <si>
    <t>SILICIC-ACID CONCENTRATIONS; ELEMENTAL STOICHIOMETRY; EQUATORIAL PACIFIC; CENTRIC DIATOM; MARINE DIATOMS; AVAILABILITY; CARBON; DEFICIENCY; NITRATE; RATIO</t>
  </si>
  <si>
    <t>Diatoms are the main primary producers in the Southern Ocean, governing the major nutrient cycles. Fragilariopsis kerguelensis (O'Meara) Hust. is the most abundant diatom species in the Southern Ocean and its paleo-oceanographic record is frequently used to reconstruct the past position and nutrient characteristics of the Antarctic polar front. Here we report on the responses of F. kerguelensis on prolonged exposure to a range of iron concentrations, allowing a characterization of morphological and nutrient-depletion changes in relation to iron status. Under iron limitation, F. kerguelensis grew slower, cells became smaller, chains became shorter, and the nutrient-depletion ratios changed. Prolonged exposure to iron limitation caused F. kerguelensis to decrease its surface area and volume 2-fold, and to increase its surface-to-volume ratio by 25%. With the decrease in growth rates, silicon (Si) and phosphorus (P) depletion per cell remained fairly constant, but when normalized per surface area (Si) or per cell volume (P), depletion increased. In contrast, nitrogen (N) depletion per cell decreased significantly together with the decrease in growth rates but was constant when normalized per cell volume. The different response in Si, P, and N depletion resulted in changes in the nutrient-depletion ratios, most notably in the Si: N ratio, which significantly increased, and in the N: P ratio, which significantly decreased with decreasing growth rates. It is concluded that under iron limitation, variation in cell size and/or nutrient depletion ultimately can cause changes in oceanic biogeochemical nutrient cycles. It enables the use of cell size of F. kerguelensis as a paleo-oceanographic proxy.</t>
  </si>
  <si>
    <t>[Timmermans, Klaas R.] Royal Netherlands Inst Sea Res, Dept Biol Oceanog, NL-1790 AB Den Burg, Texel, Netherlands; [van der Wagt, Bas] Vrije Univ Amsterdam, Fac Earth &amp; Life Sci, NL-1081 HV Amsterdam, Netherlands</t>
  </si>
  <si>
    <t>Utrecht University; Royal Netherlands Institute for Sea Research (NIOZ); Vrije Universiteit Amsterdam</t>
  </si>
  <si>
    <t>Timmermans, KR (corresponding author), Royal Netherlands Inst Sea Res, Dept Biol Oceanog, POB 59, NL-1790 AB Den Burg, Texel, Netherlands.</t>
  </si>
  <si>
    <t>klaas.timmermans@nioz.nl</t>
  </si>
  <si>
    <t>timmermans, klaas/0000-0002-3214-4354</t>
  </si>
  <si>
    <t>10.1111/j.1529-8817.2010.00827.x</t>
  </si>
  <si>
    <t>WOS:000278820000009</t>
  </si>
  <si>
    <t>Forget, G</t>
  </si>
  <si>
    <t>Forget, Gael</t>
  </si>
  <si>
    <t>Mapping Ocean Observations in a Dynamical Framework: A 2004-06 Ocean Atlas</t>
  </si>
  <si>
    <t>GENERAL-CIRCULATION MODEL; ANTARCTIC CIRCUMPOLAR CURRENT; COMBINING ARGO PROFILES; NORTH-ATLANTIC OCEAN; DEPTH CIRCULATION; VARIABILITY; TRANSPORT; HYDROGRAPHY; ADJOINT; FLOATS</t>
  </si>
  <si>
    <t>This paper exploits a new observational atlas for the near-global ocean for the best-observed 3-yr period from December 2003 through November 2006. The atlas consists of mapped observations and derived quantities. Together they form a full representation of the ocean state and its seasonal cycle. The mapped observations are primarily altimeter data, satellite SST, and Argo profiles. GCM interpolation is used to synthesize these datasets, and the resulting atlas is a fairly close fit to each one of them. For observed quantities especially, the atlas is a practical means to evaluate free-running GCM simulations and to put field experiments into a broader context. The atlas-derived quantities include the middepth dynamic topography, as well as ocean fluxes of heat and salt freshwater. The atlas is publicly available online (www.ecco-group.org). This paper provides insight into two oceanographic problems that are the subject of vigorous ongoing research. First, regarding ocean circulation estimates, it can be inferred that the RMS uncertainty in modern surface dynamic topography (SDT) estimates is only on the order of 3.5 cm at scales beyond 300 km. In that context, it is found that assumptions of reference-level dynamic topography may yield significant errors (of order 2.2 cm or more) in SDT estimates using in situ data. Second, in the perspective of mode water investigations, it is estimated that ocean fluxes (advection plus mixing) largely contribute to the seasonal fluctuation in heat content and freshwater/salt content. Hence, representing the seasonal cycle as a simple interplay of air sea flux and ocean storage would not yield a meaningful approximation. For the salt freshwater seasonal cycle especially, contributions from ocean fluxes usually exceed direct air sea flux contributions.</t>
  </si>
  <si>
    <t>MIT, Dept Earth Atmospher &amp; Planetary Sci, Cambridge, MA 02139 USA</t>
  </si>
  <si>
    <t>Forget, G (corresponding author), MIT, Dept Earth Atmospher &amp; Planetary Sci, Cambridge, MA 02139 USA.</t>
  </si>
  <si>
    <t>gforget@mit.edu</t>
  </si>
  <si>
    <t>ECCO GODAE group; National Ocean Partnership Program (NOPP); National Aeronautics and Space Administration (NASA); CNES</t>
  </si>
  <si>
    <t>ECCO GODAE group; National Ocean Partnership Program (NOPP); National Aeronautics and Space Administration (NASA)(National Aeronautics &amp; Space Administration (NASA)); CNES(Centre National D'etudes Spatiales)</t>
  </si>
  <si>
    <t>Carl Wunsch, Patrick Heimbach, colleagues at MIT, and the two anonymous reviewers greatly helped improve this manuscript. This work was supported by the ECCO GODAE group (www.eccogroup.org), with funding from the National Ocean Partnership Program (NOPP) and the National Aeronautics and Space Administration (NASA). The Argo profile data were collected and made freely available by the International Argo Project (http://www.coriolis.eu.org). The SEaOS profile data were collected by the Southern Elephant Seals as Oceanographic Samplers program (http://biology.st-andrews.ac.uk/seaos/). Microwave OI SST maps are produced by Remote Sensing Systems (www.remss.com). The CLS/AVISO sea level products, which were used for comparison purposes, were produced by SSALTO/DUACS and distributed by AVISO with support from CNES (http://www.aviso.oceanobs.com).</t>
  </si>
  <si>
    <t>10.1175/2009JPO4043.1</t>
  </si>
  <si>
    <t>611BD</t>
  </si>
  <si>
    <t>Green Published, Bronze, Green Submitted</t>
  </si>
  <si>
    <t>WOS:000278784600004</t>
  </si>
  <si>
    <t>Wåhlin, AK; Yuan, X; Björk, G; Nohr, C</t>
  </si>
  <si>
    <t>Wahlin, A. K.; Yuan, X.; Bjork, G.; Nohr, C.</t>
  </si>
  <si>
    <t>Inflow of Warm Circumpolar Deep Water in the Central Amundsen Shelf</t>
  </si>
  <si>
    <t>PINE ISLAND GLACIER; WEST ANTARCTICA; MASS-BALANCE; MELTING ICE; GREENLAND; FRONTS; SHEETS; SLOPE; MODEL</t>
  </si>
  <si>
    <t>The thinning and acceleration of the West Antarctic Ice Sheet has been attributed to basal melting induced by intrusions of relatively warm salty water across the continental shelf. A hydrographic section including lowered acoustic Doppler current profiler measurements showing such an inflow in the channel leading to the Getz and Dotson Ice Shelves is presented here. The flow rate was 0.3-0.4 Sv (1 Sv equivalent to 10(6) m(3) s(-1)), and the subsurface heat loss was estimated lobe 1.2-1.6 TW. Assuming that the inflow persists throughout the year, it corresponds to an ice melt of 110-130 km(3) yr(-1), which exceeds recent estimates of the net ice glacier ice volume loss in the Amundsen Sea. The results also show a 100-150-m-thick intermediate water mass consisting of Circumpolar Deep Water that has been modified (cooled and freshened) by subsurface melting of ice shelves and/or icebergs. This water mass has not previously been reported in the region, possibly because of the paucity of historical data.</t>
  </si>
  <si>
    <t>[Wahlin, A. K.; Bjork, G.; Nohr, C.] Univ Gothenburg, Dept Earth Sci, SWE-40530 Gothenburg, Sweden; [Yuan, X.] Columbia Univ, Lamont Doherty Earth Observ, Palisades, NY USA</t>
  </si>
  <si>
    <t>University of Gothenburg; Columbia University</t>
  </si>
  <si>
    <t>Wåhlin, AK (corresponding author), Univ Gothenburg, Dept Earth Sci, PB 460, SWE-40530 Gothenburg, Sweden.</t>
  </si>
  <si>
    <t>awahlin@gu.se</t>
  </si>
  <si>
    <t>Yuan, Xiaojun/AAI-7770-2020; Wåhlin, Anna/U-3790-2017</t>
  </si>
  <si>
    <t>Wåhlin, Anna/0000-0003-1799-6476</t>
  </si>
  <si>
    <t>National Science Foundation (NSF) [ANT08-36137]; Swedish Polar Research Secretariat; Swedish Research Council (SRC)</t>
  </si>
  <si>
    <t>National Science Foundation (NSF)(National Science Foundation (NSF)); Swedish Polar Research Secretariat; Swedish Research Council (SRC)(Swedish Research Council)</t>
  </si>
  <si>
    <t>The cruise Oden Southern Ocean 2008/09 was carried out on IB Oden, and we are grateful for all of the help and logistic support from the crew. Bengt Liljebladh, Kevin Pedigo, and Jeremy Lucke provided expert technical assistance with preparations as well as during the cruise. The cruise was supported by National Science Foundation (NSF), Swedish Polar Research Secretariat, and the Swedish Research Council (SRC). The data from the World Ocean Database were compiled by the National Oceanographic Data Center of NOAA. Wahlin, Nohr, and Bjork were funded by SRC, and Yuan was supported by NSF Grant ANT08-36137.</t>
  </si>
  <si>
    <t>10.1175/2010JPO4431.1</t>
  </si>
  <si>
    <t>WOS:000278784600017</t>
  </si>
  <si>
    <t>Gómez-Gutiérrez, J; Peterson, WT; Miller, CB</t>
  </si>
  <si>
    <t>Gomez-Gutierrez, Jaime; Peterson, William T.; Miller, Charles B.</t>
  </si>
  <si>
    <t>Embryo biometry of three broadcast spawning euphausiid species applied to identify cross-shelf and seasonal spawning patterns along the Oregon coast</t>
  </si>
  <si>
    <t>euphausiid; eggs; biometry; krill; embryos; chorion; perivitelline space</t>
  </si>
  <si>
    <t>LARVAL DEVELOPMENT; ANTARCTIC KRILL; HATCHING MECHANISM; POPULATION BIOLOGY; BROOD SIZE; LABORATORY OBSERVATIONS; INTERANNUAL VARIATIONS; THYSANOESSA-SPINIFERA; VERTICAL-DISTRIBUTION; EAST ANTARCTICA</t>
  </si>
  <si>
    <t>Morphology and biometry of eggs spawned by females of Euphausia pacifica, Thysanoessa spinifera and Thysanoessa inspinata were compared with eggs collected along the Oregon coast to identify the eggs in preserved samples to species level and to infer species spawning areas and intensity of spawning events in the field. The average chorion diameter (CD) and embryo diameter (ED) were significantly larger for E. pacifica than for T. spinifera. Euphausia pacifica eggs usually have a significantly greater perivitelline space, and the chorion is firm, transparent, smooth, elastic and completely spherical, while T. spinifera embryos are not completely spherical and typically are soft and sticky with particles attached. Eggs of the twitching stage embryo of T. spinifera have an elliptical shape, while those of E. pacifica are spherical to very slightly elliptical even after hatching as nauplii. The CD and ED of T. inspinata eggs were smaller than those of the other two species and they were transparent and spherical with a non-sticky chorion. Biweekly time series of eggs (identified to species), of nauplii + metanauplii and of ripe females collected along the Newport hydrographic line (44 degrees 40'N) during 1970-1972 show that E. pacifica and T. spinifera spawn mainly &lt; 40 km from the coast from March to October, but E. pacifica also spawns regularly at oceanic locations. A meta-analysis of the egg CD and ED values of 38 euphausiid species around the world indicates that these variables alone cannot be used to identify eggs to species, excepting specific regions where one or two broadcast spawners dominate the euphausiid assemblage.</t>
  </si>
  <si>
    <t>[Gomez-Gutierrez, Jaime; Miller, Charles B.] Oregon State Univ, Coll Ocean &amp; Atmospher Sci, Corvallis, OR 97331 USA; [Peterson, William T.] NOAA, NMFS, Hatfield Marine Sci Ctr, Newport, OR 97365 USA</t>
  </si>
  <si>
    <t>Oregon State University; National Oceanic Atmospheric Admin (NOAA) - USA</t>
  </si>
  <si>
    <t>Gómez-Gutiérrez, J (corresponding author), Ctr Interdisciplinario Ciencias Marinas, Dept Plancton &amp; Ecol Marina, Ave Inst Politecn Nacl,Ap 592, La Paz 23096, Baja California, Mexico.</t>
  </si>
  <si>
    <t>jagomezg@ipn.mx</t>
  </si>
  <si>
    <t>Oregon State University, Hatfield Marine Science Center (HMSC); National Science Foundation; National Oceanic and Atmospheric Administration; EDI; COFAA-IPN; CONACyT [122676, 2004-01-144, S007-2005-1-11717, 79528]; Instituto Politecnico Nacional</t>
  </si>
  <si>
    <t>Oregon State University, Hatfield Marine Science Center (HMSC); National Science Foundation(National Science Foundation (NSF)); National Oceanic and Atmospheric Administration(National Oceanic Atmospheric Admin (NOAA) - USA); EDI; COFAA-IPN; CONACyT(Consejo Nacional de Ciencia y Tecnologia (CONACyT)); Instituto Politecnico Nacional</t>
  </si>
  <si>
    <t>This research was supported by funds provided by a Mamie Markham Research Award from Oregon State University, Hatfield Marine Science Center (HMSC) during 2001-2002 and 2003-2004. Samples from 1970-1972 were collected with Sea Grant support. The Office of Naval Research (National Ocean Partnership Program) in 1999-2000 and U.S. GLOBEC program in 2001-2002 (jointly funded by the National Science Foundation and National Oceanic and Atmospheric Administration) provided ship time and staff assistance. J.G.-G. was supported by an SNI II fellowship from EDI, COFAA-IPN and a CONACyT PhD grant (122676) to study at Oregon State University. Part of the data published here was supported by two CONACyT research grants 2004-01-144 and S007-2005-1-11717. This is publication 657 of the NEP GLOBEC Program. The manuscript was partially written during a sabbatical stay at the Australian Antarctic Division at Kingston, Tasmania co-funded by Instituto Politecnico Nacional and CONACyT (79528).</t>
  </si>
  <si>
    <t>10.1093/plankt/fbq028</t>
  </si>
  <si>
    <t>593JA</t>
  </si>
  <si>
    <t>WOS:000277448800001</t>
  </si>
  <si>
    <t>Samaran, F; Guinet, C; Adam, O; Motsch, JF; Cansi, Y</t>
  </si>
  <si>
    <t>Samaran, Flore; Guinet, Christophe; Adam, Olivier; Motsch, Jean-Francois; Cansi, Yves</t>
  </si>
  <si>
    <t>Source level estimation of two blue whale subspecies in southwestern Indian Ocean</t>
  </si>
  <si>
    <t>bioacoustics; biocommunications; oceanographic regions; underwater acoustic propagation</t>
  </si>
  <si>
    <t>BALAENOPTERA-MUSCULUS; SOUTHERN-HEMISPHERE; UNDERWATER SOUNDS; NORTH PACIFIC; CALLS; RANGE; CALIFORNIA; LOCATION; GULF; BARROW</t>
  </si>
  <si>
    <t>Blue whales produce intense, stereotypic low frequency calls that are particularly well suited for transmission over long distances. Because these calls vary geographically, they can be used to gain insight into subspecies distribution. In the Southwestern Indian Ocean, acoustic data from a triad of calibrated hydrophones maintained by the International Monitoring System provided data on blue whale calls from two subspecies: Antarctic and pygmy blue whales. Using time difference of arrival and least-squares hyperbolic methods, the range and location of calling whales were determined. By using received level of calls and propagation modeling, call source levels of both subspecies were estimated. The average call source level was estimated to 179 +/- 5 dB re 1 mu Pa-rms at 1 m over the 17-30 Hz band for Antarctic blue whale and 174 +/- 1 dB re 1 mu Pa-rms at 1 m over the 17-50 Hz band for pygmy blue whale. According to previous estimates, slight variations in the source level could be due to inter-individual differences, inter-subspecies variations and the calculation method. These are the first reported source level estimations for blue whales in the Indian Ocean. Such data are critical to estimate detection ranges of calling blue whales. (C) 2010 Acoustical Society of America. [DOI: 10.1121/1.3409479]</t>
  </si>
  <si>
    <t>[Samaran, Flore; Guinet, Christophe] Ctr Etud Biol Chize CNRS UPR 1934, F-79360 Villiers En Bois, France; [Adam, Olivier] Univ Paris 11, Lab Neurobiol Apprentissage Memoire &amp; Commun, Equipe Commun Acoust, CNRS UPR 8620, F-91405 Orsay, France; [Motsch, Jean-Francois] Univ Paris 12, LISSI, F-94000 Creteil, France; [Cansi, Yves] CEA, Ctr DAM Ile France, F-91217 Bruyeres Le Chatel, France</t>
  </si>
  <si>
    <t>Centre National de la Recherche Scientifique (CNRS); Universite Paris Saclay; Universite Paris-Est-Creteil-Val-de-Marne (UPEC); CEA</t>
  </si>
  <si>
    <t>Samaran, F (corresponding author), Ctr Etud Biol Chize CNRS UPR 1934, F-79360 Villiers En Bois, France.</t>
  </si>
  <si>
    <t>samaran@cebc.cnrs.fr</t>
  </si>
  <si>
    <t>French Ministry of Ecology; Association DIRAC (France); Commissariat a l'Energie Atomique; CEA [169-C-BEFI]; CNRS [781513]</t>
  </si>
  <si>
    <t>French Ministry of Ecology; Association DIRAC (France); Commissariat a l'Energie Atomique(French Atomic Energy Commission); CEA(French Atomic Energy Commission); CNRS(Centre National de la Recherche Scientifique (CNRS))</t>
  </si>
  <si>
    <t>This work was supported by the French Ministry of Ecology, the Association DIRAC (France) and the Commissariat a l'Energie Atomique. The IMS hydrophone data have been available through the CEA under CEA Contract No. 169-C-BEFI and CNRS Contract No. 781513. The information released in this paper conforms to the conditions set forth in this contract. The authors wish to thank G. Ruzie, who provided access to the data used in this manuscript, and C. Cotte for helping in data analysis. K. Antier and two anonymous referees provided comments that greatly improved earlier versions of this manuscript. This work represents a portion of F.S.'s Ph. D.</t>
  </si>
  <si>
    <t>10.1121/1.3409479</t>
  </si>
  <si>
    <t>609AG</t>
  </si>
  <si>
    <t>WOS:000278626500054</t>
  </si>
  <si>
    <t>Orlanski, I; Solman, S</t>
  </si>
  <si>
    <t>Orlanski, Isidoro; Solman, Silvina</t>
  </si>
  <si>
    <t>The Mutual Interaction between External Rossby Waves and Thermal Forcing: The Subpolar Regions</t>
  </si>
  <si>
    <t>JOURNAL OF THE ATMOSPHERIC SCIENCES</t>
  </si>
  <si>
    <t>SOUTH AMERICAN MODES; ANTARCTIC SEA-ICE; STATIONARY WAVES; GENERAL-CIRCULATION; HEMISPHERE WINTER; LINEAR RESPONSE; MEAN-FLOW; ATMOSPHERE; ANOMALIES; OSCILLATION</t>
  </si>
  <si>
    <t>The authors hypothesize a simple feedback mechanism between external Rossby waves and diabatic heating from convection. This mechanism could explain the large amplitude that external Rossby waves attain as they propagate tumid-and high latitudes. A series of experiments has been carried out with a core dynamic global spectral model. These simulations with the idealized atmospheric GCM and a simple parameterization of thermal forcing proportional to the low-level wave meridional velocity suggest that external Rossby waves can be enhanced by convection, which they themselves induce. It is shown that in the tropospheric upper levels the amplitude of the external waves can be twice as large with feedback as for a control simulation that does not allow feedback.</t>
  </si>
  <si>
    <t>[Orlanski, Isidoro] Princeton Univ, Atmospher &amp; Ocean Sci Program, Princeton, NJ 08540 USA; [Solman, Silvina] CONICET UBA, Ctr Invest Mar &amp; Atmosfera, Buenos Aires, DF, Argentina</t>
  </si>
  <si>
    <t>Princeton University; National Oceanic Atmospheric Admin (NOAA) - USA; Consejo Nacional de Investigaciones Cientificas y Tecnicas (CONICET); University of Buenos Aires</t>
  </si>
  <si>
    <t>Orlanski, I (corresponding author), Princeton Univ, Atmospher &amp; Ocean Sci Program, Princeton, NJ 08540 USA.</t>
  </si>
  <si>
    <t>isidoro.orlanski@noaa.gov</t>
  </si>
  <si>
    <t>Solman, Silvina/AAR-4347-2021</t>
  </si>
  <si>
    <t>National Oceanic and Atmospheric Administration, U.S. Department of Commerce [NA17RJ2612, NA080AR4320752]; ANPCyT [PICT2005 32194]; UBACyT [X160]</t>
  </si>
  <si>
    <t>National Oceanic and Atmospheric Administration, U.S. Department of Commerce(National Oceanic Atmospheric Admin (NOAA) - USA); ANPCyT(ANPCyT); UBACyT</t>
  </si>
  <si>
    <t>One of the authors, Isidoro Orlanski, was supported under Awards NA17RJ2612 and NA080AR4320752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Silvina Solman's research has been supported by ANPCyT Grant PICT2005 32194 and UBACyT Grant X160.</t>
  </si>
  <si>
    <t>0022-4928</t>
  </si>
  <si>
    <t>1520-0469</t>
  </si>
  <si>
    <t>J ATMOS SCI</t>
  </si>
  <si>
    <t>J. Atmos. Sci.</t>
  </si>
  <si>
    <t>10.1175/2010JAS3267.1</t>
  </si>
  <si>
    <t>618PN</t>
  </si>
  <si>
    <t>WOS:000279368200020</t>
  </si>
  <si>
    <t>Hitchcock, P; Shepherd, TG; Yoden, S</t>
  </si>
  <si>
    <t>Hitchcock, Peter; Shepherd, Theodore G.; Yoden, Shigeo</t>
  </si>
  <si>
    <t>On the Approximation of Local and Linear Radiative Damping in the Middle Atmosphere</t>
  </si>
  <si>
    <t>WAVES; PARAMETERIZATION; RATES; CIRCULATION; CHEMISTRY; EXTENSION; BALANCE; MODEL</t>
  </si>
  <si>
    <t>The validity of approximating radiative heating rates in the middle atmosphere by a local linear relaxation to a reference temperature state (i.e.. Newtonian cooling) is investigated. Using radiative heating rate and temperature output from a chemistry climate model with realistic spatiotemporal variability and realistic chemical and radiative parameterizations, it is found that a linear regression model can capture more than 80% of the variance in longwave heating rates throughout most of the stratosphere and mesosphere, provided that the damping rate is allowed to vary with height, latitude, and season. The linear model describes departures from the climatological mean, not from radiative equilibrium. Photochemical damping rates in the upper stratosphere are similarly diagnosed. Three important exceptions, however, are found. The approximation of linearity breaks down near the edges of the polar vortices in both hemispheres. This nonlinearity can be well captured by including a quadratic term. The use of a scale-independent damping rate is not well justified in the lower tropical stratosphere because of the presence of a broad spectrum of vertical scales. The local assumption fails entirely during the breakup of the Antarctic vortex, where large fluctuations in temperature near the top of the vortex influence longwave heating rates within the quiescent region below. These results are relevant for mechanistic modeling studies of the middle atmosphere, particularly those investigating the final Antarctic warming.</t>
  </si>
  <si>
    <t>[Hitchcock, Peter; Shepherd, Theodore G.] Univ Toronto, Dept Phys, Toronto, ON M5S 1A7, Canada; [Yoden, Shigeo] Kyoto Univ, Grad Sch Sci, Div Earth &amp; Planetary Sci, Kyoto, Japan</t>
  </si>
  <si>
    <t>University of Toronto; Kyoto University</t>
  </si>
  <si>
    <t>Hitchcock, P (corresponding author), Univ Toronto, Dept Phys, 60 St George St, Toronto, ON M5S 1A7, Canada.</t>
  </si>
  <si>
    <t>peterh@atmosp.physics.utoronto.ca</t>
  </si>
  <si>
    <t>YODEN, SHIGEO/P-9065-2014; Hitchcock, Peter/JLK-8563-2023</t>
  </si>
  <si>
    <t>Hitchcock, Peter/0000-0001-8993-3808</t>
  </si>
  <si>
    <t>Walter Sumner Foundation; Japan Society for the Promotion of Science; Canadian Foundation for Climate and Atmospheric Sciences; Grants-in-Aid for Scientific Research [20244076] Funding Source: KAKEN</t>
  </si>
  <si>
    <t>Walter Sumner Foundation; Japan Society for the Promotion of Science(Ministry of Education, Culture, Sports, Science and Technology, Japan (MEXT)Japan Society for the Promotion of Science); Canadian Foundation for Climate and Atmospheric Sciences; Grants-in-Aid for Scientific Research(Ministry of Education, Culture, Sports, Science and Technology, Japan (MEXT)Japan Society for the Promotion of ScienceGrants-in-Aid for Scientific Research (KAKENHI))</t>
  </si>
  <si>
    <t>The authors thank Victor Fomichev for helpful comments on this manuscript. Peter Hitchcock gratefully acknowledges support from the Walter Sumner Foundation and from the Japan Society for the Promotion of Science 2008 Summer Program, during which this work was initiated. The CMAM simulations were provided through the C-SPARC project supported by the Canadian Foundation for Climate and Atmospheric Sciences.</t>
  </si>
  <si>
    <t>10.1175/2009JAS3286.1</t>
  </si>
  <si>
    <t>WOS:000279368200023</t>
  </si>
  <si>
    <t>Ceriola, L; Jackson, GD</t>
  </si>
  <si>
    <t>Ceriola, Luca; Jackson, George D.</t>
  </si>
  <si>
    <t>Growth, hatch size and maturation in a southern population of the loliginid squid Loliolus noctiluca</t>
  </si>
  <si>
    <t>climate change; growth; hatch size; squid; reproductive strategy; somatic condition; statoliths</t>
  </si>
  <si>
    <t>SEPIOTEUTHIS-LESSONIANA CEPHALOPODA; FLEXIBLE REPRODUCTIVE STRATEGIES; NOTOTODARUS-GOULDI; ARROW SQUID; STATOLITH MICROSTRUCTURE; MOROTEUTHIS-INGENS; ILLEX-ILLECEBROSUS; TEMPORAL VARIATION; FINNED SQUID; LIFE</t>
  </si>
  <si>
    <t>Age, growth and cost of reproduction were examined for the small near-shore loliginid squid Loholus noctiluca in Tasmanian waters, near the southern limit of its distribution The effects of several factors on hatch size were also evaluated by comparing the statolith natal ring size (NR) from individuals collected in different locations, seasons and years The life cycle of L noctiluca was less than six months July-hatched females grew faster than their May-hatched counterparts, indicating a faster growth in winter-hatched compared with autumn-hatched individuals. There was considerable variation in NRs as function of location, season, year and sex, with females displaying NRs considerably larger than males in any location and year immature and maturing females displayed poorer body condition than mature counterparts, suggesting that gonad growth does not affect the mantle or fin growth A good condition was maintained also in spent individuals indicating that L. noctiluca continued to Invest in somatic organs throughout the spawning period. A reproductive strategy closer to 'multiple spawning', than to 'single spawning' was proposed for this species Loholus noctiluca was used as a model to explore the possible effects of climate change on near-shore loliginid populations</t>
  </si>
  <si>
    <t>[Ceriola, Luca] Univ Bari, Dipartimento Prod Anim, I-70125 Bari, Italy; [Jackson, George D.] Univ Tasmania, Inst Antarctic &amp; So Ocean Studies, Hobart, Tas 7001, Australia</t>
  </si>
  <si>
    <t>Universita degli Studi di Bari Aldo Moro; University of Tasmania</t>
  </si>
  <si>
    <t>Ceriola, L (corresponding author), Univ Bari, Dipartimento Prod Anim, Via Orabona 4, I-70125 Bari, Italy.</t>
  </si>
  <si>
    <t>Jackson, George D/AAI-7315-2021</t>
  </si>
  <si>
    <t>10.1017/S0025315409991445</t>
  </si>
  <si>
    <t>620PE</t>
  </si>
  <si>
    <t>WOS:000279511000013</t>
  </si>
  <si>
    <t>Pandey, DK; Rajan, S; Pandey, A</t>
  </si>
  <si>
    <t>Pandey, D. K.; Rajan, S.; Pandey, A.</t>
  </si>
  <si>
    <t>Seismic imaging of Paleogene sediments of Kachchh Shelf (western Indian margin) and their correlation with sea-level fluctuations</t>
  </si>
  <si>
    <t>Kachchh offshore; Deccan; Traps; Paleogene; Stratigraphy; Sea-level</t>
  </si>
  <si>
    <t>HYDROCARBON PROSPECTS; BHUJ EARTHQUAKE; KUTCH BASIN; EVOLUTION; OCEAN; TECTONICS; MAGMATISM; JANUARY; MODEL</t>
  </si>
  <si>
    <t>The sedimentary history of Kachchh offshore (central western Indian margin), especially since the eruption of the Deccan Traps (similar to 65 Ma), has remained scantily studied despite an area with promising resource potential. Of late, new marine surveys combined with industrial drilling along the Kachchh shelf are beginning to elucidate the depositional history of this region. Here, we attempt to synthesize interpretation of new offshore seismic data, along with borehole information and long-term sea-level variations to provide a coherent sedimentological and lithostratigraphic framework over the past similar to 65 Ma in this area. Based on integrated interpretation of information derived from complementary sources, Paleogene successions of Kachchh shelf are investigated. Six major seismic facies are identified and attributed to post-Cretaceous sea-level fluctuations. Each lithological unit mapped on the seismic sections suggests coeval sedimentation in the area. Variable geometry and seismic characters of the identified facies are noted and attributed to the evolutionary history of this region. Recognized seismic horizons are distributed uniformly and are inferred to have regional significance. Apparently, the sea-level fluctuations in the past have played a major role over geodynamic contributions in terms of sediment deposition in this region. The incessant sea-level changes have resulted in transgression regression type sediments throughout the area. Regular but low levels of tectonism are inferred from the seismic sections in the form of faults. Each sediment unit reflects dual signatures of eustatic sea-level changes as well as structural activities. Integration of lithologs with seismic data also suggests that the area was dominated by carbonate sedimentation during the Paleogene. The most important aspect of this study is to provide sub-surface images that illustrate stratigraphic details of the Paleogene sediments with significant resource potential. (C) 2010 Elsevier Ltd. All rights reserved.</t>
  </si>
  <si>
    <t>[Pandey, D. K.; Rajan, S.] Natl Ctr Antarctic &amp; Ocean Res, Vasco Da Gama 403804, Goa, India; [Pandey, A.] Natl Oceanog Ctr, Southampton SO14 3ZH, Hants, England</t>
  </si>
  <si>
    <t>Ministry of Earth Sciences (MoES) - India; National Centre for Polar and Ocean Research (NCPOR); NERC National Oceanography Centre</t>
  </si>
  <si>
    <t>Pandey, DK (corresponding author), Natl Ctr Antarctic &amp; Ocean Res, Vasco Da Gama 403804, Goa, India.</t>
  </si>
  <si>
    <t>dhananjai@gmail.com</t>
  </si>
  <si>
    <t>Pandey, Dhananjai/S-3843-2019</t>
  </si>
  <si>
    <t>Pandey, Dhananjai/0000-0001-6899-8995; Pandey, Anju/0009-0004-7299-3512</t>
  </si>
  <si>
    <t>NCAOR, Goa</t>
  </si>
  <si>
    <t>The authors wish to thank Director, NCAOR, Goa for support and encouragement to carry out this work. The seismic and lithological data obtained from DGH are gratefully acknowledged. The Seismic Micro-Technologies, USA is acknowledged for the Kingdom (TM) interpretation software. Personal discussions with Dr. S. K. Biswas were highly significant while revising this manuscript. The manuscript benefited from valuable suggestions made by the Associate Editor (Dr. Ray Boswell), and an anonymous reviewer.</t>
  </si>
  <si>
    <t>10.1016/j.marpetgeo.2010.02.002</t>
  </si>
  <si>
    <t>611DT</t>
  </si>
  <si>
    <t>WOS:000278791900002</t>
  </si>
  <si>
    <t>McMinn, A; Pankowskii, A; Ashworth, C; Bhagooli, R; Ralph, P; Ryan, K</t>
  </si>
  <si>
    <t>McMinn, Andrew; Pankowskii, Andrew; Ashworth, Chris; Bhagooli, Ranjeet; Ralph, Peter; Ryan, Ken</t>
  </si>
  <si>
    <t>In situ net primary productivity and photosynthesis of Antarctic sea ice algal, phytoplankton and benthic algal communities</t>
  </si>
  <si>
    <t>DIFFUSIVE BOUNDARY-LAYERS; RAPID LIGHT CURVES; FJORD YOUNG SOUND; EASTERN ANTARCTICA; MCMURDO SOUND; ELLIS FJORD; MARINE-SEDIMENTS; PAM FLUOROMETER; EXCHANGE-RATES; QUANTUM YIELD</t>
  </si>
  <si>
    <t>Primary production at Antarctic coastal sites is contributed from sea ice algae, phytoplankton and benthic algae. Oxygen microelectrodes were used to estimate sea ice and benthic primary production at several sites around Casey, a coastal area in eastern Antarctica. Maximum oxygen export from sea ice was 0.95 mmol O-2 m(-2) h(-1) (similar to 11.7 mg C m(-2) h(-1)) while from the sediment it was 6.08 mmol O-2 m(-2) h(-1) (similar to 70.8 mg C m(-2) h(-1)). When the ice was present O-2 export from the benthos was either low or negative. Sea ice algae assimilation rates were up to 3.77 mg C (mg Chl-a)(-1) h(-1) while those from the benthos were up to 1.53 mg C (mg Chl-a)(-1) h(-1). The contribution of the major components of primary productivity was assessed using fluorometric techniques. When the ice was present approximately 55-65% of total daily primary production occurred in the sea ice with the remainder unequally partitioned between the sediment and the water column. When the ice was absent, the benthos contributed nearly 90% of the primary production.</t>
  </si>
  <si>
    <t>[McMinn, Andrew; Pankowskii, Andrew; Ashworth, Chris] Univ Tasmania, Inst Antarctic &amp; So Ocean Studies, Hobart, Tas 7001, Australia; [Bhagooli, Ranjeet; Ralph, Peter] Univ Technol Sydney, Dept Environm Sci, Inst Water &amp; Environm Resource Management, Gore Hill, NSW 2065, Australia; [Bhagooli, Ranjeet] Univ Mauritius, Dept BioSci, Reduit, Mauritius; [Ryan, Ken] Victoria Univ Wellington, Sch Biol Sci, Wellington, New Zealand</t>
  </si>
  <si>
    <t>University of Tasmania; University of Technology Sydney; University of Mauritius; Victoria University Wellington</t>
  </si>
  <si>
    <t>Ralph, Peter/L-1527-2019; McMinn, Andrew/A-9910-2008; Ryan, Ken/F-5652-2013</t>
  </si>
  <si>
    <t>Ralph, Peter/0000-0002-3103-7346; Ryan, Ken/0000-0001-7075-0112; Bhagooli, Ranjeet/0000-0002-5041-4047</t>
  </si>
  <si>
    <t>ARC; AAS</t>
  </si>
  <si>
    <t>ARC(Australian Research Council); AAS</t>
  </si>
  <si>
    <t>We acknowledge the financial support of ARC and AAS to Andrew McMinn and Peter Ralph and logistical support from the Australian Antarctic Division.</t>
  </si>
  <si>
    <t>10.1007/s00227-010-1414-8</t>
  </si>
  <si>
    <t>595WB</t>
  </si>
  <si>
    <t>WOS:000277643100018</t>
  </si>
  <si>
    <t>Poli, A; Anzelmo, G; Nicolaus, B</t>
  </si>
  <si>
    <t>Poli, Annarita; Anzelmo, Gianluca; Nicolaus, Barbara</t>
  </si>
  <si>
    <t>Bacterial Exopolysaccharides from Extreme Marine Habitats: Production, Characterization and Biological Activities</t>
  </si>
  <si>
    <t>MARINE DRUGS</t>
  </si>
  <si>
    <t>chemical composition; exopolysaccharides; extremophiles; marine bacteria; biological activity</t>
  </si>
  <si>
    <t>SEA HYDROTHERMAL VENT; HUMAN-IMMUNODEFICIENCY-VIRUS; PSEUDOALTEROMONAS SP SM9913; LAKE CAPE-RUSSELL; EXTRACELLULAR-POLYSACCHARIDE; MICROBIAL EXOPOLYSACCHARIDES; CHEMICAL-CHARACTERIZATION; HALOFERAX-MEDITERRANEI; HAHELLA-CHEJUENSIS; ENVELOPED VIRUSES</t>
  </si>
  <si>
    <t>Many marine bacteria produce exopolysaccharides (EPS) as a strategy for growth, adhering to solid surfaces, and to survive adverse conditions. There is growing interest in isolating new EPS producing bacteria from marine environments, particularly from extreme marine environments such as deep-sea hydrothermal vents characterized by high pressure and temperature and heavy metal presence. Marine EPS-producing microorganisms have been also isolated from several extreme niches such as the cold marine environments typically of Arctic and Antarctic sea ice, characterized by low temperature and low nutrient concentration, and the hypersaline marine environment found in a wide variety of aquatic and terrestrial ecosystems such as salt lakes and salterns. Most of their EPSs are heteropolysaccharides containing three or four different monosaccharides arranged in groups of 10 or less to form the repeating units. These polymers are often linear with an average molecular weight ranging from 1 x 10(5) to 3 x 10(5) Da. Some EPS are neutral macromolecules, but the majority of them are polyanionic for the presence of uronic acids or ketal-linked pyruvate or inorganic residues such as phosphate or sulfate. EPSs, forming a layer surrounding the cell, provide an effective protection against high or low temperature and salinity, or against possible predators. By examining their structure and chemical-physical characteristics it is possible to gain insight into their commercial application, and they are employed in several industries. Indeed EPSs produced by microorganisms from extreme habitats show biotechnological promise ranging from pharmaceutical industries, for their immunomodulatory and antiviral effects, bone regeneration and cicatrizing capacity, to food-processing industries for their peculiar gelling and thickening properties. Moreover, some EPSs are employed as biosurfactants and in detoxification mechanisms of petrochemical oil-polluted areas. The aim of this paper is to give an overview of current knowledge on EPSs produced by marine bacteria including symbiotic marine EPS-producing bacteria isolated from some marine annelid worms that live in extreme niches.</t>
  </si>
  <si>
    <t>[Poli, Annarita; Anzelmo, Gianluca; Nicolaus, Barbara] CNR, Inst Biomol Chem, I-80078 Naples, Italy; [Anzelmo, Gianluca] Parthenope Univ Naples, Dept Environm Sci, Ctr Direz, I-80143 Naples, Italy</t>
  </si>
  <si>
    <t>Consiglio Nazionale delle Ricerche (CNR); Parthenope University Naples</t>
  </si>
  <si>
    <t>Nicolaus, B (corresponding author), CNR, Inst Biomol Chem, Via Campi Flegrei 34, I-80078 Naples, Italy.</t>
  </si>
  <si>
    <t>annarita.poli@icb.cnr.it; gianluca.anzelmo@uniparthenope.it; barbara.nicolaus@icb.cnr.it</t>
  </si>
  <si>
    <t>Poli, Annarita/0000-0001-6465-4765</t>
  </si>
  <si>
    <t>MDPI</t>
  </si>
  <si>
    <t>BASEL</t>
  </si>
  <si>
    <t>ST ALBAN-ANLAGE 66, CH-4052 BASEL, SWITZERLAND</t>
  </si>
  <si>
    <t>1660-3397</t>
  </si>
  <si>
    <t>MAR DRUGS</t>
  </si>
  <si>
    <t>Mar. Drugs</t>
  </si>
  <si>
    <t>10.3390/md8061779</t>
  </si>
  <si>
    <t>Chemistry, Medicinal; Pharmacology &amp; Pharmacy</t>
  </si>
  <si>
    <t>Pharmacology &amp; Pharmacy</t>
  </si>
  <si>
    <t>631KZ</t>
  </si>
  <si>
    <t>WOS:000280347000006</t>
  </si>
  <si>
    <t>Joy, KH; Crawford, IA; Russell, SS; Kearsley, AT</t>
  </si>
  <si>
    <t>Joy, Katherine H.; Crawford, Ian A.; Russell, Sara S.; Kearsley, Anton T.</t>
  </si>
  <si>
    <t>Lunar meteorite regolith breccias: An in situ study of impact melt composition using LA-ICP-MS with implications for the composition of the lunar crust</t>
  </si>
  <si>
    <t>AL GANI 400; CENTRAL-HIGHLANDS; ICEFIELD 02205; GEOCHEMISTRY; SURFACE; PETROGENESIS; PETROLOGY; MAC88105; RAY; HISTORY</t>
  </si>
  <si>
    <t>Dar al Gani (DaG) 400, Meteorite Hills (MET) 01210, Pecora Escarpment (PCA) 02007, and MacAlpine Hills (MAC) 88104/88105 are lunar regolith breccia meteorites that provide sampling of the lunar surface from regions of the Moon that were not visited by the US Apollo or Soviet Luna sample return missions. They contain a heterogeneous clast population from a range of typical lunar lithologies. DaG 400, PCA 02007, and MAC 88104/88105 are primarily feldspathic in nature, and MET 01210 is composed of mare basalt material mixed with a lesser amount of feldspathic material. Here we present a compositional study of the impact melt and impact melt breccia clast population (i.e., clasts that were generated in impact cratering melting processes) within these meteorites using in situ electron microprobe and LA-ICP-MS techniques. Results show that all of the meteorites are dominated by impact lithologies that are relatively ferroan (Mg#(&lt; 70)), have high Sc/Sm ratios (typically &gt; 10), and have low incompatible trace element (ITE) concentrations (i.e., typically &lt; 3.2 ppm Sm, &lt; 1.5 ppm Th). Feldspathic impact melt in DaG 400, PCA 02007, and MAC 88104/05 are similar in composition to that estimated composition for upper feldspathic lunar crust (Korotev et al. 2003). However, these melt types are more mafic (i.e., less Eu, less Sr, more Sc) than feldspathic impact melts returned by the Apollo 16 mission (e.g., the group 3 and 4 varieties). Mafic impact melt clasts are common in MET 01210 and less common in PCA 02007 and MAC 88104/05. We show that unlike the Apollo mafic impact melt groups (Jolliff 1998), these meteorite impact melts were not formed from melting large amounts of KREEP-rich (typically &gt; 10 ppm Sm), High Magnesium Suite (typically &gt; 70 Mg#) or High Alkali Suite (high ITEs, Sc/Sm ratios &lt; 2) target rocks. Instead the meteorite mafic melts are more ferroan, KREEP-poor and Sc-rich, and represent mixing between feldspathic lithologies and low-Ti or very low-Ti (VLT) basalts. As PCA 02007 and MAC 88104/05 were likely sourced from the Outer-Feldspathic Highlands Terrane our findings suggest that these predominantly feldspathic regions commonly contain a VLT to low-Ti basalt contribution.</t>
  </si>
  <si>
    <t>[Joy, Katherine H.; Crawford, Ian A.] Joint UCL Birkbeck Res Sch Earth Sci, Ctr Planetary Sci, London WC1E 6BT, England; [Joy, Katherine H.; Russell, Sara S.; Kearsley, Anton T.] Nat Hist Museum, Dept Mineral, London SW7 5BD, England; [Joy, Katherine H.] USRA, Ctr Lunar Sci &amp; Explorat, Lunar &amp; Planetary Inst, Houston, TX 77058 USA; [Joy, Katherine H.] NASA, Lunar Sci Inst, Washington, DC USA; [Crawford, Ian A.] Birkbeck Coll, Dept Earth &amp; Planetary Sci, London WC1E 7HX, England</t>
  </si>
  <si>
    <t>University of London; Birkbeck University London; Natural History Museum London; National Aeronautics &amp; Space Administration (NASA); University of London; Birkbeck University London</t>
  </si>
  <si>
    <t>Joy, KH (corresponding author), Joint UCL Birkbeck Res Sch Earth Sci, Ctr Planetary Sci, Gower St, London WC1E 6BT, England.</t>
  </si>
  <si>
    <t>joy@lpi.usra.edu</t>
  </si>
  <si>
    <t>Crawford, Ian/H-7510-2012</t>
  </si>
  <si>
    <t>Crawford, Ian/0000-0001-5661-7403; Russell, Sara/0000-0001-5531-7847; Joy, Katherine/0000-0003-4992-8750</t>
  </si>
  <si>
    <t>Leverhulme Trust; STFC; LPI/NLSI; STFC [ST/G002983/1] Funding Source: UKRI; Science and Technology Facilities Council [ST/G002983/1] Funding Source: researchfish</t>
  </si>
  <si>
    <t>Leverhulme Trust(Leverhulme Trust); STFC(UK Research &amp; Innovation (UKRI)Science &amp; Technology Facilities Council (STFC)); LPI/NLSI; STFC(UK Research &amp; Innovation (UKRI)Science &amp; Technology Facilities Council (STFC)); Science and Technology Facilities Council(UK Research &amp; Innovation (UKRI)Science &amp; Technology Facilities Council (STFC))</t>
  </si>
  <si>
    <t>Many thanks to Guy Consolmango and the Vatican Observatory for loaning the DaG 400 sample to the NHM and to MWG/NASA for the loan of Antarctic samples. Many thanks also to Mr. John Spratt (NHM), Dr. Sarah James (formally of the NHM), and Dr. Andy Beard (Birkbeck/UCL) for their assistance with analytical procedures. Many thanks for thorough reviews and helpful comments of Drs. Randy Korotev, James Day, Jeff Taylor, Barbara Cohen, Christian Koeberl, and an anonymous reviewer. We would like to acknowledge the resources made available through the Lunar Meteorite List Website (Randy Korotev), the Lunar Meteorite Compendium (Kevin Righter), the Lunar Sample Compendium (Chuck Meyer), and the Virtual Moon Atlas. Thanks to the Leverhulme Trust, STFC, and LPI/NLSI for financial support. This is LPI contribution number 1600.</t>
  </si>
  <si>
    <t>10.1111/j.1945-5100.2010.01067.x</t>
  </si>
  <si>
    <t>656XJ</t>
  </si>
  <si>
    <t>WOS:000282374100001</t>
  </si>
  <si>
    <t>Zhuang, X; Cheng, CHC</t>
  </si>
  <si>
    <t>Zhuang, Xuan; Cheng, C. -H. Christina</t>
  </si>
  <si>
    <t>ND6 Gene Lost and Found: Evolution of Mitochondrial Gene Rearrangement in Antarctic Notothenioids</t>
  </si>
  <si>
    <t>MOLECULAR BIOLOGY AND EVOLUTION</t>
  </si>
  <si>
    <t>H-strand duplication; novel ND6; control region reorganization; adaptive mitochondrial evolution</t>
  </si>
  <si>
    <t>HIGHER TELEOSTEAN PHYLOGENIES; COMPLETE SEQUENCE; CONTROL REGION; DNA; GENOME; FISH; REPLICATION; MECHANISMS; MUTATIONS; SELECTION</t>
  </si>
  <si>
    <t>Evolution of Antarctic notothenioids in the frigid and oxygen-rich Southern Ocean had led to remarkable genomic changes, most notably the gain of novel antifreeze glycoproteins and the loss of oxygen-binding hemoproteins in the icefish family. Recently, the mitochondrial (mt) NADH dehydrogenase subunit 6 (ND6) gene and the adjacent transfer RNA(Glu) (tRNA(Glu)) were also reportedly lost. ND6 protein is crucial for the assembly and function of Complex I of the mt electron transport chain that produces adenosine triphosphate (ATP) essential for life; thus, ND6 absence would be irreconcilable with Antarctic notothenioids being thriving species. Here we report our discovery that the ND6 gene and tRNA(Glu) were not lost but had been translocated to the control region (CR) from their canonical location between ND5 and cytochrome b genes. We characterized the CR and adjacent sequences of 22 notothenioid species representing all eight families of Notothenioidei to elucidate the mechanism and evolutionary history of this mtDNA rearrangement. Species of the three basal non-Antarctic families have the canonical vertebrate mt gene order, whereas species of all five Antarctic families have a rearranged CR bearing the embedded ND6 (ND6(CR)) and tRNA(Glu), with additional copies of tRNA(Thr), tRNA(Pro), and noncoding region in various lineages. We hypothesized that an initial duplication of the canonical mt region from ND6 through CR occurred in the common ancestor to the Antarctic clade, and we deduced the succession of loss or modification of the duplicated region leading to the extant patterns of mt DNA reorganization that is consistent with notothenioid evolutionary history. We verified that the ND6(CR) gene in Antarctic notothenioids is transcribed and therefore functional. However, ND6(CR)-encoded protein sequences differ substantially from basal non-Antarctic notothenioid ND6, and we detected lineage-specific positive selection on the branch leading to the Antarctic clade of ND6(CR) under the branch-site model. Collectively, the novel mt ND6(CR) genotype of the Antarctic radiation represents another major molecular change in Antarctic notothenioid evolution and may reflect an adaptive change conducive to the functioning of the protein (Complex I) machinery of mt respiration in the polar environment, driven by the advent of freezing, oxygen-rich conditions in the Southern Ocean.</t>
  </si>
  <si>
    <t>[Zhuang, Xuan; Cheng, C. -H. Christina] Univ Illinois, Dept Anim Biol, Urbana, IL 61801 USA</t>
  </si>
  <si>
    <t>Cheng, CHC (corresponding author), Univ Illinois, Dept Anim Biol, Urbana, IL 61801 USA.</t>
  </si>
  <si>
    <t>c-cheng@uiuc.edu</t>
  </si>
  <si>
    <t>Zhuang, Xuan/0000-0002-1919-9764</t>
  </si>
  <si>
    <t>National Science Foundation [OPP 0636696]</t>
  </si>
  <si>
    <t>We thank Arthur DeVries for his help in the collecting the Ross Sea notothenioid species. This work was supported by National Science Foundation (OPP 0636696 to C.-H. C. C.). The sequences reported in this study have been deposited at National Center for Biotechnology Information under accession numbers GU214209-GU214230.</t>
  </si>
  <si>
    <t>0737-4038</t>
  </si>
  <si>
    <t>1537-1719</t>
  </si>
  <si>
    <t>MOL BIOL EVOL</t>
  </si>
  <si>
    <t>Mol. Biol. Evol.</t>
  </si>
  <si>
    <t>10.1093/molbev/msq026</t>
  </si>
  <si>
    <t>600MX</t>
  </si>
  <si>
    <t>WOS:000277991900016</t>
  </si>
  <si>
    <t>Göbbeler, K; Klussmann-Kolb, A</t>
  </si>
  <si>
    <t>Goebbeler, Katrin; Klussmann-Kolb, Annette</t>
  </si>
  <si>
    <t>Out of Antarctica? - New insights into the phylogeny and biogeography of the Pleurobranchomorpha (Mollusca, Gastropoda)</t>
  </si>
  <si>
    <t>Ancestral-area analyses; Historical biogeography; Molecular clock; Opisthobranchia; Phylogeny; Phylogeography; Pleurobranchomorpha</t>
  </si>
  <si>
    <t>OPISTHOBRANCHIA MOLLUSCA; MOLECULAR PHYLOGENIES; DIVERSITY PATTERNS; GEOGRAPHIC RANGE; OCEAN BARRIERS; SOUTH-AMERICA; DRAKE PASSAGE; POLAR FRONT; NEW-ZEALAND; EVOLUTION</t>
  </si>
  <si>
    <t>The aim of the current study was to gain new insights into the phylogeny, biogeography and evolution of the opisthobranch clade Pleurobranchomorpha. We focused on testing the hypothesis of an Antarctic origin of this clade. The combination of four gene markers (18S rDNA, 28S rDNA, 16S rDNA and CO1) was used to infer a phylogenetic hypothesis of the Pleurobranchomorpha employing Maximum likelihood and Bayesian inference methods. Four methodologically distinct approaches were applied to reconstruct the historical biogeography and dating of the tree was performed via relaxed molecular clock analysis. Phylogenetic analyses supported the monophyly of the Pleurobranchomorpha and their sister group relationship to the Nudibranchia. Monophyly of the main subgroups Pleurobranchaeinae and Pleurobranchinae could not be revealed. Reconstruction of the ancestral area of the Pleurobranchomorpha yielded different possibilities in the diverse analyses. However, the Pleurobranchinae most probably derived from an Antarctic origin. Estimation of divergence times revealed a long credible interval for the Pleurobranchomorpha, whereas the Pleurobranchinae diverged in Early Oligocene and underwent rapid radiation during Oligocene and Early Miocene. Divergence of the Pleurobranchinae into the Antarctic Tomthompsonia and the remaining species in Early Oligocene coincides with two major geological events; namely the onset of glaciation in Antarctica and the opening of the Drake Passage with following formation of the Antarctic Circumpolar Current (ACC). These sudden and dramatic changes in climate probably led to subsequent migration of the last common ancestor of the remaining Pleurobranchinae into warmer regions, while the ACC may have accounted for larval dispersal to the Eastern Atlantic. (C) 2009 Elsevier Inc. All rights reserved.</t>
  </si>
  <si>
    <t>[Goebbeler, Katrin; Klussmann-Kolb, Annette] Goethe Univ, Inst Ecol Evolut &amp; Div, D-60054 Frankfurt, Germany</t>
  </si>
  <si>
    <t>Goethe University Frankfurt</t>
  </si>
  <si>
    <t>Göbbeler, K (corresponding author), Goethe Univ, Inst Ecol Evolut &amp; Div, Siesmayerstr 70, D-60054 Frankfurt, Germany.</t>
  </si>
  <si>
    <t>goebbeler@bio.uni-frankfurt.de; klussmann-kolb@bio.uni-frankfurt.de</t>
  </si>
  <si>
    <t>Klussmann-Kolb, Annette/H-2076-2011</t>
  </si>
  <si>
    <t>German Academic Exchange Service (DAAD)</t>
  </si>
  <si>
    <t>German Academic Exchange Service (DAAD)(Deutscher Akademischer Austausch Dienst (DAAD))</t>
  </si>
  <si>
    <t>We are thankful to the German Academic Exchange Service (DAAD) for financial support of a field trip to Australia for the first author. Permission for collecting was given by Department of Primary Industries, Victoria (permit number RP921) and the NSW Department of Primary Industries (permit number P07/0058). Georg Mayer (Melbourne, Australia) provided chemicals and John Healy (Brisbane, Australia) assisted in export of the specimens. Angela Dinapoli (Frankfurt, Germany) helped collecting the specimens.</t>
  </si>
  <si>
    <t>10.1016/j.ympev.2009.11.027</t>
  </si>
  <si>
    <t>596YM</t>
  </si>
  <si>
    <t>WOS:000277721800019</t>
  </si>
  <si>
    <t>Brandao, SN; Sauer, J; Schön, I</t>
  </si>
  <si>
    <t>Brandao, Simone N.; Sauer, Jan; Schon, Isa</t>
  </si>
  <si>
    <t>Circumantarctic distribution in Southern Ocean benthos? A genetic test using the genus Macroscapha (Crustacea, Ostracoda) as a model</t>
  </si>
  <si>
    <t>Ostracoda; Southern Ocean; Genetics; Zoogeography; Eurybathy; Circumantarctic distribution; COI; ITS</t>
  </si>
  <si>
    <t>MULTIPLE SEQUENCE ALIGNMENT; WATER-MASSES; PHYLOGENETIC ANALYSIS; CRYPTIC SPECIATION; SEA; DNA; ATLANTIC; ISOPODA; BIOGEOGRAPHY; DIVERGENCE</t>
  </si>
  <si>
    <t>The ostracod genus Macroscapha is used as a model to test theories predicting circumantarctic distribution of benthic species from the Southern Ocean. Earlier works on Antarctic Ostracoda reported five circumantarctic and/or eurybathic Macroscapha species. However, a recent taxonomic revision used a narrow morphological species definition and subdivided these five species into 20 morphospecies. Most of these narrowly defined species showed restricted depth and geographical distribution. Here, genetic markers are used to investigate the geographic and bathymetric distribution of seven species of the genus Macroscapha. The genetic results (especially COI, but partially also ITS) support more restricted geographical ranges and indicate more restricted depth distributions. Our results therefore corroborate the usefulness of a narrow morphological species definition. Our dataset also indicates that the 'genetic entities' of one species group (i.e. 'Mh. tensa-opaca') are not only geographically but also bathymetrically segregated. For that reason, a re-evaluation of the prevailing theories on the circumantarctic and eurybathic distribution of Southern Ocean benthic species is suggested. (C) 2010 Elsevier Inc. All rights reserved.</t>
  </si>
  <si>
    <t>[Brandao, Simone N.] Univ Hamburg, Zool Museum, D-20146 Hamburg, Germany; Royal Belgian Inst Nat Sci Freshwater Biol, B-61000 Brussels, Belgium</t>
  </si>
  <si>
    <t>University of Hamburg; Royal Belgian Institute of Natural Sciences</t>
  </si>
  <si>
    <t>Brandao, SN (corresponding author), Univ Hamburg, Zool Museum, Martin Luther King Platz 3, D-20146 Hamburg, Germany.</t>
  </si>
  <si>
    <t>snbrandao@gmx.net; Ja_Sa@web.de; isa.schoen@naturalsciences.be</t>
  </si>
  <si>
    <t>Brandao, Simone/C-9416-2013</t>
  </si>
  <si>
    <t>Brandao, Simone/0000-0002-3487-6129</t>
  </si>
  <si>
    <t>10.1016/j.ympev.2010.01.014</t>
  </si>
  <si>
    <t>WOS:000277721800024</t>
  </si>
  <si>
    <t>Shaw, AJ; Devos, N; Cox, CJ; Boles, SB; Shaw, B; Buchanan, AM; Cave, L; Seppelt, R</t>
  </si>
  <si>
    <t>Shaw, A. Jonathan; Devos, Nicolas; Cox, Cymon J.; Boles, Sandra B.; Shaw, Blanka; Buchanan, Alex M.; Cave, Lynette; Seppelt, Rodney</t>
  </si>
  <si>
    <t>Peatmoss (Sphagnum) diversification associated with Miocene Northern Hemisphere climatic cooling?</t>
  </si>
  <si>
    <t>Bryophyte evolution; Miocene; Peatlands; Peatmosses; Sphagnum</t>
  </si>
  <si>
    <t>EVOLUTION; CARBON; DELIMITATION; PHYLOGENY; DIVERSITY; PATTERNS; RATES; MA</t>
  </si>
  <si>
    <t>Global climate changes sometimes spark biological radiations that can feed back to effect significant ecological impacts. Northern Hemisphere peatlands dominated by living and dead peatmosses (Sphagnum) harbor almost 30% of the global soil carbon pool and have functioned as a net carbon sink throughout the Holocene, and probably since the late Tertiary. Before that time, northern latitudes were dominated by tropical and temperate plant groups and ecosystems. Phylogenetic analyses of mosses (phylum Bryophyta) based on nucleotide sequences from the plastid, mitochondrial, and nuclear genomes indicate that most species of Sphagnum are of recent origin (ca. &lt;20 Ma). Sphagnum species are not only well-adapted to boreal peatlands, they create the conditions that promote development of peatlands. The recent radiation that gave rise to extant diversity of peatmosses is temporally associated with Miocene climatic cooling in the Northern Hemisphere. The evolution of Sphagnum has had profound influences on global biogeochemistry because of the unique biochemical, physiological, and morphological features of these plants, both while alive and after death. (C) 2010 Elsevier Inc. All rights reserved.</t>
  </si>
  <si>
    <t>[Shaw, A. Jonathan; Boles, Sandra B.; Shaw, Blanka] Duke Univ, Dept Biol, Durham, NC 27708 USA; [Devos, Nicolas] Univ Liege, Inst Bot, B-4000 Liege, Belgium; [Cox, Cymon J.] Univ Algarve, Ctr Ciencias Mar, P-8005139 Faro, Portugal; [Buchanan, Alex M.; Cave, Lynette] Tasmanian Herbarium, Hobart, Tas 7001, Australia; [Seppelt, Rodney] Australian Antarctic Div, Kingston, Tas 7050, Australia</t>
  </si>
  <si>
    <t>Duke University; University of Liege; Universidade do Algarve; Australian Antarctic Division</t>
  </si>
  <si>
    <t>Cox, Cymon/0000-0002-4927-979X; Aguero, Blanka/0000-0001-8442-5409</t>
  </si>
  <si>
    <t>NSF [DEB-0515749, DEB-0918998]; National Geographic Committee for Research and Exploration [7855-05]; Division Of Environmental Biology; Direct For Biological Sciences [0918998] Funding Source: National Science Foundation</t>
  </si>
  <si>
    <t>NSF(National Science Foundation (NSF)); National Geographic Committee for Research and Exploration(National Geographic Society); Division Of Environmental Biology; Direct For Biological Sciences(National Science Foundation (NSF)NSF - Directorate for Biological Sciences (BIO))</t>
  </si>
  <si>
    <t>B. Goffinet, D. Quandt, D. Soltis, Stenoien, A. Vanderpoorten provided comments on an earlier draft of the manuscript. This research was supported by NSF Grant nos. DEB-0515749, DEB-0918998 and National Geographic Committee for Research and Exploration Grant No. 7855-05.</t>
  </si>
  <si>
    <t>10.1016/j.ympev.2010.01.020</t>
  </si>
  <si>
    <t>WOS:000277721800031</t>
  </si>
  <si>
    <t>Michel, Y; Auligné, T</t>
  </si>
  <si>
    <t>Michel, Yann; Auligne, Thomas</t>
  </si>
  <si>
    <t>Inhomogeneous Background Error Modeling and Estimation over Antarctica</t>
  </si>
  <si>
    <t>MONTHLY WEATHER REVIEW</t>
  </si>
  <si>
    <t>VARIATIONAL STATISTICAL-ANALYSIS; SEVERE WIND EVENT; DATA ASSIMILATION; COVARIANCE STATISTICS; RECURSIVE FILTERS; NUMERICAL ASPECTS; KATABATIC WINDS; 2004 MCMURDO; PREDICTION; IMPLEMENTATION</t>
  </si>
  <si>
    <t>The structure of the analysis increments in a variational data assimilation scheme is strongly driven by the formulation of the background error covariance matrix, especially in data-sparse areas such as the Antarctic region. The gridpoint background error modeling in this study makes use of regression-based balance operators between variables, empirical orthogonal function decomposition to define the vertical correlations. gridpoint variances, and high-order efficient recursive filters to impose horizontal correlations. A particularity is that the regression operators and the recursive filters have been made spatially inhomogeneous. The computation of the background error statistics is performed with the Weather Research and Forecast (WRF) model from a set of forecast differences. The mesoscale limited-area domains of interest cover Antarctica. Inhomogeneities of background errors are shown to be related to the particular orography and physics of the area. Differences seem particularly pronounced between ocean and land boundary layers.</t>
  </si>
  <si>
    <t>[Michel, Yann; Auligne, Thomas] Natl Ctr Atmospher Res, Boulder, CO 80307 USA</t>
  </si>
  <si>
    <t>National Center Atmospheric Research (NCAR) - USA</t>
  </si>
  <si>
    <t>Michel, Y (corresponding author), Natl Ctr Atmospher Res, POB 3000, Boulder, CO 80307 USA.</t>
  </si>
  <si>
    <t>yann@ucar.edu</t>
  </si>
  <si>
    <t>Meteo-France; CNRM-GAME; CNRS; EOS; NASA; Div Atmospheric &amp; Geospace Sciences; Directorate For Geosciences [0939961] Funding Source: National Science Foundation</t>
  </si>
  <si>
    <t>Meteo-France; CNRM-GAME; CNRS(Centre National de la Recherche Scientifique (CNRS)); EOS; NASA(National Aeronautics &amp; Space Administration (NASA)); Div Atmospheric &amp; Geospace Sciences; Directorate For Geosciences(National Science Foundation (NSF)NSF - Directorate for Geosciences (GEO))</t>
  </si>
  <si>
    <t>This research has been partly supported by Meteo-France, CNRM-GAME, and CNRS, by the EOS Interdisciplinary Science Program, and by the NASA Research and Application Program.</t>
  </si>
  <si>
    <t>0027-0644</t>
  </si>
  <si>
    <t>1520-0493</t>
  </si>
  <si>
    <t>MON WEATHER REV</t>
  </si>
  <si>
    <t>Mon. Weather Rev.</t>
  </si>
  <si>
    <t>10.1175/2009MWR3139.1</t>
  </si>
  <si>
    <t>622QE</t>
  </si>
  <si>
    <t>WOS:000279677500013</t>
  </si>
  <si>
    <t>Tikhomirov, PL</t>
  </si>
  <si>
    <t>Tikhomirov, P. L.</t>
  </si>
  <si>
    <t>Largest Phanerozoic Provinces of Silicic Volcanism: Tectonic Position and Genetic Prerequisities</t>
  </si>
  <si>
    <t>silicic volcanism; LIP; underplating; crustal petrogenesis</t>
  </si>
  <si>
    <t>LARGE IGNEOUS PROVINCES; GREAT XINGAN RANGE; CRUSTAL CONTRIBUTIONS; ANTARCTIC PENINSULA; CHINA; MAGMATISM; GENERATION; PATAGONIA; EVOLUTION; ARC</t>
  </si>
  <si>
    <t>This paper presents a brief overview of largest Phanerozoic volcanic provinces of the Earth, which comprise the substantial volumes (over 10(5) km(3)) of silicic extrusive rocks. The provinces of this kind may represent a separate geodynamic class, having the volume comparable to that of intraplate Large Igneous Provinces (LIPs), and being formed in convergent margin settings. The thermal energy preserved in the crust after a previous major magmatic event is considered to be an important factor affecting the volume of crust-derived magmas and playing a significant role in the formation of large provinces of silicic volcanism.</t>
  </si>
  <si>
    <t>[Tikhomirov, P. L.] Moscow MV Lomonosov State Univ, Geol Fac, Reg Geol &amp; Earth Hist Dept, Moscow, Russia</t>
  </si>
  <si>
    <t>Tikhomirov, PL (corresponding author), Moscow MV Lomonosov State Univ, Geol Fac, Reg Geol &amp; Earth Hist Dept, Moscow, Russia.</t>
  </si>
  <si>
    <t>tiho@geol.msu.ru</t>
  </si>
  <si>
    <t>Tikhomirov, Petr/ISA-7226-2023</t>
  </si>
  <si>
    <t>RFBR [09-05-01197-a]; Federal Program Leading Scientific Schools [NSh-841-2008.5]</t>
  </si>
  <si>
    <t>RFBR(Russian Foundation for Basic Research (RFBR)); Federal Program Leading Scientific Schools(Leading Scientific Schools Program)</t>
  </si>
  <si>
    <t>This work was supported by RFBR (grant 09-05-01197-a) and by the Federal Program Leading Scientific Schools (grant NSh-841-2008.5).</t>
  </si>
  <si>
    <t>10.3103/S0145875210030051</t>
  </si>
  <si>
    <t>V2U9B</t>
  </si>
  <si>
    <t>WOS:000217933000005</t>
  </si>
  <si>
    <t>Newsham, KK; Bridge, PD</t>
  </si>
  <si>
    <t>Newsham, Kevin K.; Bridge, Paul D.</t>
  </si>
  <si>
    <t>Sebacinales are associates of the leafy liverwort Lophozia excisa in the southern maritime Antarctic</t>
  </si>
  <si>
    <t>MYCORRHIZA</t>
  </si>
  <si>
    <t>Antarctica; Jungermanniales; Mycorrhizas; Mycothalli; Sebacinales clade B</t>
  </si>
  <si>
    <t>PIRIFORMOSPORA-INDICA; RHIZOSCYPHUS-ERICAE; MYCORRHIZAL; RHIZOIDS; IDENTIFICATION; RESPONSES; FUNGI</t>
  </si>
  <si>
    <t>The leafy liverwort Lophozia excisa, which is colonised by basidiomycete fungi in other biomes and which evidence suggests may be colonised by mycorrhizal fungi in Antarctica, was sampled from L,onie Island in the southern maritime Antarctic (67A degrees 36' S, 68A degrees 21' W). Microscopic examination of plants indicated that fungal hyphae colonised 78% of the rhizoids of the liverwort, apparently by entering the tips of rhizoids prior to growing into their bases, where they formed hyphal coils. Extensive colonisation of stem medullary cells by hyphae was also observed. DNA was extracted from surface-sterilised liverwort tissues and sequenced following nested PCR, using the primer set ITS1F/TW14, followed by a second round of amplification using the ITSSeb3/TW13 primer set. Neighbour-joining analyses showed that the sequences obtained nested in Sebacinales clade B as a 100% supported sister group to Sebacinales sequences from the leafy liverworts Lophozia sudetica, L. incisa and Calypogeia muelleriana sampled from Europe. Direct PCR using the fungal specific primer set ITS1F/ITS4 similarly identified fungi belonging to Sebacinales clade B as the principal colonists of L. excisa tissues. These observations indicate the presence of a second mycothallus in Antarctica and support the previous suggestion that the Sebacinales has a wide geographical distribution.</t>
  </si>
  <si>
    <t>[Newsham, Kevin K.; Bridge, Paul D.] British Antarctic Survey, Nat Environm Res Council, Cambridge CB3 0ET, England</t>
  </si>
  <si>
    <t>Newsham, KK (corresponding author), British Antarctic Survey, Nat Environm Res Council, Madingley Rd, Cambridge CB3 0ET, England.</t>
  </si>
  <si>
    <t>kne@bas.ac.uk</t>
  </si>
  <si>
    <t>Newsham, Kevin K/C-4192-2011</t>
  </si>
  <si>
    <t>Natural Environment Research Council; NERC [bas0100025] Funding Source: UKRI; Natural Environment Research Council [bas0100025] Funding Source: researchfish</t>
  </si>
  <si>
    <t>Funding was supplied by the Natural Environment Research Council through the British Antarctic Survey's Long-Term Monitoring and Survey programme. Ryszard Ochyra identified the samples of L. excisa, and Katarzyna Turnau provided advice on staining procedures. The staff of the BAS Logistics Group and Rothera Research base, particularly Jim Elliot and James Wake, assisted with transport to and from Leonie Island. Peter Fretwell drew Fig. 1 and Sandra McInnes and Jamie Oliver helped with the preparation of Fig. 2. Two anonymous referees supplied helpful comments. All are gratefully acknowledged.</t>
  </si>
  <si>
    <t>0940-6360</t>
  </si>
  <si>
    <t>1432-1890</t>
  </si>
  <si>
    <t>Mycorrhiza</t>
  </si>
  <si>
    <t>10.1007/s00572-009-0283-9</t>
  </si>
  <si>
    <t>602EB</t>
  </si>
  <si>
    <t>WOS:000278120200002</t>
  </si>
  <si>
    <t>Leese, F; Agrawal, S; Held, C</t>
  </si>
  <si>
    <t>Leese, Florian; Agrawal, Shobhit; Held, Christoph</t>
  </si>
  <si>
    <t>Long-distance island hopping without dispersal stages: transportation across major zoogeographic barriers in a Southern Ocean isopod</t>
  </si>
  <si>
    <t>Antarctic; Biogeography; Gene flow; Population genetics; Rafting; Serolidae</t>
  </si>
  <si>
    <t>ANTARCTIC CIRCUMPOLAR CURRENT; WEST-WIND-DRIFT; GENE FLOW; POPULATION-STRUCTURE; DEEP-SEA; CRYPTIC SPECIATION; DRAKE PASSAGE; POLAR FRONT; CRUSTACEA; MARKERS</t>
  </si>
  <si>
    <t>Species integrity is maintained only if recurrent allelic exchange between subpopulations occurs by means of migrating specimens. Predictions of this gene flow on the basis of observed or assumed mobility of marine species have proven to be error-prone. Using one mitochondrial gene and seven microsatellite markers, we studied the genetic structure and gene flow in Septemserolis septemcarinata, a strictly benthic species lacking pelagic larvae and the ability to swim. Suitable shallow-water habitats around three remote islands (South Georgia, Bouvet, and Marion Island) are geographically disjunct, isolated by more than 2,000 km of uninhabitable deep sea (east-west) and also separated by the Polar Front (north-south), which serves as a strong demarcation line in many marine taxa. Although we did find genetic differentiation among the three island populations, our results also revealed that a scenario with recent gene flow explains our data best. A model assuming no gene flow after initial colonization of the islands performs significantly worse. The tests also favor an asymmetric gene flow pattern (west to east a parts per thousand &lt;&lt; east to west) thus mirroring the directionality of major oceanographic currents in the area. We conclude that rare long-distance dispersal rather than vicariance or human-mediated transport must be responsible for the observed patterns. As a mechanism, we propose passive rafting on floating substrata in the Antarctic Circumpolar Current. The results demonstrate that the effectiveness of a physical barrier is not solely a function of its physical parameters but strongly depends on how organisms interact with their environment.</t>
  </si>
  <si>
    <t>[Leese, Florian] Ruhr Univ Bochum, Dept Anim Ecol Evolut &amp; Biodivers, D-44801 Bochum, Germany; [Agrawal, Shobhit; Held, Christoph] Alfred Wegener Inst Polar &amp; Marine Res, Dept Funct Ecol, D-27515 Bremerhaven, Germany</t>
  </si>
  <si>
    <t>Ruhr University Bochum; Helmholtz Association; Alfred Wegener Institute, Helmholtz Centre for Polar &amp; Marine Research</t>
  </si>
  <si>
    <t>Leese, F (corresponding author), Ruhr Univ Bochum, Dept Anim Ecol Evolut &amp; Biodivers, Univ Str 150, D-44801 Bochum, Germany.</t>
  </si>
  <si>
    <t>florian.leese@rub.de</t>
  </si>
  <si>
    <t>Leese, Florian/D-4277-2012</t>
  </si>
  <si>
    <t>Leese, Florian/0000-0002-5465-913X</t>
  </si>
  <si>
    <t>Deutsche Forschungsgemeinschaft [HE-3391/3, MA3684]; National Science Foundation [OPP-0132032]</t>
  </si>
  <si>
    <t>FL and CH are grateful to Wolfgang Wagele and Ralph Tollrian for helpful discussions and support and to Andrea Eschbach and Annegret Muller for technical assistance. We thank Martin Thiel, Chester J. Sands, and two anonymous reviewers for helpful comments on the manuscript and Peter Beerli for help with MIGRATE-N. This work was supported by Deutsche Forschungsgemeinschaft grant HE-3391/3 to CH and MA3684 to FL and Christoph Mayer, and National Science Foundation grant OPP-0132032 to H. W. Detrich III. This is publication number 23 from the ICEFISH Cruise of 2004.</t>
  </si>
  <si>
    <t>10.1007/s00114-010-0674-y</t>
  </si>
  <si>
    <t>596YD</t>
  </si>
  <si>
    <t>WOS:000277720900006</t>
  </si>
  <si>
    <t>Thoma, M; Grosfeld, K; Makinson, K; Lange, MA</t>
  </si>
  <si>
    <t>Thoma, Malte; Grosfeld, Klaus; Makinson, Keith; Lange, Manfred A.</t>
  </si>
  <si>
    <t>Modelling the impact of ocean warming on melting and water masses of ice shelves in the Eastern Weddell Sea</t>
  </si>
  <si>
    <t>Weddell sea; Ocean warming; Numerical ocean modelling; Ice-ocean interaction; Brunt ice shelf; Riiser-Larsen ice shelf; Antarctica</t>
  </si>
  <si>
    <t>BOTTOM WATER; PINE ISLAND; BREAK-UP; WEST; DEEP; CIRCULATION; COLLAPSE; GLACIER</t>
  </si>
  <si>
    <t>The Eastern Weddell Ice Shelves (EWIS) are believed to modify the water masses of the coastal current and thus preconditions the water mass formation in the southern and western Weddell Sea. We apply various ocean warming scenarios to investigate the impact on the temperature-salinity distribution and the sub-ice shelf melting in the Eastern Weddell Sea. In our numerical experiments, the warming is imposed homogeneously along the open inflow boundaries of the model domain, leading to a warming of the warm deep water (WDW) further downstream. Our modelling results indicate a weak quadratic dependence of the melt rate at the ice shelf base on the imposed amount of warming, which is consistent with earlier studies. The total melt rate has a strong dependence on the applied ocean warming depth. If the warming is restricted to the upper ocean (above 1,000 m), the water column (aside from the mixed surface layer) in the vicinity of the ice shelves stabilises. Hence, reduced vertical mixing will reduce the potential of Antarctic Bottom Water formation further downstream with consequences on the global thermohaline circulation. If the warming extends to the abyss, the WDW core moves significantly closer to the continental shelf break. This sharpens the Antarctic Slope Front and leads to a reduced density stratification. In contrast to the narrow shelf bathymetry in the EWIS region, a wider continental shelf (like in the southern Weddell Sea) partly protects ice shelves from remote ocean warming. Hence, the freshwater production rate of, e.g., the Filchner-Ronne Ice Shelf increases much less compared with the EWIS for identical warming scenarios. Our study therefore indicates that the ice-ocean interaction has a significant impact on the temperature-salinity distribution and the water column stability in the vicinity of ice shelves located along a narrow continental shelf. The effects of ocean warming and the impact of increased freshwater fluxes on the circulation are of the same order of magnitude and superimposed. Therefore, a consideration of this interaction in large-scale climate studies is essential.</t>
  </si>
  <si>
    <t>[Thoma, Malte; Grosfeld, Klaus] Alfred Wegener Inst Polar &amp; Marine Res AWI, D-27570 Bremerhaven, Germany; [Thoma, Malte] Bayer Akad Wissensch, Kommiss Glaziol, D-80539 Munich, Germany; [Makinson, Keith] British Antarctic Survey, Cambridge CB3 0ET, England; [Lange, Manfred A.] Cyprus Inst, EEWRC, CY-1645 Nicosia, Cyprus</t>
  </si>
  <si>
    <t>Helmholtz Association; Alfred Wegener Institute, Helmholtz Centre for Polar &amp; Marine Research; UK Research &amp; Innovation (UKRI); Natural Environment Research Council (NERC); NERC British Antarctic Survey</t>
  </si>
  <si>
    <t>Thoma, M (corresponding author), Alfred Wegener Inst Polar &amp; Marine Res AWI, Bussestr 24, D-27570 Bremerhaven, Germany.</t>
  </si>
  <si>
    <t>Malte.Thoma@awi.de</t>
  </si>
  <si>
    <t>Makinson, Keith/A-2495-2013</t>
  </si>
  <si>
    <t>Makinson, Keith/0000-0002-5791-1767; Grosfeld, Klaus/0000-0001-5936-179X; Thoma, Malte/0000-0002-4033-3905</t>
  </si>
  <si>
    <t>Bundesministerium fur Bildung; Wissenschaft; Forschung und Technologie (bmb+f) der Bundesrepublik Deutschland [03F0377C]; Natural Environment Research Council [bas0100028] Funding Source: researchfish; NERC [bas0100028] Funding Source: UKRI</t>
  </si>
  <si>
    <t>Bundesministerium fur Bildung(Federal Ministry of Education &amp; Research (BMBF)); Wissenschaft; Forschung und Technologie (bmb+f) der Bundesrepublik Deutschland; Natural Environment Research Council(UK Research &amp; Innovation (UKRI)Natural Environment Research Council (NERC)); NERC(UK Research &amp; Innovation (UKRI)Natural Environment Research Council (NERC))</t>
  </si>
  <si>
    <t>This work is part of the German CLIVAR/marin-project. Founding by the Bundesministerium fur Bildung, Wissenschaft, Forschung und Technologie (bmb+f) der Bundesrepublik Deutschland, contract 03F0377C, is gratefully acknowledged. The authors wish to thank Povl Abrahamsen for the recovery of some lost data, Andrea Bleyer for proof reading as well as Hartmut Hellmer, Angelika Humbert and three anonymous reviewers for helpful suggestions which improved the manuscript.</t>
  </si>
  <si>
    <t>10.1007/s10236-010-0262-x</t>
  </si>
  <si>
    <t>616NX</t>
  </si>
  <si>
    <t>WOS:000279217200001</t>
  </si>
  <si>
    <t>Koch-Larrouy, A; Morrow, R; Penduff, T; Juza, M</t>
  </si>
  <si>
    <t>Koch-Larrouy, Ariane; Morrow, Rosemary; Penduff, Thierry; Juza, Melanie</t>
  </si>
  <si>
    <t>Origin and mechanism of Subantarctic Mode Water formation and transformation in the Southern Indian Ocean</t>
  </si>
  <si>
    <t>Subantarctic mode water; Formation; Transformation; Eddy mixing; OGCM; ARGO; Winter mixed layers; Pathways; Southern Indian Ocean</t>
  </si>
  <si>
    <t>GENERAL-CIRCULATION; INTERMEDIATE WATER; LEEUWIN CURRENT; CIRCUMPOLAR CURRENT; MIXED-LAYER; ATLANTIC; VARIABILITY; CO2; TOPOGRAPHY; SIGNATURE</t>
  </si>
  <si>
    <t>The sources and pathways of mode waters and lower thermocline waters entering the subtropical gyre of the Indian Ocean are examined. A Lagrangian analysis is performed on an eddy-admitting simulation of the Global Ocean performed by the DRAKKAR Group (NEMO/OPA), which captures the main observed features. We trace the subducted mode water's pathways, identify their formation regions and trace whether their source waters come from the Atlantic, Pacific or Indian sectors of the Southern Ocean. Three main sites for mode waters ventilation in the Indian sector are identified with different circulation pathways and source water masses: (a) just north of Kerguelen, where 4.2 Sv of lighter Subantarctic Mode Waters (SAMW); sigma (0) similar to aEuro parts per thousand 26.5) are exported-originating in the Atlantic and Agulhas Retroflection regions; (b) SW of Australia, where 6.5 Sv of medium SAMW (sigma (0) similar to aEuro parts per thousand 26.6) are ventilated-originating in the southern and denser Agulhas Retroflection region; (c) SW of Tasmania and along the South Australian coast, where 3 Sv of denser SAMW (sigma (0) similar to aEuro parts per thousand 26.75) are ventilated-originating from three sources: Leeuwin Current waters, Tasman Sea (Pacific) waters and Antarctic Surface Waters. In all cases, modelled mode waters were last ventilated in the Indian Ocean just north of the deepest winter-mixed layers. For the waters subducted SW of Australia, the last ventilation site extends even further north. Waters ventilated in the deepest mixed layers north of the Subantarctic Front are then re-ventilated 5 years later southwest of Australia. The model results raise new hypotheses that revisit the classical picture of the SAMW formation and transformation, where a large homogeneous mixed layer is subducted and 'slides' equatorward, essentially maintaining the T/S characteristics acquired at the surface. Firstly, the last ventilation of the modelled mode waters is not in the region of the deepest mixed layers, as previously thought, but further north in regions of moderate meso-scale eddy activity. Secondly, the model shows for the first time a significant source region for Indian Ocean mode waters coming from deep winter-mixed layers along the south Australian coast. Finally, this analysis shows how the mode water characteristics are modified after subduction, due to internal eddy mixing. The simulation shows that resolved eddies have a strong impact on the mixed layer properties and that isopycnal eddy mixing also contributes to the generation of more homogeneous mode water characteristics in the interior.</t>
  </si>
  <si>
    <t>[Koch-Larrouy, Ariane; Morrow, Rosemary] LEGOS, F-31401 Toulouse 09, France; [Penduff, Thierry; Juza, Melanie] Lab Ecoulements Geophys &amp; Ind, F-38041 Grenoble 9, France; [Penduff, Thierry] Florida State Univ, Dept Oceanog, Tallahassee, FL 32306 USA</t>
  </si>
  <si>
    <t>Universite de Toulouse; Universite Toulouse III - Paul Sabatier; Centre National de la Recherche Scientifique (CNRS); Institut de Recherche pour le Developpement (IRD); Laboratoire d'Etudes en Geophysique et oceanographie spatiales; Communaute Universite Grenoble Alpes; Institut National Polytechnique de Grenoble; Universite Grenoble Alpes (UGA); Centre National de la Recherche Scientifique (CNRS); State University System of Florida; Florida State University</t>
  </si>
  <si>
    <t>Koch-Larrouy, A (corresponding author), LEGOS, 18 Ave Edouard Belin, F-31401 Toulouse 09, France.</t>
  </si>
  <si>
    <t>Ariane.Koch-Larrouy@legos.obs-mip.fr</t>
  </si>
  <si>
    <t>Penduff, Thierry/AAH-6554-2021; koch-larrouy, ariane/M-4915-2017</t>
  </si>
  <si>
    <t>Penduff, Thierry/0000-0002-0407-8564; KOCH-LARROUY, Ariane/0000-0002-9850-0518</t>
  </si>
  <si>
    <t>10.1007/s10236-010-0276-4</t>
  </si>
  <si>
    <t>WOS:000279217200007</t>
  </si>
  <si>
    <t>Aoki, S; Sasai, Y; Sasaki, H; Mitsudera, H; Williams, GD</t>
  </si>
  <si>
    <t>Aoki, Shigeru; Sasai, Yoshikazu; Sasaki, Hideharu; Mitsudera, Humio; Williams, Guy D.</t>
  </si>
  <si>
    <t>The cyclonic circulation in the Australian-Antarctic basin simulated by an eddy-resolving general circulation model</t>
  </si>
  <si>
    <t>Cyclonic gyre; Australian-Antarctic basin; Transport; OFES; Iceberg drift; Argo float</t>
  </si>
  <si>
    <t>LARGE-SCALE CIRCULATION; WATER MASSES; CIRCUMPOLAR CURRENT; SOUTHERN-OCEAN; INDIAN-OCEAN; WEDDELL GYRE; ADELIE LAND; TRANSPORT; SEA; WIND</t>
  </si>
  <si>
    <t>Flow structure in the Australian-Antarctic basin is investigated using an eddy-resolving general ocean circulation model and validated with iceberg and middepth float trajectories. A cyclonic circulation system between the Antarctic Circumpolar Current and Antarctic Slope Current consists of a large-scale gyre in the west (80-110A degrees A E) and a series of eddies in the east (120-150A degrees A E). The western gyre has an annual mean westward transport of 22 Sv in the southern limb. Extending west through the Princess Elizabeth Trough, 5 Sv of the gyre recirculates off Prydz Bay and joins the western boundary current off the Kerguelen Plateau. Iceberg trajectories from QuickScat and ERS-1/2 support this recirculation and the overall structure of the Antarctic Slope Current against isobath in the model. Argo float trajectories also reveal a consistent structure of the deep westward slope current. This study indicates the presence of a large cyclonic circulation in this basin, which is comparable to the Weddell and Ross gyres.</t>
  </si>
  <si>
    <t>[Aoki, Shigeru; Mitsudera, Humio; Williams, Guy D.] Hokkaido Univ, Inst Low Temp Sci, Kita Ku, Sapporo, Hokkaido 0600819, Japan; [Sasai, Yoshikazu] Japan Agcy Marine Earth Sci &amp; Technol, Frontier Res Ctr Global Change, Yokohama, Kanagawa, Japan; [Sasaki, Hideharu] Japan Agcy Marine Earth Sci &amp; Technol, Earth Simulator Ctr, Yokohama, Kanagawa, Japan</t>
  </si>
  <si>
    <t>Hokkaido University; Japan Agency for Marine-Earth Science &amp; Technology (JAMSTEC); Japan Agency for Marine-Earth Science &amp; Technology (JAMSTEC)</t>
  </si>
  <si>
    <t>Aoki, S (corresponding author), Hokkaido Univ, Inst Low Temp Sci, Kita Ku, N19W8, Sapporo, Hokkaido 0600819, Japan.</t>
  </si>
  <si>
    <t>shigeru@lowtem.hokudai.ac.jp</t>
  </si>
  <si>
    <t>Aoki, Shigeru/D-9105-2012; 英治, 佐々木/G-2247-2016; Mitsudera, Humio/E-3241-2012</t>
  </si>
  <si>
    <t>英治, 佐々木/0000-0003-0657-7532; Mitsudera, Humio/0000-0001-9481-6921</t>
  </si>
  <si>
    <t>Japanese Government [15710001, 17340138]; Grants-in-Aid for Scientific Research [20221001, 17340138, 15710001, 21310002, 22106010, 22221001] Funding Source: KAKEN</t>
  </si>
  <si>
    <t>Japanese Government; Grants-in-Aid for Scientific Research(Ministry of Education, Culture, Sports, Science and Technology, Japan (MEXT)Japan Society for the Promotion of ScienceGrants-in-Aid for Scientific Research (KAKENHI))</t>
  </si>
  <si>
    <t>Discussion with Masaaki Wakatsuchi and Keiichiro Ohshima on cyclonic eddy structure was invaluable. Yasu Fukamachi provided useful information on the mooring results. Andrew Meijers did extensive analysis of LADCP observations of the BROKE-West cruise and provided the data. The OFES simulation was conducted on the Earth Simulator. Argo data were collected and made freely available by the Coriolis project (http://www.coriolis.eu.org) and Japan Argo project (http://www.jamstec.go.jp/ARGO/J_ARGOe.html). This work was supported by Grant-in-Aid for Scientific Research (15710001 and 17340138) of the MEXT of the Japanese Government.</t>
  </si>
  <si>
    <t>10.1007/s10236-009-0261-y</t>
  </si>
  <si>
    <t>WOS:000279217200021</t>
  </si>
  <si>
    <t>Bogorodskii, PV; Marchenko, AV; Pnyushkov, AV; Ogorodov, SA</t>
  </si>
  <si>
    <t>Bogorodskii, P. V.; Marchenko, A. V.; Pnyushkov, A. V.; Ogorodov, S. A.</t>
  </si>
  <si>
    <t>Formation of fast ice and its influence on the coastal zone of the Arctic seas</t>
  </si>
  <si>
    <t>The formation of fast ice in the costal zone of freezing seas (immobile ice) is considered on the basis of a specially developed thermodynamic model that takes into account the energy exchange in the atmospheric boundary layer and the salinification of the water layer under the ice. The conditions at which the wind forced onshore motion of the ice under the influence of the wind stress at the ice's surface is possible are studied using the example of the Baidaratskaya Guba in the Kara Sea.</t>
  </si>
  <si>
    <t>[Bogorodskii, P. V.; Marchenko, A. V.; Pnyushkov, A. V.] Arctic &amp; Antarctic Res Inst, St Petersburg 199226, Russia; [Marchenko, A. V.] State Oceanog Inst, Moscow, Russia; [Marchenko, A. V.] Univ Ctr Svalbard, Longyearbyen, Norway; [Marchenko, A. V.] Prokhorov Inst Gen Phys, Moscow, Russia; [Ogorodov, S. A.] Moscow MV Lomonosov State Univ, Moscow, Russia</t>
  </si>
  <si>
    <t>Arctic &amp; Antarctic Research Institute; University Centre Svalbard (UNIS); Russian Academy of Sciences; Prokhorov General Physics Institute of the Russian Academy of Sciences; Lomonosov Moscow State University</t>
  </si>
  <si>
    <t>Bogorodskii, PV (corresponding author), Arctic &amp; Antarctic Res Inst, St Petersburg 199226, Russia.</t>
  </si>
  <si>
    <t>bogorodsky@aari.nw.ru</t>
  </si>
  <si>
    <t>Ogorodov, Stanislav/L-9505-2015; Marchenko, Aleksey/GSD-3516-2022; Bogorodskii, Petr/J-4213-2014; Pnyushkov, Andrey/J-4153-2014; Pnyushkov, Andrey/M-3156-2019</t>
  </si>
  <si>
    <t>Ogorodov, Stanislav/0000-0002-4002-4600; Marchenko, Aleksey/0000-0003-4169-0063; Pnyushkov, Andrey/0000-0001-9112-6458; Pnyushkov, Andrey/0000-0001-9112-6458</t>
  </si>
  <si>
    <t>Russian Foundation for Basic Research [08-05-00124, 08-05-00109, 07-05-00393]</t>
  </si>
  <si>
    <t>This study was supported by the Russian Foundation for Basic Research (projects nos. 08-05-00124, 08-05-00109, and 07-05-00393).</t>
  </si>
  <si>
    <t>PLEIADES HOUSE, 7 W 54 ST, NEW YORK, NY, UNITED STATES</t>
  </si>
  <si>
    <t>1531-8508</t>
  </si>
  <si>
    <t>10.1134/S0001437010030033</t>
  </si>
  <si>
    <t>619MR</t>
  </si>
  <si>
    <t>WOS:000279434800003</t>
  </si>
  <si>
    <t>Demidov, AB; Gagarin, VI; Grigoriev, AV</t>
  </si>
  <si>
    <t>Demidov, A. B.; Gagarin, V. I.; Grigoriev, A. V.</t>
  </si>
  <si>
    <t>Seasonal variability of the surface chlorophyll a in the Drake Passage</t>
  </si>
  <si>
    <t>SOUTHERN-OCEAN PRODUCTIVITY; WESTERN BRANSFIELD STRAIT; ANTARCTIC POLAR FRONT; PHYTOPLANKTON BIOMASS; TEMPORAL VARIABILITY; ATLANTIC SECTOR; AUSTRAL SUMMER; WATER MASSES; SCOTIA SEA; SOUTHWESTERN ATLANTIC</t>
  </si>
  <si>
    <t>The seasonal variability of the surface chlorophyll a (Chl-s) was studied for five different hydrological areas in the Drake Passage. The data were collected both in the field (December 2001-March 2002, and November 2007) and by satellite observations. One maximum of Chl-s was registered for the area northward of the Antarctic Polar Front in November 2007. This maximum moves southwards to the Antarctic and Continental Antarctic regions in December and January, respectively. The major factors affecting the phytoplankton growth were analyzed, namely, the decrease of the mixed water layer's depth due to jogging during the austral late spring and summer and seasonal water temperature increase. The comparison of the field and satellite data allows us to conclude that the standard OC4v4 algorithm usually underreports the Chl-s concentration when it exceed 0.2 mg m(-3).</t>
  </si>
  <si>
    <t>[Demidov, A. B.; Gagarin, V. I.; Grigoriev, A. V.] Russian Acad Sci, PP Shirshov Oceanol Inst, Moscow, Russia</t>
  </si>
  <si>
    <t>Demidov, AB (corresponding author), Russian Acad Sci, PP Shirshov Oceanol Inst, Moscow, Russia.</t>
  </si>
  <si>
    <t>demspa@rambler.ru</t>
  </si>
  <si>
    <t>Demidov, Andrey/G-1043-2014</t>
  </si>
  <si>
    <t>Demidov, Andrey/0000-0002-1370-079X</t>
  </si>
  <si>
    <t>Goddard Space Flight Center and the Distributed Active Archive Center (GSFC DAAC) of NASA</t>
  </si>
  <si>
    <t>The authors are grateful to the Goddard Space Flight Center and the Distributed Active Archive Center (GSFC DAAC) of NASA for their kind support in sharing the SeaWiFS satellite data and the SeaBASS archives.</t>
  </si>
  <si>
    <t>10.1134/S0001437010030045</t>
  </si>
  <si>
    <t>WOS:000279434800004</t>
  </si>
  <si>
    <t>Caruso, T; Garlaschelli, D; Bargagli, R; Convey, P</t>
  </si>
  <si>
    <t>Caruso, Tancredi; Garlaschelli, Diego; Bargagli, Roberto; Convey, Peter</t>
  </si>
  <si>
    <t>Testing metabolic scaling theory using intraspecific allometries in Antarctic microarthropods</t>
  </si>
  <si>
    <t>OIKOS</t>
  </si>
  <si>
    <t>MATHEMATICALLY CORRECT; OXYGEN-CONSUMPTION; COLD ADAPTATION; MODEL; TEMPERATURE; ECOLOGY; LIFE; ARTHROPODS; TOLERANCE; INSECTS</t>
  </si>
  <si>
    <t>Quantitative scaling relationships among body mass, temperature and metabolic rate of organisms are still controversial, while resolution may be further complicated through the use of different and possibly inappropriate approaches to statistical analysis. We propose the application of a modelling strategy based on the theoretical approach of Akaike's information criteria and non-linear model fitting (nlm). Accordingly, we collated and modelled available data at intraspecific level on the individual standard metabolic rate of Antarctic microarthropods as a function of body mass (M), temperature (T), species identity (S) and high rank taxa to which species belong (G) and tested predictions from metabolic scaling theory (mass-metabolism allometric exponent b = 0.75, activation energy range 0.2-1.2 eV). We also performed allometric analysis based on logarithmic transformations (lm). Conclusions from lm and nlm approaches were different. Best-supported models from lm incorporated T, M and S. The estimates of the allometric scaling exponent linking body mass and metabolic rate resulted in a value of 0.696 +/- 0.105 (mean +/- 95% CI). In contrast, the four best-supported nlm models suggested that both the scaling exponent and activation energy significantly vary across the high rank taxa (Collembola, Cryptostigmata, Mesostigmata and Prostigmata) to which species belong, with mean values of b ranging from about 0.6 to 0.8. We therefore reached two conclusions: 1, published analyses of arthropod metabolism based on logarithmic data may be biased by data transformation; 2, non-linear models applied to Antarctic microarthropod metabolic rate suggest that intraspecific scaling of standard metabolic rate in Antarctic microarthropods is highly variable and can be characterised by scaling exponents that greatly vary within taxa, which may have biased previous interspecific comparisons that neglected intraspecific variability.</t>
  </si>
  <si>
    <t>[Caruso, Tancredi; Bargagli, Roberto] Univ Siena, Dept Environm Sci G Sarfatti, IT-53100 Siena, Italy; [Garlaschelli, Diego] Univ Siena, Dept Phys, IT-53100 Siena, Italy; [Convey, Peter] British Antarctic Survey, NERC, Cambridge CB3 0ET, England</t>
  </si>
  <si>
    <t>University of Siena; University of Siena; UK Research &amp; Innovation (UKRI); Natural Environment Research Council (NERC); NERC British Antarctic Survey</t>
  </si>
  <si>
    <t>Caruso, T (corresponding author), Univ Siena, Dept Environm Sci G Sarfatti, Via PA Mattioli 4, IT-53100 Siena, Italy.</t>
  </si>
  <si>
    <t>tancredicaruso@unisi.it</t>
  </si>
  <si>
    <t>Convey, Peter/AAV-5728-2020; Garlaschelli, Diego/P-2795-2019; Caruso, Tancredi/H-1103-2012</t>
  </si>
  <si>
    <t>Convey, Peter/0000-0001-8497-9903; Garlaschelli, Diego/0000-0001-6035-1783; Caruso, Tancredi/0000-0002-3607-9609</t>
  </si>
  <si>
    <t>Italian PNRA (Programma Nazionale di Ricerche in Antartide); NERC [bas0100025] Funding Source: UKRI; Natural Environment Research Council [bas0100025] Funding Source: researchfish</t>
  </si>
  <si>
    <t>Italian PNRA (Programma Nazionale di Ricerche in Antartide)(Ministry of Education, Universities and Research (MIUR)); NERC(UK Research &amp; Innovation (UKRI)Natural Environment Research Council (NERC)); Natural Environment Research Council(UK Research &amp; Innovation (UKRI)Natural Environment Research Council (NERC))</t>
  </si>
  <si>
    <t>This study is a contribution to the EBESA IPY project no. 452, BAS BIOFLAME and SCAR EBA Programs and was supported by the Italian PNRA (Programma Nazionale di Ricerche in Antartide). We thank Enza D'Angelo for contributing to the compilation of the database, and Andrew Clarke and Lloyd Peck for comments on an earlier draft. We are grateful to the subject editor Ulrich Brose and Ethan White for constructive criticism that substantially improved the manuscript.</t>
  </si>
  <si>
    <t>0030-1299</t>
  </si>
  <si>
    <t>1600-0706</t>
  </si>
  <si>
    <t>Oikos</t>
  </si>
  <si>
    <t>10.1111/j.1600-0706.2009.17915.x</t>
  </si>
  <si>
    <t>601CV</t>
  </si>
  <si>
    <t>WOS:000278036500005</t>
  </si>
  <si>
    <t>Takata, H; Nomura, R; Khim, BK</t>
  </si>
  <si>
    <t>Takata, Hiroyuki; Nomura, Ritsuo; Khim, Boo-Keun</t>
  </si>
  <si>
    <t>Response of abyssal benthic foraminifera to mid-Oligocene glacial events in the eastern Equatorial Pacific Ocean (ODP Leg 199)</t>
  </si>
  <si>
    <t>Benthic foraminifera; Glacial event; Eastern Equatorial Pacific; Mid-Oligocene</t>
  </si>
  <si>
    <t>DEEP-SEA FORAMINIFERA; ANTARCTIC GLACIATION; INDIAN-OCEAN; PRIMARY PRODUCTIVITY; SOUTHERN-OCEAN; ECOLOGY; EOCENE; NORTH; PALEOCEANOGRAPHY; MICROHABITATS</t>
  </si>
  <si>
    <t>We investigated Oligocene and early Miocene benthic foraminiferal faunas (&gt;105 pm in size) from Ocean Drilling Program (Leg 199) Site 1218 (4826 m water depth and 3300 to 4000 m paleo-water depth) and Site 1219 (5063 m water depth and 4200 to 4400 in paleo-water depth) to understand the response of abyssal benthic foraminifera to mid-Oligocene glacial events in the eastern Equatorial Pacific Ocean. Two principal factor assemblages were recognized. The Factor 1 assemblage (common Nuttallaides umbonifer) is related to either an influx of the Southern Component Water (SCW). possibly carbonate undersaturated, or a decrease in seasonality of the food supply from the surface ocean The Factor 2 assemblage is characterized by typical deep-sea taxa living under variable trophic conditions, possibly with a seasonal component in food supply. The occurrence of abyssal benthic foraminifera faunas during the mid-Oligocene depends on either the effect of SCW or the seasonality of food resources. The Factor 1 assemblage was most common near 76OI-C11r. 73OI-C10rn and 67OI-C9n (ca 302. 291 and 268 Ma respectively by Palike et al (2006)) This indicates that the effect of SCW increased or the seasonal input of food from the surface ocean to benthic environments was weakened close to these glacial events In contrast, the huge export flux of small biogenic carbonate particles close to these glacial events might be responsible for carbonate-rich sediments buffering carbonate undersaturation Changes in deep-water masses or the periodicity of food supply from the surface ocean and variation in surface carbonate production affected by orbital forcing had an impact on the mid-Oligocene faunas of abyssal benthic foraminifera around the intervals of glacial events in the eastern Equatorial Pacific Ocean. The Factor 1 assemblage decreased sharply at 30 Ma (29 8 Ma by Palike et al (2006). 30.0 Ma by CK95) and returned to dominance after 29 Ma (28 6 Ma by Palike et al (2006), 28.8 Ma by CK95). It is likely that the effect of SCW (possibly carbonate undersaturated) has intensified since the late Oligocene The faunal transition of benthic foraminifera in the eastern Equatorial Pacific Ocean at similar to 29 Ma might be attributable to the influence of Northern Component Water (NCW) input to the Southern Ocean and the subsequent formation of SCW at about that time (C) 2010 Elsevier B.V. All rights reserved</t>
  </si>
  <si>
    <t>[Takata, Hiroyuki] Shimane Univ, Res Ctr Coastal Lagoon Environm, Matsue, Shimane 6908504, Japan; [Takata, Hiroyuki; Khim, Boo-Keun] Pusan Natl Univ, Div Earth Environm Syst, Marine Res Inst, Pusan 609735, South Korea; [Nomura, Ritsuo] Shimane Univ, Fac Educ, Matsue, Shimane 6908504, Japan</t>
  </si>
  <si>
    <t>Shimane University; Pusan National University; Shimane University</t>
  </si>
  <si>
    <t>Takata, H (corresponding author), Shimane Univ, Res Ctr Coastal Lagoon Environm, 1060 Nishikawatsu, Matsue, Shimane 6908504, Japan.</t>
  </si>
  <si>
    <t>U.S. National Science Foundation (NSF); Joint Oceanographic Institution (JOI), Inc.; K-IODP</t>
  </si>
  <si>
    <t>U.S. National Science Foundation (NSF)(National Science Foundation (NSF)); Joint Oceanographic Institution (JOI), Inc.; K-IODP</t>
  </si>
  <si>
    <t>We thank Dr. Heiko Palike (Southampton University) for providing the age model of Site 1218 and Dr. Bridget Wade (Texas ARM University) for permission to use their stable oxygen and carbon isotope ratio data. We appreciate the constructive comments of Dr. Ellen Thomas (Yale University) and Dr. Christopher W. Smart (University of Plymouth). Thanks are also due to Dr. David L. Dettman (University of Arizona/Shimane University) for improving the English expression of our manuscript. This research used samples and/or data provided by the Ocean Drilling Program (ODP). ODP is sponsored by the U.S. National Science Foundation (NSF) and participating countries under management of Joint Oceanographic Institution (JOI), Inc. This research is also partly supported by K-IODP.</t>
  </si>
  <si>
    <t>10.1016/j.palaeo.2010.03.021</t>
  </si>
  <si>
    <t>620HH</t>
  </si>
  <si>
    <t>WOS:000279489200001</t>
  </si>
  <si>
    <t>Luciani, V; Giusberti, L; Agnini, C; Fornaciari, E; Rio, D; Spofforth, DJA; Pälike, H</t>
  </si>
  <si>
    <t>Luciani, Valeria; Giusberti, Luca; Agnini, Claudia; Fornaciari, Eliana; Rio, Domenico; Spofforth, David J. A.; Paelike, Heiko</t>
  </si>
  <si>
    <t>Ecological and evolutionary response of Tethyan planktonic foraminifera to the middle Eocene climatic optimum (MECO) from the Alano section (NE Italy)</t>
  </si>
  <si>
    <t>Middle Eocene climatic optimum; Planktonic foraminifera; Paleoecology; Evolution; Southern Alps; Italy</t>
  </si>
  <si>
    <t>LATE PALEOCENE; MORPHOLOGICAL ABNORMALITIES; BIPOLAR GLACIATION; CONTINENTAL-MARGIN; STABLE-ISOTOPES; TESTS; ASSEMBLAGES; DISSOLUTION; ATLANTIC; MIOCENE</t>
  </si>
  <si>
    <t>The enigmatic middle Eocene climatic optimum (MECO) is a transient (similar to 500 kyr) warming event that significantly interrupted at similar to 40 Ma the long-term cooling through the middle and late Eocene, eventually resulting in establishment of permanent Antarctic ice-sheet. This event is still poorly known and data on the biotic response are so far scarce Here we present a detailed planktonic foraminiferal analysis of the MECO Interval from a marginal basin of the central-western Tethys (Alano section, northeastern Italy). The expanded and continuous Alano section provides an excellent record of this event and offers an appealing opportunity to better understand the role of climate upon calcareous plankton evolution A sapropel-like interval, characterized by excursions in both the carbon and oxygen bulk-carbonate Isotope records, represents the lithological expression of the post-MECO event in the study area and follows the 6180 negative shift, Interpreted as representing the MECO warming. High-resolution quantitative analysis performed on both &gt;38 mu m and &gt;63 mu m fractions reveals pronounced and complex changes in planktonic foraminiferal assemblages indicating a strong environmental perturbation that parallels the variations of the stable isotope curves corresponding to the MECO and post-MECO Intervals These changes consist primarily in a marked increase in abundance of the relatively eutrophic subbotinids and of the small, low-oxygen tolerant Streptochilus. Chiloguembelina and Pseudohastigerina At the same time, the arrival of the abundant opportunist eutrophic Jenkinsina and Pseudoglobigerinella bolivariana, typical species of very high-productivity areas, also occurs. The pronounced shift from oligotrophic to more eutrophic, opportunist, low-oxygen tolerant planktonic foraminiferal assemblages suggests increased nutrient input and surface ocean productivity in response to the environmental perturbation associated with the MECO. Particularly critical environmental conditions have been reached during the deposition of the sapropel-like beds as testified by the presence of common giant and/or odd morphotypes. This is Interpreted as evidence of transient alteration in the ocean chemistry. The enhanced surface water productivity inferred by planktonic foraminiferal assemblages at the onset of the event should have resulted in heavier delta C-13 values. The recorded lightening of the carbon stable isotope preceding the maximum warmth therefore represents a robust indication that it derives principally by a conspicuous increase of pCO(2). The increased productivity of surface waters, also supported by geochemical data, may have acted as mechanism for pCO(2) reduction and returned the climate system to the general Eocene cooling trend. The oxygen-depleted deep waters and the organic carbon burial following the peak of the MECO event represent the local response to the MECO warming and suggest that high sequestration of organic matter, if representing a widespread response to this event, might have contributed to the decrease of pCO(2) as well. Though the true mechanisms are still obscure, several lines of evidence indicate a potential pressure on planktonic foraminiferal evolution during the MECO event including permanent changes besides transient and ecologically controlled variations. (C) 2010 Elsevier B V. All rights reserved.</t>
  </si>
  <si>
    <t>[Luciani, Valeria] Univ Ferrara, Dipartimento Sci Terra Polo Sci Tecnol, I-44100 Ferrara, Italy; [Agnini, Claudia] Univ Padua, Dipartimento Geosci, CNR Padova, Ist Geosci &amp; Georisorse, I-35137 Padua, Italy; [Spofforth, David J. A.; Paelike, Heiko] Univ Southampton, Natl Oceanog Ctr, Southampton SO14 3ZH, Hants, England</t>
  </si>
  <si>
    <t>University of Ferrara; University of Padua; Consiglio Nazionale delle Ricerche (CNR); Istituto di Geoscienze e Georisorse (IGG-CNR); NERC National Oceanography Centre; University of Southampton</t>
  </si>
  <si>
    <t>Luciani, V (corresponding author), Univ Ferrara, Dipartimento Sci Terra Polo Sci Tecnol, Via G Saragat 1, I-44100 Ferrara, Italy.</t>
  </si>
  <si>
    <t>Agnini, Claudia/AAB-9971-2020; Fornaciari, Eliana/ACJ-1340-2022; Pälike, Heiko/A-6560-2008; GIUSBERTI, LUCA/AAK-4640-2020; Giusberti, Luca/AAA-9913-2021; Luciani, Valeria/K-8572-2015</t>
  </si>
  <si>
    <t>Agnini, Claudia/0000-0001-9749-6003; Fornaciari, Eliana/0000-0001-7369-9535; Pälike, Heiko/0000-0003-3386-0923; GIUSBERTI, LUCA/0000-0002-4401-5410; Giusberti, Luca/0000-0002-4401-5410; Luciani, Valeria/0000-0002-0079-9380</t>
  </si>
  <si>
    <t>MIUR/PRIN [COFIN 2003, 2005, 2007]; Ferrara University</t>
  </si>
  <si>
    <t>MIUR/PRIN(Ministry of Education, Universities and Research (MIUR)Research Projects of National Relevance (PRIN)); Ferrara University</t>
  </si>
  <si>
    <t>Funding for this research was provided by MIUR/PRIN COFIN 2003, 2005 and 2007 (D. Rio). V. Luciani was also financially supported by FAR from Ferrara University. This paper greatly benefited from the constructive comments by two anonymous referees and by the Editor Thierry Correge. Thanks are due to Lorenzo Franceschin for processing the samples. SEM Images were acquired at the Centro di Microscopia Elettronica of the Ferrara University.</t>
  </si>
  <si>
    <t>10.1016/j.palaeo.2010.03.029</t>
  </si>
  <si>
    <t>WOS:000279489200007</t>
  </si>
  <si>
    <t>Williams, M; Nelson, AE; Smellie, JL; Leng, MJ; Johnson, ALA; Jarram, DR; Haywood, AM; Peck, VL; Zalasiewicz, J; Bennett, C; Schöne, BR</t>
  </si>
  <si>
    <t>Williams, Mark; Nelson, Anna E.; Smellie, John L.; Leng, Melanie J.; Johnson, Andrew L. A.; Jarram, Daniel R.; Haywood, Alan M.; Peck, Victoria L.; Zalasiewicz, Jan; Bennett, Carys; Schoene, Bernd R.</t>
  </si>
  <si>
    <t>Sea ice extent and seasonality for the Early Pliocene northern Weddell Sea</t>
  </si>
  <si>
    <t>Pliocene; Antarctic; Bivalves; Seasonality; Sea ice; Climate</t>
  </si>
  <si>
    <t>JAMES-ROSS-ISLAND; STABLE-ISOTOPE PROFILES; ANTARCTIC PENINSULA; ARCTICA-ISLANDICA; SHELL GROWTH; CLIMATE; MOLLUSCA; PALEOSALINITY; RECORDS; TIME</t>
  </si>
  <si>
    <t>Growth increment analysis coupled with stable isotopic data (delta O-18/delta C-13) from Early Pliocene (ca 4.7 Ma) Austrochlamys anderssoni from shallow marine sediments of the Cockburn Island Formation. northern Antarctic Peninsula, suggest these bivalves grew through much of the year, even during the coldest parts of winter recorded in the shells. The high frequency fluctuation in growth increment width of A. anderssom appears to reflect periodic, but year-round, agitation of the water column enhancing benthic food supply from organic detritus. This suggests that Austrochlamys favoured waters that were largely sea ice free Our data support interpretation of the Cockburn Island Formation as an interglacial marine deposit and the previous hypothesis that Austrochlamys retreated from the Antarctic as sea ice extent expanded, this transition occurring during climate cooling in the Late Pliocene. (C) 2010 Elsevier B.V. All rights reserved</t>
  </si>
  <si>
    <t>[Williams, Mark; Smellie, John L.; Jarram, Daniel R.; Zalasiewicz, Jan; Bennett, Carys] Univ Leicester, Dept Geol, Leicester LE1 7RH, Leics, England; [Leng, Melanie J.] British Geol Survey, NERC Isotope Geosci Lab, Keyworth NG12 5GG, Notts, England; [Nelson, Anna E.; Smellie, John L.; Peck, Victoria L.] British Antarctic Survey, Geol Sci Div, Cambridge CB3 0ET, England; [Johnson, Andrew L. A.] Univ Derby, Sch Sci, Derby DE22 1GB, England; [Haywood, Alan M.] Univ Leeds, Sch Earth &amp; Environm, Leeds LS2 9JT, W Yorkshire, England; [Schoene, Bernd R.] Johannes Gutenberg Univ Mainz, Inst Geosci, Dept Appl &amp; Analyt Palaeontol, Earth Syst Sci Res Ctr, D-55127 Mainz, Germany</t>
  </si>
  <si>
    <t>University of Leicester; UK Research &amp; Innovation (UKRI); Natural Environment Research Council (NERC); NERC British Geological Survey; UK Research &amp; Innovation (UKRI); Natural Environment Research Council (NERC); NERC British Antarctic Survey; University of Derby; University of Leeds; Johannes Gutenberg University of Mainz</t>
  </si>
  <si>
    <t>Williams, M (corresponding author), Univ Leicester, Dept Geol, Leicester LE1 7RH, Leics, England.</t>
  </si>
  <si>
    <t>Johnson, Andrew/ABC-1334-2021; Schöne, Bernd R/B-6294-2011; Williams, Mark/B-7590-2009</t>
  </si>
  <si>
    <t>Johnson, Andrew/0000-0001-5727-1889; Schöne, Bernd R/0000-0002-6879-1633; Williams, Mark/0000-0002-7987-6069; Leng, Melanie/0000-0003-1115-5166</t>
  </si>
  <si>
    <t>NERC Isotope Geosciences Facilities Steering Committee [IP/936/1106]; DFG [SCHO793/4]; NERC [bas010019, nigl010001, bgs05002] Funding Source: UKRI; Natural Environment Research Council [bas010019, ncas10009, nigl010001, bgs05002] Funding Source: researchfish</t>
  </si>
  <si>
    <t>NERC Isotope Geosciences Facilities Steering Committee(UK Research &amp; Innovation (UKRI)Natural Environment Research Council (NERC)); DFG(German Research Foundation (DFG)); NERC(UK Research &amp; Innovation (UKRI)Natural Environment Research Council (NERC)); Natural Environment Research Council(UK Research &amp; Innovation (UKRI)Natural Environment Research Council (NERC))</t>
  </si>
  <si>
    <t>The growth increment analysis of Austrochlamys was undertaken by Daniel Jarram as part of his final year Masters project at the University of Leicester This work contributes to the British Antarctic Survey's GEACEP Programme (ISODYN Project - Ice House Earth: Stability or Dynamism), to the British Geological Survey's deep time palaeoclimate project, and to the SCAR ACE Programme (Antarctic Climate Evolution). We acknowledge support from the NERC Isotope Geosciences Facilities Steering Committee (grant IP/936/1106). We thank Captain Bob Tarrant and the officers and crew of HMS Endurance for their assistance during the 2006-2007 field season, Mark Laidlaw for field assistance and Paul Brickle (Falkland Island Fisheries) for supplying sub-fossil material of Austrochlamys from the Falkland Islands. Alistair Crame (BAS) is thanked for permission to analyse the bivalve material geochemically. Cohn Cunningham and Rob Wilson (Leicester) made thin sections and helped with SEM photomicrography, respectively The late Tim Brewer ran analyses of shell geochemistry for us and advised on shell preservation Cheryl Haidon undertook the XRD analysis of shells. We are especially grateful to Hilary Sloane (NIGL) for assistance with the isotope analysis, to Arne Ghys (Belgium) for supplying comparative modern Austrochlamys material from Tierra del Fuego, and to Harry Dowsett (USGS) and Daniel Lunt (Bristol) for their constructive reviews. BRS acknowledges financial support by a DFG (SCHO793/4). This is Geocycles publication number X.</t>
  </si>
  <si>
    <t>10.1016/j.palaeo.2010.04.003</t>
  </si>
  <si>
    <t>WOS:000279489200024</t>
  </si>
  <si>
    <t>Worland, MR</t>
  </si>
  <si>
    <t>Worland, Michael Roger</t>
  </si>
  <si>
    <t>Eretmoptera murphyi: pre-adapted to survive a colder climate</t>
  </si>
  <si>
    <t>PHYSIOLOGICAL ENTOMOLOGY</t>
  </si>
  <si>
    <t>Antarctic; Belgica antarctica; cold tolerance; colonization; desiccation; freeze tolerance; introduced species</t>
  </si>
  <si>
    <t>ANTARCTIC MIDGE; SUBZERO TEMPERATURES; FREEZING TOLERANCE; DESICCATION; CHIRONOMIDAE; DEHYDRATION; STRESS; MECHANISMS; ARTHROPOD; DIPTERA</t>
  </si>
  <si>
    <t>During the late 1960s, larvae of the flightless midge Eretmoptera murphyi Schaeffer were accidentally transferred from the sub-Antarctic island of South Georgia to Signy Island in the maritime Antarctic. Higher insects are rare in the Antarctic and the introduction and establishment of a new species is an unusual event. The fly has overcome the two major barriers to colonization of the Antarctic by new species: the geographical isolation of the region and its severe climate. Larvae of the flightless midge overwinter in the surface layers of soil on Signy Island where the temperature may fall to below -10 degrees C, compared with as little as -1.5 degrees C on South Georgia. This suggests the possession of a level of pre-adaption to colder conditions. Summer-collected larvae have a supercooling point (SCP or whole body freezing point) of approximately -5.0 degrees C but survive experimental exposure to -13 degrees C, giving them a level of freeze tolerance. After acclimation at -4 degrees C for 4 days, the SCP changes little but the temperature at which 50% of the population would die decreases to lower than -19 degrees C. Larvae are also resistant to dehydration. Under experimental conditions of 88% relative humidity at 5 degrees C, larvae lose water linearly (0.42% h-1) over the first 30 h but resist further water loss once their water content decreases to approximately 1.4 g g-1 dry weight. All larvae survive these conditions for the duration of the experiment (55 h). Eretmoptera murphyi is well adapted to survive on Signy Island, and these studies suggest that it has the ability to survive at more extreme locations at higher latitudes if it were to be inadvertently transferred to a suitable habitat.</t>
  </si>
  <si>
    <t>Worland, MR (corresponding author), British Antarctic Survey, NERC, High Cross Madingley Rd, Cambridge CB3 0ET, England.</t>
  </si>
  <si>
    <t>roger.worland@bas.ac.uk</t>
  </si>
  <si>
    <t>0307-6962</t>
  </si>
  <si>
    <t>1365-3032</t>
  </si>
  <si>
    <t>PHYSIOL ENTOMOL</t>
  </si>
  <si>
    <t>Physiol. Entomol.</t>
  </si>
  <si>
    <t>10.1111/j.1365-3032.2010.00722.x</t>
  </si>
  <si>
    <t>Entomology</t>
  </si>
  <si>
    <t>598BJ</t>
  </si>
  <si>
    <t>WOS:000277806900005</t>
  </si>
  <si>
    <t>Ansorge, IJ; Pakhomov, EA; Kaehler, S; Lutjeharms, JRE; Durgadoo, JV</t>
  </si>
  <si>
    <t>Ansorge, Isabelle Jane; Pakhomov, E. A.; Kaehler, S.; Lutjeharms, J. R. E.; Durgadoo, J. V.</t>
  </si>
  <si>
    <t>Physical and biological coupling in eddies in the lee of the South-West Indian Ridge</t>
  </si>
  <si>
    <t>Southern Ocean; Eddy; Subantarctic Front; Antarctic Polar Frontal Zone; Zooplankton and micronekton communities</t>
  </si>
  <si>
    <t>MESOZOOPLANKTON COMMUNITY STRUCTURE; WARM-CORE; OCEAN; FRONTS; EDDY; VARIABILITY; CIRCULATION</t>
  </si>
  <si>
    <t>Eddies have some decisive functions in the dynamics of the Southern Ocean ecosystems. This is particularly true in the Indian sector of the Southern Ocean, where a region of unusually high-mesoscale variability has been observed in the vicinity of the South-West Indian Ridge. In April 2003, three eddies were studied: eddy A, a recently spawned anticyclone south of the Antarctic Polar Front (APF),; eddy B, an anticyclone north of lying between the Subantarctic Front and the APF; and eddy C, a cyclone north of the APF west of the ridge. Elevated concentrations of total Chl-a coincided with the edges of the cyclonic eddy, whereas both anticyclonic eddies A and B were characterised by low total Chl-a concentrations. Biologically, the two anticyclonic eddies A and B were distinctly different in their biogeographic origin. The zooplankton community in the larger anticyclonic eddy A was similar in composition to the Antarctic Polar Frontal Zone (APFZ) community with an addition of some Antarctic species suggesting an origin just north of the APF. In contrast, the species composition within the second anticyclonic eddy B appeared to be more typical of the transitional nature of the APFZ, comprising species of both subantarctic and subtropical origin and thus influenced by intrusions of water masses from both north and south of the Subantarctic Front. Back-tracking of these features shows that the biological composition clearly demarcates the hydrographic origin of these features.</t>
  </si>
  <si>
    <t>[Ansorge, Isabelle Jane; Lutjeharms, J. R. E.; Durgadoo, J. V.] Univ Cape Town, Dept Oceanog, Marine Res Inst, ZA-7700 Rondebosch, South Africa; [Pakhomov, E. A.] Univ British Columbia, Dept Earth &amp; Ocean Sci, Vancouver, BC V6T 1Z4, Canada; [Pakhomov, E. A.] Univ Ft Hare, Dept Zool, ZA-5700 Alice, South Africa; [Kaehler, S.] Rhodes Univ, Dept Bot, ZA-6140 Grahamstown, South Africa</t>
  </si>
  <si>
    <t>University of Cape Town; University of British Columbia; University of Fort Hare; Rhodes University</t>
  </si>
  <si>
    <t>Ansorge, IJ (corresponding author), Univ Cape Town, Dept Oceanog, Marine Res Inst, ZA-7700 Rondebosch, South Africa.</t>
  </si>
  <si>
    <t>Isabelle.ansorge@uct.ac.za</t>
  </si>
  <si>
    <t>South African Department of Environmental Affairs and Tourism; National Research Foundation of South Africa; University of Cape Town; University of Fort Hare; Rhodes University; Claude Harris Leon Foundation</t>
  </si>
  <si>
    <t>South African Department of Environmental Affairs and Tourism; National Research Foundation of South Africa(National Research Foundation - South Africa); University of Cape Town; University of Fort Hare; Rhodes University; Claude Harris Leon Foundation</t>
  </si>
  <si>
    <t>This research was supported by the South African Department of Environmental Affairs and Tourism through its National Antarctic Programme, by the National Research Foundation of South Africa as well as by the University of Cape Town, University of Fort Hare and Rhodes University. We thank the Claude Harris Leon Foundation for a post-doctoral award to IJA. We are also most grateful to a large number of students as well as the Master and complement of the supply and research vessel S.A. Agulhas for their enthusiastic help during the DEIMEC II cruise. The authors would also like to thank three anonymous reviewers whose comments improved the paper considerably.</t>
  </si>
  <si>
    <t>10.1007/s00300-009-0752-9</t>
  </si>
  <si>
    <t>594RZ</t>
  </si>
  <si>
    <t>WOS:000277556400003</t>
  </si>
  <si>
    <t>Benthic hydroids (Cnidaria: Hydrozoa) from Peter I Island (Southern Ocean, Antarctica)</t>
  </si>
  <si>
    <t>Hydrozoans; Peter I Island; Southern Ocean; Benthos; Autecology; Biogeography; New species; New records</t>
  </si>
  <si>
    <t>SCHIZOTRICHA ALLMAN; OSWALDELLA STECHOW; R.V. POLARSTERN; RV POLARSTERN; EXPEDITIONS; US; SERTULARIIDAE; GENUS</t>
  </si>
  <si>
    <t>Twenty-three species of benthic hydroids, belonging to eight families and 13 genera, were found in a hydroid collection from Peter I Island, collected during both the Bentart 2003 and Bentart 2006 Spanish expeditions with BIO Hesp,rides in 2003 and 2006. Fourteen out of the 23 species constitute new records for Peter I Island, raising the total number of known species in the area to 30, as also do seven out of the 13 genera. The majority of the species are members of the subclass Leptothecata; the subclass Anthoathecata being scarcely represented. Sertulariidae is the family with the greatest number of species in the collection, with eight species (35%), followed by Lafoeidae with five (22%). Symplectoscyphus with four species (17%) and both Antarctoscyphus and Halecium with three (13%), including H. frigidum sp. nov., were the most diverse genera. Twenty species (ca. 77%) are endemic to Antarctic waters, either with a circum-Antarctic (11 species, ca. 42%) or West Antarctic (9 species, ca. 35%) distribution. Twenty-four (ca. 92%) are restricted to Antarctic or Antarctic/sub-Antarctic waters; only two species have a wider distribution. Peter I Island hydroid fauna is composed of typical representatives of the Antarctic benthic hydroid fauna, though it is characterized by the low representation of some of the most diverse and widespread Antarctic genera (Schizotricha and Staurotheca).</t>
  </si>
  <si>
    <t>Univ Valencia, Inst Cavanilles Biodiversidad &amp; Biol Evolut, Fdn Gen Univ Valencia, Valencia 46071, Spain</t>
  </si>
  <si>
    <t>Cantero, ALP (corresponding author), Univ Valencia, Inst Cavanilles Biodiversidad &amp; Biol Evolut, Fdn Gen Univ Valencia, Apdo Correos 22085, Valencia 46071, Spain.</t>
  </si>
  <si>
    <t>Pena Cantero, Alvaro/0000-0003-3056-6673</t>
  </si>
  <si>
    <t>Ministerio de Educacion y Ciencia [REN2001-1074/ANT]; Ministerio de Ciencia y Tecnologia of Spain [CG12004-01856]; Ministerio de Ciencia e Innovacion of Spain [CTM2009-11128ANT]; Fondo Europeo de Desarrollo Regional (FEDER)</t>
  </si>
  <si>
    <t>Ministerio de Educacion y Ciencia(Spanish Government); Ministerio de Ciencia y Tecnologia of Spain(Spanish Government); Ministerio de Ciencia e Innovacion of Spain(Spanish Government); Fondo Europeo de Desarrollo Regional (FEDER)(European Union (EU)Spanish Government)</t>
  </si>
  <si>
    <t>I wish to thank Dr. Jose Luis Sanz Alonso from the Instituto Espanol de Oceanografia for his help in the elaboration of Fig. 1. Bentart 2003 and Bentart 2006 campaigns were funded, respectively, by the Ministerio de Educacion y Ciencia (Ref. REN2001-1074/ANT) and the Ministerio de Ciencia y Tecnologia (Ref. CG12004-01856) of Spain. This study was developed thanks to a research project (Ref. CTM2009-11128ANT) funded by the Ministerio de Ciencia e Innovacion of Spain and the Fondo Europeo de Desarrollo Regional (FEDER).</t>
  </si>
  <si>
    <t>10.1007/s00300-009-0754-7</t>
  </si>
  <si>
    <t>WOS:000277556400004</t>
  </si>
  <si>
    <t>Rombolá, EF; Marschoff, E; Coria, N</t>
  </si>
  <si>
    <t>Florencia Rombola, Emilce; Marschoff, Enrique; Coria, Nestor</t>
  </si>
  <si>
    <t>Inter-annual variability in Chinstrap penguin diet at South Shetland and South Orkneys Islands</t>
  </si>
  <si>
    <t>Chinstrap penguin; Diet; Euphausia superba</t>
  </si>
  <si>
    <t>KING-GEORGE-ISLAND; LAURIE ISLAND; REPRODUCTIVE SUCCESS; STOMACH CONTENTS; ANTARCTIC KRILL; EUDYPTES-CHRYSOLOPHUS; ARCTOCEPHALUS-GAZELLA; PYGOSCELIS-ANTARCTICA; FEEDING ECOLOGY; ADELIE PENGUIN</t>
  </si>
  <si>
    <t>Inter-annual variability in the diet of Chinstrap penguins (Pygoscelis antarctica) at Laurie Island (South Orkney Islands) and 25 de Mayo/King George and Nelson Islands (South Shetland) was examined based on stomach contents of adults during the 2002/2003-2006/2007 and 2002/2003-2004/2005 breeding seasons, respectively. Krill (Euphausia superba) dominated the diet as frequency of occurrence (in 100% of samples), number (&gt; 99%), and percentage contribution in weight (&gt; 94.8%). Other prey items were minor and varied between years. The weight of stomach contents was significantly different. The percentage in weight of whole krill was used to compare the feeding conditions across seasons. It differed significantly at the three sites studied. Distribution of krill size varied among years and localities, showing different krill availability for penguins.</t>
  </si>
  <si>
    <t>[Florencia Rombola, Emilce; Marschoff, Enrique; Coria, Nestor] Inst Antartico Argentino, Buenos Aires, DF, Argentina</t>
  </si>
  <si>
    <t>Instituto Antartico Argentino</t>
  </si>
  <si>
    <t>Rombolá, EF (corresponding author), Inst Antartico Argentino, Cerrito 1248,C1010AAZ, Buenos Aires, DF, Argentina.</t>
  </si>
  <si>
    <t>rombola_emilce@hotmail.com</t>
  </si>
  <si>
    <t>Rombola, Emilce Florencia/0000-0003-1863-1911</t>
  </si>
  <si>
    <t>10.1007/s00300-009-0757-4</t>
  </si>
  <si>
    <t>WOS:000277556400007</t>
  </si>
  <si>
    <t>Guinard, G; Marchand, D; Courant, F; Gauthier-Clerc, M; Le Bohec, C</t>
  </si>
  <si>
    <t>Guinard, Geoffrey; Marchand, Didier; Courant, Frederic; Gauthier-Clerc, Michel; Le Bohec, Celine</t>
  </si>
  <si>
    <t>Morphology, ontogenesis and mechanics of cervical vertebrae in four species of penguins (Aves: Spheniscidae)</t>
  </si>
  <si>
    <t>Penguins; Spheniscidae; Cervical vertebrae; Ontogenesis; Modularity</t>
  </si>
  <si>
    <t>MORPHOMETRY</t>
  </si>
  <si>
    <t>Penguins (Aves: Spheniscidae) are pelagic, flightless seabirds, restricted to the southern hemisphere (Antarctic and sub-Antarctic areas, New Zealand, Australia, and nearby islands, as well as parts of South America and South Africa). They spend much of their life at sea, but return to islands and coasts to breed. Penguins are terrestrial as juveniles and aquatic as adults. To improve hydrodynamics, penguins tuck in their necks while swimming. They thus attain an ichthyosaur or cetacean body shape: characterised by telescoped cervicals. This mechanism is also used on land, associated with the posture of these birds. Our study of neck structure and cervical vertebrae morphology (morphological description, biometry and contour analysis) of the King Penguin (Aptenodytes patagonicus), Gentoo Penguin (Pygoscelis papua), Macaroni Penguin (Eudyptes chrysolophus) and Humboldt Penguin (Sphensicus humboldti) shows a highly specialised fitting in adults, which develops during ontogenesis. The growth of penguins proceeds by stages and there are key stages with regard to the design of the neck. Despite a common main structure, some characteristics vary between species. Distribution of cervical vertebrae can be defined by six modules. There are differences in modularity between species and also within species between different ontogenetical phases.</t>
  </si>
  <si>
    <t>[Guinard, Geoffrey; Marchand, Didier; Courant, Frederic] Univ Bourgogne, CNRS, UMR 5561, F-21000 Dijon, France; [Gauthier-Clerc, Michel; Le Bohec, Celine] CNRS, Ctr Ecol &amp; Physiol Energet, UPR 9010, F-67087 Strasbourg, France</t>
  </si>
  <si>
    <t>Universite de Bourgogne; Centre National de la Recherche Scientifique (CNRS); Universites de Strasbourg Etablissements Associes; Universite de Strasbourg; Centre National de la Recherche Scientifique (CNRS)</t>
  </si>
  <si>
    <t>Guinard, G (corresponding author), 58 Rue Pejoces, F-21000 Dijon, France.</t>
  </si>
  <si>
    <t>geoffrey.guinard@yahoo.fr; Didoux.Marchand@gmail.com; frederic.courant@u-bourgogne.fr; michel.gauthier-clerc@c-strasbourg.fr; celine.lebohec@c-strasbourg.fr</t>
  </si>
  <si>
    <t>LE BOHEC, CELINE/AAD-3589-2022</t>
  </si>
  <si>
    <t>Guinard, Geoffrey/0000-0002-0570-9348; LE BOHEC, Celine/0000-0003-0149-6477</t>
  </si>
  <si>
    <t>10.1007/s00300-009-0759-2</t>
  </si>
  <si>
    <t>WOS:000277556400008</t>
  </si>
  <si>
    <t>Eastman, JT; Barrera-Oro, E</t>
  </si>
  <si>
    <t>Eastman, Joseph T.; Barrera-Oro, Esteban</t>
  </si>
  <si>
    <t>Buoyancy studies of three morphs of the Antarctic fish Trematomus newnesi (Nototheniidae) from the South Shetland Islands</t>
  </si>
  <si>
    <t>Notothenioidei; Phenotypic plasticity; Trophic polymorphism; Skeleton; Ecology</t>
  </si>
  <si>
    <t>TERRA-NOVA BAY; PHENOTYPIC PLASTICITY; POTTER COVE; FEEDING PLASTICITY; PISCES; BOULENGER; INSHORE; ECOLOGY; BIOLOGY; DIET</t>
  </si>
  <si>
    <t>Phenotypic plasticity, a widespread phenomenon in boreal freshwater fishes, is less apparent in the marine realm and the organism-environment interactions producing this variation are undetermined. A sample of 40 specimens of Trematomus newnesi, an inshore Antarctic fish from King George/25 de Mayo Island in the South Shetlands, was composed of 52.5% typical morphs, 27.5% large-mouth morphs and 20% intermediate morphs. Measurements of percentage buoyancy on the morphs of this sample were 3.73, 3.84 and 3.83%, respectively with no significant differences among means. Both mean dry skeletal weight as a percentage of body weight and mean oral jaw weight as a percentage of dry skeletal weight were significantly greater in large-mouth morphs compared to typical morphs. Diversification in head and jaw morphology is not accompanied by diversification in ecology as represented by buoyancy and, in spite of external appearances, measurements of buoyancy offer no support for the hypothesis that the large-mouth morph is more benthic than the typical semipelagic morph. Although a trophic basis for this polymorphism is possible, it has not yet been documented. Our discussion centers on the status of key open questions regarding morphism and highlights areas requiring more research.</t>
  </si>
  <si>
    <t>[Eastman, Joseph T.] Ohio Univ, Dept Biomed Sci, Athens, OH 45701 USA; [Barrera-Oro, Esteban] Inst Antartico Argentino, Buenos Aires, DF, Argentina; [Barrera-Oro, Esteban] Museo Argentino Ciencias Nat Bernardino Rivadavia, Buenos Aires, DF, Argentina; [Barrera-Oro, Esteban] Consejo Nacl Invest Cient &amp; Tecn, RA-1033 Buenos Aires, DF, Argentina</t>
  </si>
  <si>
    <t>University System of Ohio; Ohio University; Instituto Antartico Argentino; Museo Argentino de Ciencias Naturales Bernardino Rivadavia (MACN); Consejo Nacional de Investigaciones Cientificas y Tecnicas (CONICET)</t>
  </si>
  <si>
    <t>Eastman, JT (corresponding author), Ohio Univ, Dept Biomed Sci, Athens, OH 45701 USA.</t>
  </si>
  <si>
    <t>eastman@ohiou.edu; ebarreraoro@dna.gov.ar</t>
  </si>
  <si>
    <t>Eastman, Joseph T/A-9786-2008; Eastman, Joseph T./O-6150-2019</t>
  </si>
  <si>
    <t>Eastman, Joseph T./0000-0003-3868-261X</t>
  </si>
  <si>
    <t>US National Science Foundation [ANT 04-36190]</t>
  </si>
  <si>
    <t>We are very grateful to Carlos Bellisio, Luis Vila and Lic. E. Moreira for their help in field activities and laboratory procedures. In his capacity as a reviewer, Prof John C. Montgomery provided helpful comments concerning the influence of differential growth rates on phenotypic variation. J.T.E. was supported by US National Science Foundation grant ANT 04-36190.</t>
  </si>
  <si>
    <t>10.1007/s00300-009-0760-9</t>
  </si>
  <si>
    <t>WOS:000277556400009</t>
  </si>
  <si>
    <t>Borges, JCS; Branco, PC; Pressinotti, LN; Severino, D; da Silva, JRMC</t>
  </si>
  <si>
    <t>Shimada Borges, Joao Carlos; Branco, Paola Cristina; Pressinotti, Leandro Nogueira; Severino, Divinomar; Machado Cunha da Silva, Jose Roberto</t>
  </si>
  <si>
    <t>Intranuclear crystalloids of Antarctic sea urchins as a biomarker for oil contamination</t>
  </si>
  <si>
    <t>Biomarker; Oil; Echinoderms; Sterechinus neumayeri; Iron crystalloids</t>
  </si>
  <si>
    <t>IN-VITRO; LYTECHINUS-VARIEGATUS; INDUCED STRESS; CELOMOCYTES; PHAGOCYTES; STRONGYLOCENTROTUS; ECHINODERMATA; ENVIRONMENT; 0-DEGREES-C; ECHINOIDEA</t>
  </si>
  <si>
    <t>Because of human actions, biomarkers have become important to detect and mitigate pollution. This study showed that crystalloids can be a biomarker for analyses of low levels of water-soluble fractions of oil (WSF). Antarctic sea urchins (Sterechinus neumayeri) from regions free of pollution were exposed for 2, 5, 10 and 15 days at different levels of WSF (0.4, 0.8 and 1.2 ppm). No significant differences were observed in the phagocytic rates or the germicide capacity for the yeast Saccharomyces cerevisiae; however, there was a significant increase in the quantity of intranuclear iron crystalloids in phagocytic amoebocytes of urchins exposed to higher levels of WSF. This study characterizes histological alterations in crystalloids of S. neumayeri that could be used as a biomarker for oil contaminants, with a simple and inexpensive protocol.</t>
  </si>
  <si>
    <t>[Shimada Borges, Joao Carlos; Branco, Paola Cristina] UniFMU, Fac Med Vet, Ctr Univ Fac Metropolitanas Unidas, BR-04505002 Sao Paulo, Brazil; [Pressinotti, Leandro Nogueira] Univ Estado Mato Grosso, Fac Biol, Univ Estadual Mato Grosso, BR-78200000 Caceres, MT, Brazil; [Shimada Borges, Joao Carlos; Branco, Paola Cristina; Machado Cunha da Silva, Jose Roberto] Univ Sao Paulo, Inst Ciencias Biomed, BR-05508900 Sao Paulo, Brazil; [Severino, Divinomar] Univ Sao Paulo, Inst Quim, BR-05513970 Sao Paulo, Brazil; [Machado Cunha da Silva, Jose Roberto] Univ Sao Paulo CEBIMar USP, Ctr Biol Marinha, BR-11600000 Sao Sebastiao, SP, Brazil</t>
  </si>
  <si>
    <t>Centro Universitario das Faculdades Metropolitanas Unidas; Universidade do Estado de Mato Grosso; Universidade de Sao Paulo; Universidade de Sao Paulo; Universidade de Sao Paulo</t>
  </si>
  <si>
    <t>Borges, JCS (corresponding author), UniFMU, Fac Med Vet, Ctr Univ Fac Metropolitanas Unidas, Av Santo Amaro 1239, BR-04505002 Sao Paulo, Brazil.</t>
  </si>
  <si>
    <t>jcborges@fmu.br</t>
  </si>
  <si>
    <t>Silva, J.R.M.C./H-7496-2016; Branco, Paola C/H-4899-2014; Borges, João CS/B-9057-2012; Severino, Divinomar/F-9029-2012</t>
  </si>
  <si>
    <t>Silva, J.R.M.C./0000-0002-1687-8526; Shimada Borges, Joao Carlos/0000-0002-3947-4655; Branco, Paola Cristina/0000-0002-0886-1222; Severino, Divinomar/0000-0001-9483-6287</t>
  </si>
  <si>
    <t>Conselho Nacional de Pesquisa e Desenvolvimento (CNPq)</t>
  </si>
  <si>
    <t>Conselho Nacional de Pesquisa e Desenvolvimento (CNPq)(Conselho Nacional de Desenvolvimento Cientifico e Tecnologico (CNPQ))</t>
  </si>
  <si>
    <t>The authors gratefully acknowledge the Conselho Nacional de Pesquisa e Desenvolvimento (CNPq) for financial support, to the Marinha do Brasil and Secretaria dos Recursos Interministeriais para os Recursos do Mar (SECIRM) for logistical support, to Petrobras (TEBAR) for providing the oil, to the Centro de Biologia Marinha da Universidade de Sao Paulo (CEBIMar-USP) for support in the pilot experiments, and to Janet W. Reid for revising the English text.</t>
  </si>
  <si>
    <t>10.1007/s00300-009-0762-7</t>
  </si>
  <si>
    <t>WOS:000277556400011</t>
  </si>
  <si>
    <t>Yu, Y; Li, HR; Zeng, YX; Chen, B</t>
  </si>
  <si>
    <t>Yu, Yong; Li, Huirong; Zeng, Yinxin; Chen, Bo</t>
  </si>
  <si>
    <t>Phylogenetic diversity of culturable bacteria from Antarctic sandy intertidal sediments</t>
  </si>
  <si>
    <t>Heterotrophic bacteria; Antarctica; Intertidal sediments; Phylogenetic analyses</t>
  </si>
  <si>
    <t>GEN. NOV.; PSYCHROPHILIC BACTERIA; FAMILY FLAVOBACTERIACEAE; MICROBIAL MATS; SP. NOV; SEA; MEMBERS; ACTINOBACTERIA; MICROORGANISMS; BIODIVERSITY</t>
  </si>
  <si>
    <t>The diversity of culturable bacteria associated with sandy intertidal sediments from the coastal regions of the Chinese Antarctic Zhongshan Station on the Larsemann Hills (Princess Elizabeth Land, East Antarctica) was investigated. A total of 65 aerobic heterotrophic bacterial strains were isolated at 4A degrees C. Microscopy and 16S rRNA gene sequence analysis indicated that the isolates were dominated by Gram-negative bacteria, while only 16 Gram-positive strains were isolated. The bacterial isolates fell in five phylogenetic groups: Alpha- and Gammaproteobacteria, Bacteroidetes, Actinobacteria and Firmicutes. Based on phylogenetic trees, all the 65 isolates were sorted into 29 main clusters, corresponding to at least 29 different genera. Based on sequence analysis (&lt; 98% sequence similarity), the Antarctic isolates belonged to at least 37 different bacterial species, and 14 of the 37 bacterial species (37.8%) represented potentially novel taxa. These results indicated a high culturable diversity within the bacterial community of the Antarctic sandy intertidal sediments.</t>
  </si>
  <si>
    <t>[Yu, Yong; Li, Huirong; Zeng, Yinxin; Chen, Bo] Polar Res Inst China, SOA Key Lab Polar Sci, Shanghai 200136, Peoples R China</t>
  </si>
  <si>
    <t>Yu, Y (corresponding author), Polar Res Inst China, SOA Key Lab Polar Sci, Shanghai 200136, Peoples R China.</t>
  </si>
  <si>
    <t>yuyong@pric.gov.cn</t>
  </si>
  <si>
    <t>Chinese Arctic and Antarctic Administration (CAA); Chinese Programme [IPY 2007-2008]; National Basic Research Program of China [2004CB719601]; National Infrastructure of Natural Resources for Science and Technology Program of China [2005DKA21209]; National Key Technology R&amp;D Program of China [2006BAB18B07]; National Natural Science Foundation of China [30500001]</t>
  </si>
  <si>
    <t>Chinese Arctic and Antarctic Administration (CAA); Chinese Programme; National Basic Research Program of China(National Basic Research Program of China); National Infrastructure of Natural Resources for Science and Technology Program of China; National Key Technology R&amp;D Program of China(National Key Technology R&amp;D Program); National Natural Science Foundation of China(National Natural Science Foundation of China (NSFC))</t>
  </si>
  <si>
    <t>We thank Qing Ji, Xianbei Zhang for their help during the different stages of this research. We also thank the Chinese Arctic and Antarctic Administration (CAA) that supported the Weld work of this research. This research was supported by the IPY 2007-2008 Chinese Programme, the National Basic Research Program of China (2004CB719601), the National Infrastructure of Natural Resources for Science and Technology Program of China (No. 2005DKA21209), the National Key Technology R&amp;D Program of China (2006BAB18B07) and the National Natural Science Foundation of China (30500001).</t>
  </si>
  <si>
    <t>10.1007/s00300-009-0758-3</t>
  </si>
  <si>
    <t>WOS:000277556400013</t>
  </si>
  <si>
    <t>Will, TM; Frimmel, HE; Zeh, A; Le Roux, P; Schmädicke, E</t>
  </si>
  <si>
    <t>Will, T. M.; Frimmel, H. E.; Zeh, A.; Le Roux, P.; Schmaedicke, E.</t>
  </si>
  <si>
    <t>Geochemical and isotopic constraints on the tectonic and crustal evolution of the Shackleton Range, East Antarctica, and correlation with other Gondwana crustal segments</t>
  </si>
  <si>
    <t>Shackleton Range; East Antarctica; Lithogeochemistry; Whole rock Rb-Sr; Sm-Nd and Pb-Pb isotopes; Zircon single grain Lu-Hf isotopes; Crustal evolution and sutures</t>
  </si>
  <si>
    <t>U-PB GEOCHRONOLOGY; DRONNING MAUD LAND; ECLOGITE-FACIES METAMORPHISM; HIGH-GRADE GNEISSES; SM-ND; LU-HF; DETRITAL ZIRCONS; MOZAMBIQUE BELT; VOLCANIC-ROCKS; EYRE PENINSULA</t>
  </si>
  <si>
    <t>Three distinct, spatially separated crustal terranes have been recognised in the Shackleton Range, East Antarctica: the Southern, Eastern and Northern Terranes. First insights into the origin and evolution of critical units from these terranes could be gained from new lithogeochemical and isotope (Rb-Sr, Sm-Nd, Pb-Pb whole rock and Lu-Hf zircon) data. Mafic gneisses from the Southern Terrane provide geochemical evidence for a within-plate, probably back-arc origin of their protoliths. A plume-distal ridge origin in an incipient ocean basin is the favoured interpretation for the emplacement site of these rocks at c. 1850 Ma, which, together with a few ocean island basalts, were subsequently incorporated into an accretionary continental arc/supra-subduction zone tectonic setting. Magmatic underplating resulted in partial melting of the lower crust, which caused high-temperature granulite-facies metamorphism in the Southern Terrane at c. 1710-1680 Ma. Mafic and felsic gneisses there are characterised by isotopically depleted, positive Nd and Hf initials and model ages between 2100 and 2000 Ma. They may be explained as juvenile additions to the crust towards the end of the Palaeoproterozoic. These juvenile rocks occur in a narrow, c. 150 km long E-W trending belt, inferred to trace a suture that is associated with a large Palaeoproterozoic accretionary orogenic system. The Southern Terrane contains many features that are similar to the Australo-Antarctic Mawson Continent and may be its furthermost extension into East Antarctica. The Eastern Terrane is characterised by metagranitoids that formed in a continental volcanic arc setting during a late Mesoproterozoic orogeny at c. 1060 Ma. Subsequently, the rocks experienced high-temperature metamorphism during Pan-African collisional tectonics at 600 Ma. Isotopically depleted zircon grains yielded Hf model ages of 1600-1400 Ma, which are identical to Nd model ages obtained from juvenile metagranitoids. Most likely, these rocks trace the suture related to the amalgamation of the Indo-Antarctic and West Gondwana continental blocks at similar to 600 Ma. The Eastern Terrane is interpreted as the southernmost extension of the Pan-African Mozambique/Maud Belt in East Antarctica and, based on Hf isotope data, may also represent a link to the Ellsworth-Whitmore Mountains block in West Antarctica and the Namaqua-Natal Province of southern Africa. Geochemical evidence indicates that the majority of the protoliths of the mafic gneisses in the Northern Terrane formed as oceanic island basalts in a within-plate setting. Subsequently the rocks were incorporated into a subduction zone environment and, finally, accreted to a continental margin during Pan-African collisional tectonics. Fe/sic gneisses there provide evidence for a within-plate and volcanic arc/collisional origin. Emplacement of granitoids occurred at c. 530 Ma and high-temperature, high-pressure metamorphism took place at 510-500 Ma. Enriched Hf and Nd initials and Palaeoproterozoic model ages for most samples indicate that no juvenile material was added to the crust of the Northern Terrane during the Pan-African Orogeny but recycling of older crust or mixing of crustal components of different age must have occurred. Isotopically depleted mafic gneisses, which are spatially associated with eclogite-facies pyroxenites, yielded late Mesoproterozoic Nd model ages. These rocks occur in a narrow, at least 100 km long, E-W trending belt that separates alkaline ocean island metabasalts and within-plate metagranitoids from volcanic arc metabasalts and volcanic arc/syn-collisional metagranitoids in the Northern Terrane. This belt is interpreted to trace the late Neoproterozoic/early Cambrian Pan-African collisional suture between the Australo-Antarctic and the combined Indo-Antarctic/West Gondwana continental blocks that formed during the final amalgamation of Gondwana. (C) 2010 Elsevier B.V. All rights reserved.</t>
  </si>
  <si>
    <t>[Will, T. M.; Frimmel, H. E.; Zeh, A.] Univ Wurzburg, Geodynam &amp; Geomat Res Div, D-97074 Wurzburg, Germany; [Frimmel, H. E.; Le Roux, P.] Univ Cape Town, Dept Geol Sci, ZA-7701 Rondebosch, South Africa; [Schmaedicke, E.] Univ Erlangen Nurnberg, GeoZentrum Nordbayern, D-91054 Erlangen, Germany</t>
  </si>
  <si>
    <t>University of Wurzburg; University of Cape Town; University of Erlangen Nuremberg</t>
  </si>
  <si>
    <t>Will, TM (corresponding author), Univ Wurzburg, Geodynam &amp; Geomat Res Div, D-97074 Wurzburg, Germany.</t>
  </si>
  <si>
    <t>thomas.will@uni-wuerzburg.de</t>
  </si>
  <si>
    <t>Frimmel, Hartwig/R-3324-2019; le Roux, Petrus J./AAD-4755-2021; Will, Thomas/JTV-4145-2023; Zeh, Armin/AAS-7028-2020</t>
  </si>
  <si>
    <t>le Roux, Petrus J./0000-0002-5930-4995; Frimmel, Hartwig/0000-0003-3041-8208; Zeh, Armin/0000-0001-5599-7897</t>
  </si>
  <si>
    <t>Deutsche Forschungsgemeinschaft [Fr 2183/1-1, 1-2]</t>
  </si>
  <si>
    <t>W. Schubert kindly made available the samples, which he collected during the German GEISHA expedition in 1987/88. H. Bratz and U. Schussler are thanked for performing some of the LA-ICP-MS and XRF analyses, respectively. S. Govender helped with the element separation for the whole rock isotope analyses. A. Gerdes is thanked for providing the infrastructure for the single zircon grain analyses. We like to thank M. Flowerdew and an unknown referee for their fair and useful reviews and P. Cawood for editorial handling. We thank J. Halpin for providing us with her Hf isotope data from the Rayner Complex. Financial support from the Deutsche Forschungsgemeinschaft (grant Fr 2183/1-1, 1-2) is gratefully acknowledged.</t>
  </si>
  <si>
    <t>10.1016/j.precamres.2010.03.005</t>
  </si>
  <si>
    <t>608VF</t>
  </si>
  <si>
    <t>WOS:000278613400006</t>
  </si>
  <si>
    <t>Thompson, LG</t>
  </si>
  <si>
    <t>Thompson, Lonnie G.</t>
  </si>
  <si>
    <t>Understanding Global Climate Change: Paleoclimate Perspective from the World's Highest Mountains</t>
  </si>
  <si>
    <t>PROCEEDINGS OF THE AMERICAN PHILOSOPHICAL SOCIETY</t>
  </si>
  <si>
    <t>GREENLAND ICE-SHEET; TIBETAN PLATEAU; GLACIERS; RECORD; ACCELERATION; VARIABILITY; CAP</t>
  </si>
  <si>
    <t>Glaciers are among the world's best recorders of, and first responders to, natural and anthropogenic climate change and provide a time perspective for current climatic and environmental variations. Over the last 50 years such records have been recovered from the polar regions as well as low-latitude, high-elevation ice fields. Analyses of these ice cores and of the glaciers from which they have been drilled have yielded three lines of evidence for past and present abrupt climate change: (1) the temperature and precipitation histories recorded in the glaciers as revealed by the climate records extracted from the ice cores; (2) the accelerating loss of the glaciers themselves; and (3) the uncovering of ancient fauna and flora from the margins of the glaciers as a result of their recent melting, thus illustrating the significance of the current ice loss. The current melting of high-altitude, low-latitude ice fields is consistent with model predictions for a vertical amplification of temperature in the tropics. The ongoing rapid retreat of the world's mountain glaciers, as well as the margins of the Greenland and Antarctic ice sheets, is not only contributing to global sea level rise, but also threatening fresh-water supplies in many of the most populous regions. More recently, strong evidence has appeared for the acceleration of the rate of ice loss in the tropics, which especially presents a clear and present danger to water supplies for at-risk populations in South America and Asia. The human response to this issue, however, is not so clear, for although the evidence from both data and models becomes more compelling, the rate of global CO2 emissions continues to accelerate. Climatologically, we are in unfamiliar territory, and the world's ice cover is responding dramatically. The loss of glaciers, which can be viewed as the world's water towers, threatens water resources that are essential for hydroelectric power, crop irrigation, municipal water supplies, and even tourism. As these glaciers are disappearing, we are also losing very valuable paleoclimate archives.</t>
  </si>
  <si>
    <t>Ohio State Univ, Columbus, OH 43210 USA</t>
  </si>
  <si>
    <t>University System of Ohio; Ohio State University</t>
  </si>
  <si>
    <t>Thompson, LG (corresponding author), Ohio State Univ, Columbus, OH 43210 USA.</t>
  </si>
  <si>
    <t>AMER PHILOSOPHICAL SOC</t>
  </si>
  <si>
    <t>104 SOUTH FIFTH ST, PHILADELPHIA, PA 19106-3387 USA</t>
  </si>
  <si>
    <t>0003-049X</t>
  </si>
  <si>
    <t>2326-9243</t>
  </si>
  <si>
    <t>P AM PHILOS SOC</t>
  </si>
  <si>
    <t>Proc. Amer. Philos. Soc.</t>
  </si>
  <si>
    <t>Humanities, Multidisciplinary</t>
  </si>
  <si>
    <t>Arts &amp; Humanities - Other Topics</t>
  </si>
  <si>
    <t>654WM</t>
  </si>
  <si>
    <t>WOS:000282201800002</t>
  </si>
  <si>
    <t>Bingham, RG; King, EC; Smith, AM; Pritchard, HD</t>
  </si>
  <si>
    <t>Bingham, Robert G.; King, Edward C.; Smith, Andrew M.; Pritchard, Hamish D.</t>
  </si>
  <si>
    <t>Glacial geomorphology: Towards a convergence of glaciology and geomorphology</t>
  </si>
  <si>
    <t>PROGRESS IN PHYSICAL GEOGRAPHY-EARTH AND ENVIRONMENT</t>
  </si>
  <si>
    <t>Antarctica; geophysics; glacial geomorphology; glaciers; glaciology; ice sheets; numerical modelling; remote sensing</t>
  </si>
  <si>
    <t>ANTARCTIC ICE-SHEET; BASAL CONDITIONS BENEATH; ENGLACIAL THRUSTING HYPOTHESIS; HUMMOCKY MORAINE FORMATION; PINE ISLAND BAY; WEST ANTARCTICA; STREAM-B; BED ROUGHNESS; NORTHWEST HIGHLANDS; SUBGLACIAL BEDFORMS</t>
  </si>
  <si>
    <t>This review presents a perspective on recent trends in glacial geomorphological research, which has seen an increasing engagement with investigating glaciation over larger and longer timescales facilitated by advances in remote sensing and numerical modelling. Remote sensing has enabled the visualization of deglaciated landscapes and glacial landform assemblages across continental scales, from which hypotheses of millennial-scale glacial landscape evolution and associations of landforms with palaeo-ice streams have been developed. To test these ideas rigorously, the related goal of imaging comparable subglacial landscapes and landforms beneath contemporary ice masses is being addressed through the application of radar and seismic technologies. Focusing on the West Antarctic Ice Sheet, we review progress to date in achieving this goal, and the use of radar and seismic imaging to assess: (1) subglacial bed morphology and roughness; (2) subglacial bed reflectivity; and (3) subglacial sediment properties. Numerical modelling, now the primary modus operandi of 'glaciologists' investigating the dynamics of modern ice sheets, offers significant potential for testing 'glacial geomorphological' hypotheses of continental glacial landscape evolution and smaller-scale landform development, and some recent examples of such an approach are presented. We close by identifying some future challenges in glacial geomorphology, which include: (1) embracing numerical modelling as a framework for testing hypotheses of glacial landform and landscape development; (2) identifying analogues beneath modern ice sheets for landscapes and landforms observed across deglaciated terrains; (3) repeat-surveying dynamic subglacial landforms to assess scales of formation and evolution; and (4) applying glacial geomorphological expertise more fully to extraterrestrial cryospheres.</t>
  </si>
  <si>
    <t>[Bingham, Robert G.] Univ Aberdeen, Sch Geosci, Aberdeen AB24 3UF, Scotland</t>
  </si>
  <si>
    <t>University of Aberdeen</t>
  </si>
  <si>
    <t>Bingham, RG (corresponding author), Univ Aberdeen, Sch Geosci, Elphinstone Rd, Aberdeen AB24 3UF, Scotland.</t>
  </si>
  <si>
    <t>r.bingham@abdn.ac.uk</t>
  </si>
  <si>
    <t>Pritchard, Hamish Daniel/AAU-4696-2021; Bingham, Robert G/G-3576-2017</t>
  </si>
  <si>
    <t>Bingham, Robert G/0000-0002-0630-2021</t>
  </si>
  <si>
    <t>Natural Environment Research Council [bas0100027] Funding Source: researchfish; NERC [bas0100027] Funding Source: UKRI</t>
  </si>
  <si>
    <t>0309-1333</t>
  </si>
  <si>
    <t>1477-0296</t>
  </si>
  <si>
    <t>PROG PHYS GEOG</t>
  </si>
  <si>
    <t>Prog. Phys. Geogr.</t>
  </si>
  <si>
    <t>10.1177/0309133309360631</t>
  </si>
  <si>
    <t>604AV</t>
  </si>
  <si>
    <t>WOS:000278250600004</t>
  </si>
  <si>
    <t>Orombelli, G; Maggi, V; Delmonte, B</t>
  </si>
  <si>
    <t>Orombelli, Giuseppe; Maggi, Valter; Delmonte, Barbara</t>
  </si>
  <si>
    <t>Quaternary stratigraphy and ice cores</t>
  </si>
  <si>
    <t>QUATERNARY INTERNATIONAL</t>
  </si>
  <si>
    <t>BRUNHES GEOMAGNETIC REVERSAL; GLOBAL STRATOTYPE SECTION; OXYGEN-ISOTOPE RECORDS; EAST ANTARCTICA; ATMOSPHERIC CIRCULATION; CLIMATE VARIABILITY; NORTH-ATLANTIC; CHINESE LOESS; GREENLAND; MARINE</t>
  </si>
  <si>
    <t>Ice cores contain highly detailed continuous stratigraphic records extending from the present to 800 ka BP. A large variety of climate proxies, related to atmospheric and climate changes can be analysed and dated with an accuracy ranging from a few years, for recent centuries, to a few millennia for older records. Over the past two decades, the contribution of ice core studies to the reconstruction and interpretation of past climate changes became fundamental: they allowed the direct measurement of greenhouse gas changes in the past and the detection of rapid climatic changes. This paper presents a short summary of ice core results, restricted only to those relevant for the stratigraphy of the Quaternary. At the base of the EPICA Dome C (DC) ice core the Matuyama-Bruhnes (M-B) magnetic reversal has been indirectly identified, at the end of Marine Isotopic Stage (MIS) 19, and dated 764-776 +/- 6 ka BP, allowing the correlation with the M-B boundary observed in the deep-sea sediments. The details of the M-B transition observed in the EPICA DC ice core are of interest for an improved characterization of this time marker, which is crucial for the identification of the Lower-Middle Pleistocene boundary. A clear increase in the amplitude of the glacial/interglacial cycles is observed at 430 ka BP, at the MIS 12/11 transition in the EPICA DC climatic curves: this Mid-Bruhnes Event marks a change in the pattern of climatic changes. The Middle-Upper Pleistocene boundary at the base of the Eemian Stage is clearly detectable in the Antarctic ice cores as a sharp increase in the methane signal coinciding with the initial peak of temperature derived from stable isotope profile around 128 ka BP, in good agreement with vegetation changes on land in the Northern hemisphere. In Greenland ice cores, the last climatic cycle is marked by high amplitude, millennial scale, climatic variations, bounded by abrupt limits that appear to correlate with stadial/interstadial stages. These climatic events are also present in the Antarctic ice cores, but smoothed, smaller in amplitude, and out-of-phase with respect to their Northern counterparts. Therefore, the stratigraphy of the deglaciation and of the transition from the Upper Pleistocene to the Holocene differs in the two opposite hemispheres. The Holocene in ice cores is different from previous interglacials and it deserves a specific identification in the geological history, despite its short duration compared to other epochs. The formal definition of the Pleistocene-Holocene boundary has been recently proposed and ratified on the NGRIP ice core, and fixed at 11.7 ka before AD 2000. About 200 years before present, the sharp increase of CO2 and methane above the natural interglacial level, as well as the sudden increase of atmospheric pollutants are a clear stratigraphic evidence for a recent global event caused by the human impact. (C) 2009 Elsevier Ltd and INQUA. All rights reserved.</t>
  </si>
  <si>
    <t>[Orombelli, Giuseppe; Maggi, Valter; Delmonte, Barbara] Univ Milano Bicocca, Dipartimento Sci Ambiente &amp; Terr, I-20126 Milan, Italy</t>
  </si>
  <si>
    <t>University of Milano-Bicocca</t>
  </si>
  <si>
    <t>Orombelli, G (corresponding author), Univ Milano Bicocca, Dipartimento Sci Ambiente &amp; Terr, Piazza Sci 1, I-20126 Milan, Italy.</t>
  </si>
  <si>
    <t>giuseppe.orombelli@unimib.it; valter.maggi@unimib.it; barbara.delmonte@unimib.it</t>
  </si>
  <si>
    <t>Maggi, Valter/AAX-5728-2020; Maggi, Valter/E-1878-2014; Delmonte, Barbara/L-2555-2015</t>
  </si>
  <si>
    <t>Maggi, Valter/0000-0001-6287-1213; Delmonte, Barbara/0000-0002-9074-2061</t>
  </si>
  <si>
    <t>European Commission [ENV4-CT95-0074]</t>
  </si>
  <si>
    <t>European Commission(European Union (EU)European Commission Joint Research Centre)</t>
  </si>
  <si>
    <t>The authors wish to thank G. Raisbeck for providing beryllium data. This work is a contribution to the European Project for Ice Coring in Antarctica (EPICA), a joint ESF (European Science Foundation)/EC scientific programme, funded by the European Commission under the Environmental and Climate Programme (1994-1998) contract ENV4-CT95-0074 and by national contributions from Belgium, Denmark, France, Germany, Italy, the Netherlands, Norway, Sweden, Switzerland and the United Kingdom. This is EPICA publication n. 238.</t>
  </si>
  <si>
    <t>1040-6182</t>
  </si>
  <si>
    <t>1873-4553</t>
  </si>
  <si>
    <t>QUATERN INT</t>
  </si>
  <si>
    <t>Quat. Int.</t>
  </si>
  <si>
    <t>10.1016/j.quaint.2009.09.029</t>
  </si>
  <si>
    <t>609SH</t>
  </si>
  <si>
    <t>WOS:000278676900007</t>
  </si>
  <si>
    <t>Israde-Alcántara, I; Miller, WE; Garduño-Monroy, VH; Barron, J; Rodriguez-Pascua, MA</t>
  </si>
  <si>
    <t>Israde-Alcantara, I.; Miller, W. E.; Garduno-Monroy, V. H.; Barron, J.; Rodriguez-Pascua, M. A.</t>
  </si>
  <si>
    <t>Palaeoenvironmental significance of diatom and vertebrate fossils from Late Cenozoic tectonic basins in west-central Mexico: A review</t>
  </si>
  <si>
    <t>MORPHOLOGICAL EVOLUTION; DEPOSITS; MESODICTYON; PLEISTOCENE; GUANAJUATO; HISTORY; CLIMATE</t>
  </si>
  <si>
    <t>Pronounced lacustrine sedimentation developed in west-central Mexico during the late Miocene, between approximately 11 and 7 Ma. This was in response to tectonic extension associated with the initial emplacement of the late Miocene substrata of the Trans-Mexican Volcanic Belt. Climatic conditions in west-central Mexico during this interval were relatively warm and humid based on the widespread distribution of interpreted lacustrine beds. Following a latest Miocene (8.0-5.4 Ma) stage of arid conditions and greatly reduced deposition of fine-grained lacustrine sediments, extensive, east-west oriented, relatively deep, perennial lakes ensued. They mark the early Pliocene (5.3-4.0 Ma). Lower Pliocene diatomites contain the same diatom species (e.g., Stephanodiscus carconensis and Tertiarius aff. baikalensis) found in rocks of this age in the western United States. The relatively warm and humid conditions that characterized this interval in central Mexico coincide with a period of high-latitude warming, higher global sea level, and a reduction in size of the Antarctic Ice sheets. Because the Central American Seaway persisted until at least the latest Miocene, it might have acted to increase precipitation in central Mexico. This could have continued into the earliest Pliocene. Mexican Pliocene mammalian faunas also support a savanna setting with moist and warm conditions prevailing at the time. Shallow lakes and fluvial conditions dominate after 4.0 Ma, until the end of Pleistocene. A combination of reduced precipitation, due to general global cooling and drying, as well as volcanic and tectonic processes, are presumed to have been the cause for this mid-Pliocene reduction in lake size and extent in central Mexico. (C) 2010 Elsevier Ltd and INQUA. All rights reserved.</t>
  </si>
  <si>
    <t>[Israde-Alcantara, I.; Garduno-Monroy, V. H.] Univ Michoacana, Inst Invest Met, Dept Geol &amp; Mineral, Morelia 58060, Michoacan, Mexico; [Miller, W. E.] Brigham Young Univ, Dept Geol Sci, Provo, UT 84602 USA; [Barron, J.] US Geol Survey, Menlo Pk, CA 94025 USA; [Rodriguez-Pascua, M. A.] IGME, Dpto Invest &amp; Prospect, Area Peligrosidad &amp; Riesgos Geol, Madrid 28003, Spain</t>
  </si>
  <si>
    <t>Universidad Michoacana de San Nicolas de Hidalgo; Brigham Young University; United States Department of the Interior; United States Geological Survey</t>
  </si>
  <si>
    <t>Israde-Alcántara, I (corresponding author), Univ Michoacana, Inst Invest Met, Dept Geol &amp; Mineral, Edificio U Ciudad Univ, Morelia 58060, Michoacan, Mexico.</t>
  </si>
  <si>
    <t>isaisrade@gmail.com; wade_miller90@hotmail.com; jbarron@usgs.gov; ma.rodriguez@igme.es</t>
  </si>
  <si>
    <t>; Rodriguez-Pascua, Miguel Angel/H-9323-2015</t>
  </si>
  <si>
    <t>Barron, John/0000-0002-9309-1145; Rodriguez-Pascua, Miguel Angel/0000-0001-5174-119X; Garduno-Monroy, Victor Hugo/0000-0001-7128-992X</t>
  </si>
  <si>
    <t>Universidad Michoacana [1.22]; CONACyT [84981-V2]</t>
  </si>
  <si>
    <t>Universidad Michoacana; CONACyT(Consejo Nacional de Ciencia y Tecnologia (CONACyT))</t>
  </si>
  <si>
    <t>The research on which this paper is based on was supported by the Universidad Michoacana through the CIC 03, project 1.22 and from CONACyT 84981-V2. We express gratitude to both of these institutions. The USGS personnel at Menlo Park and Camila (first author's daughter) provided much appreciated support. Agostino Rizzi (CNR, Milan) for his skilful assistance with the SEM and anonymous reviewers are acknowledged for helpful comments on the manuscript.</t>
  </si>
  <si>
    <t>10.1016/j.quaint.2010.01.012</t>
  </si>
  <si>
    <t>WOS:000278676900009</t>
  </si>
  <si>
    <t>Tim, N; Eric, W; Lionel, C; Robert, M; Ross, P</t>
  </si>
  <si>
    <t>Tim, Naish; Eric, Wolff; Lionel, Carter; Robert, McKay; Ross, Powell</t>
  </si>
  <si>
    <t>Antarctic climate evolution during the Quaternary (last 2.6 Ma) from continental margin, Southern Ocean and ice core records</t>
  </si>
  <si>
    <t>[Tim, Naish; Lionel, Carter; Robert, McKay] Victoria Univ Wellington, Antarctic Res Ctr, Wellington, New Zealand; [Eric, Wolff] British Antarctic Survey, Cambridge CB3 0ET, England; [Ross, Powell] No Illinois Univ, De Kalb, IL 60115 USA</t>
  </si>
  <si>
    <t>Victoria University Wellington; UK Research &amp; Innovation (UKRI); Natural Environment Research Council (NERC); NERC British Antarctic Survey; Northern Illinois University</t>
  </si>
  <si>
    <t>Tim, N (corresponding author), Victoria Univ Wellington, Antarctic Res Ctr, Wellington, New Zealand.</t>
  </si>
  <si>
    <t>NERC [bas0100024] Funding Source: UKRI; Natural Environment Research Council [bas0100024] Funding Source: researchfish</t>
  </si>
  <si>
    <t>10.1016/j.quaint.2010.02.006</t>
  </si>
  <si>
    <t>WOS:000278676900017</t>
  </si>
  <si>
    <t>Todd, C; Stone, J; Conway, H; Hall, B; Bromley, G</t>
  </si>
  <si>
    <t>Todd, Claire; Stone, John; Conway, Howard; Hall, Brenda; Bromley, Gordon</t>
  </si>
  <si>
    <t>Late Quaternary evolution of Reedy Glacier, Antarctica</t>
  </si>
  <si>
    <t>ICE-SURFACE FLUCTUATIONS; GROUNDING-LINE RETREAT; MARIE-BYRD-LAND; ROSS-SEA; VICTORIA LAND; EXPOSURE AGES; EROSION; BE-10; SHEET; CHRONOLOGY</t>
  </si>
  <si>
    <t>Fresh deposits above the margins of Reedy Glacier show that maximum ice levels during the last glaciation were several hundred meters above present near the glacier mouth and converged to less than 60 m above the present-day surface at the head of the glacier. Exposure ages of samples from five sites along its margin show that Reedy Glacier and its tributaries thickened asynchronously between 17 and 7 kyr BP At the Quartz Hills, located midway along the glacier, maximum ice levels were reached during the period 17-14 kyr BP. Farther up-glacier the ice surface reached its maximum elevation more recently: 14.7-10.2 kyr BP at the Caloplaca Hills; 9.1-7.7 kyr BP at Mims Spur; and around 7 kyr BP at Hatcher Bluffs. We attribute this time-transgressive behavior to two different processes: At the glacier mouth, growth of grounded ice and subsequent deglaciation in the Ross Sea embayment caused a wave of thickening and then thinning to propagate up-glacier. During the Lateglacial and Holocene, increased snow accumulation on the East Antarctic Ice Sheet caused transient thickening at the head of the glacier. An important result of this work is that moraines deposited along Reedy Glacier during the last ice age cannot be correlated to reconstruct a single glacial maximum longitudinal profile. The profile steepened during deglaciation of the Ross Sea, thinning at the Quartz Hills after 13 kyr BP while thickening upstream. Near its confluence with Mercer Ice Stream, rapid thinning beginning prior to 7-8 kyr BP reduced the level of Reedy Glacier to close to its present level. Thinning over the past 1000 years has lowered the glacier by less than 20 m. (C) 2010 Elsevier Ltd. All rights reserved.</t>
  </si>
  <si>
    <t>[Todd, Claire; Stone, John; Conway, Howard] Univ Washington, Dept Earth &amp; Space Sci, Seattle, WA 98195 USA; [Hall, Brenda; Bromley, Gordon] Univ Maine, Dept Earth Sci, Bryand Global Sci Ctr 311, Orono, ME 04469 USA; [Hall, Brenda; Bromley, Gordon] Univ Maine, Climate Change Inst, Bryand Global Sci Ctr 311, Orono, ME 04469 USA</t>
  </si>
  <si>
    <t>University of Washington; University of Washington Seattle; University of Maine System; University of Maine Orono; University of Maine System; University of Maine Orono</t>
  </si>
  <si>
    <t>Todd, C (corresponding author), Pacific Lutheran Univ, Dept Geosci, Rieke Sci Ctr, Tacoma, WA 98447 USA.</t>
  </si>
  <si>
    <t>toddce@plu.edu</t>
  </si>
  <si>
    <t>Todd, Claire/0000-0003-0545-6341; Conway, Howard/0000-0003-4634-3474</t>
  </si>
  <si>
    <t>Office of Polar Programs, US National Science Foundation [OPP-0229314, OPP-0229034]</t>
  </si>
  <si>
    <t>Office of Polar Programs, US National Science Foundation(National Science Foundation (NSF))</t>
  </si>
  <si>
    <t>This work was funded by grants from the Office of Polar Programs, US National Science Foundation (OPP-0229314 and OPP-0229034). We thank M. Conway for assistance in the field, UNAVCO for assistance with GPS data, and Raytheon Polar Services, the Air National Guard and Kenn Borek Air for transportation and logistical support. Joy Laydbak helped with sample preparation. We also thank Marc Caffee, Bob Finkel and others at PRIME Lab and LLNL-CAMS who provided high quality AMS analyses. We are also grateful for two anonymous reviews that provided thoughtful, thorough advice for improving this manuscript.</t>
  </si>
  <si>
    <t>11-12</t>
  </si>
  <si>
    <t>10.1016/j.quascirev.2010.02.001</t>
  </si>
  <si>
    <t>610GU</t>
  </si>
  <si>
    <t>WOS:000278720500004</t>
  </si>
  <si>
    <t>Kaiser, J; Lamy, F</t>
  </si>
  <si>
    <t>Kaiser, Jerome; Lamy, Frank</t>
  </si>
  <si>
    <t>Links between Patagonian Ice Sheet fluctuations and Antarctic dust variability during the last glacial period (MIS 4-2)</t>
  </si>
  <si>
    <t>SEA-SURFACE TEMPERATURE; DOME-C; EAST ANTARCTICA; SOUTHERN-OCEAN; ISOTOPIC CONSTRAINTS; EQUATORIAL PACIFIC; CLIMATE CHANGES; AEOLIAN DUST; MAXIMUM; CHILE</t>
  </si>
  <si>
    <t>Antarctic and Greenland ice-core records reveal large fluctuations of dust input on both orbital and millennial time-scales with potential global climate implications. At least during glacial periods, the Antarctic dust fluctuations appear to be largely controlled by environmental changes in southern South America. We compare dust flux records from two Antarctic ice-cores to variations in the composition of the terrigenous supply at ODP Site 1233 located off southern Chile and known to record fluctuations in the extent of the northern part of the Patagonian ice-sheet (NPIS) during the last glacial period (marine Isotope Stage, MIS, 4 to 2). Within age uncertainties, millennial-scale glacial advances (retreats) of the NPIS correlate to Antarctic dust maxima (minima). In turn, NPIS fluctuations were closely related to offshore sea surface temperature (SST) changes. This pattern suggests a causal link involving changes in temperature, in rock flour availability, in latitudinal extensions of the westerly winds and in foehn winds in the southern Pampas and Patagonia. We further suggest that the long-term trend of dust accumulation is partly linked to the sea-level related changes in the size if the Patagonian source area due to the particular morphology of the Argentine shelf. We suggest that sea-level drops at the beginning of MIS 4 and MIS 2 were important for long-term dust increases, while changes in the Patagonian dust source regions primarily control the early dust decrease during the MIS 4/3 transition and Termination 1. (C) 2010 Elsevier Ltd. All rights reserved.</t>
  </si>
  <si>
    <t>[Kaiser, Jerome] Deutsch GeoForschungsZentrum GFZ, Helmholtz Zentrum Potsdam, D-14473 Potsdam, Germany; [Lamy, Frank] Alfred Wegener Inst Polar &amp; Marine Res, D-27568 Bremerhaven, Germany</t>
  </si>
  <si>
    <t>Helmholtz Association; Helmholtz-Center Potsdam GFZ German Research Center for Geosciences; Helmholtz Association; Alfred Wegener Institute, Helmholtz Centre for Polar &amp; Marine Research</t>
  </si>
  <si>
    <t>Kaiser, J (corresponding author), Univ Paris 06, LOCEAN, UMR CNRS 7159, 4 Pl Jussieu, F-75005 Paris, France.</t>
  </si>
  <si>
    <t>jerome.kaiser@locean-ipsl.upmc.fr</t>
  </si>
  <si>
    <t>Lamy, Frank/H-3611-2014</t>
  </si>
  <si>
    <t>Lamy, Frank/0000-0001-5952-1765</t>
  </si>
  <si>
    <t>U.S. National Science Foundation (NSF); Joint Oceanographic Institutions (JOI), Inc.</t>
  </si>
  <si>
    <t>U.S. National Science Foundation (NSF)(National Science Foundation (NSF)); Joint Oceanographic Institutions (JOI), Inc.</t>
  </si>
  <si>
    <t>We thank H.W. Arz for numerous interesting ideas and discussions on this study. Two anonymous reviewers are thanked for their constructive comments. This research used samples provided by the Ocean Drilling Program (ODP). The ODP is sponsored by the U.S. National Science Foundation (NSF) and participating countries under management of Joint Oceanographic Institutions (JOI), Inc.</t>
  </si>
  <si>
    <t>10.1016/j.quascirev.2010.03.005</t>
  </si>
  <si>
    <t>WOS:000278720500013</t>
  </si>
  <si>
    <t>Lee, J; Kim, KY; Hong, JK; Jin, YK</t>
  </si>
  <si>
    <t>Lee, Joohan; Kim, Ki Young; Hong, Jong Kuk; Jin, Young Keun</t>
  </si>
  <si>
    <t>An englacial image and water pathways of the fourcade glacier on King George Island, Antarctic Peninsula, inferred from ground-penetrating radar</t>
  </si>
  <si>
    <t>GPR; water content; Fourcade glacier; scattering noise; migration velocity analysis; fractures</t>
  </si>
  <si>
    <t>TEMPERATE GLACIERS; VELOCITY ANALYSIS; SURFACE; MIGRATION; ICE</t>
  </si>
  <si>
    <t>The distribution of small fractures and water content of the Fourcade glacier on King George Island, Antarctica, was investigated in November 2006 and December 2007 by two ground-based (470- and 490-m-long profiles) and one helicopter-borne (470-m-long profile) ground-penetrating radar (GPR) surveys using 50-, 100-, and 500-MHz antennas. Radar images in the pre-migrated GPR sections are characterized by a smooth ice surface and irregular bed topography, numerous diffraction hyperbolas in the ice and at the glacier bed, strong scattering noise, and near-surface folded layers. Scattering noise above a mound in the center of the profiles is associated with an area of dense fractures extending down from the ice surface that has relatively low reflection strength. Near the northeast ends of the profiles where few englacial fractures occur, scattering noise may result from the presence of warmer ice. A water-filled conduit and an air-filled cavity are interpreted as the source of two distinct hyperbolas in sub-glacial valleys based on the polarity of the reflections. Through migration velocity analysis on 106 hyperbolas, radar velocities were obtained for the 100-MHz ground-based profile. Using the velocities and Paren's mixture formula, we calculated the water content of the ice to have been in the range of 0.00-0.09. High water content occurs near the glacier margin, in sub-glacial valleys, and in zones of scattering noise.</t>
  </si>
  <si>
    <t>[Lee, Joohan; Hong, Jong Kuk; Jin, Young Keun] Korea Polar Res Inst, Inchon 406840, South Korea; [Kim, Ki Young] Kangwon Natl Univ, Dept Geophys, Chunchon 200701, South Korea</t>
  </si>
  <si>
    <t>Korea Polar Research Institute (KOPRI); Korea Institute of Ocean Science &amp; Technology (KIOST); Kangwon National University</t>
  </si>
  <si>
    <t>Lee, J (corresponding author), Korea Polar Res Inst, Songdo Techno Pk,7-50 Songdo Dong, Inchon 406840, South Korea.</t>
  </si>
  <si>
    <t>joohan@kopri.re.kr</t>
  </si>
  <si>
    <t>Korea Polar Research Institute (KOPRI) [PE10020, PM09030]; Ministry of Science and Technology (MOST) [R01-2007-000-20194-0]</t>
  </si>
  <si>
    <t>Korea Polar Research Institute (KOPRI); Ministry of Science and Technology (MOST)(Ministry of Science and Technology, China)</t>
  </si>
  <si>
    <t>We thank Dr. Moon Young Choe, chief of the 19th over-wintering team of King Sejong Station, and his team-members who helped us during acquisition of the radar data. We also thank two anonymous referees who gave thoughtful and helpful comments that improved the manuscript. Finally we appreciate Dr. R. M. Rene at Rene Geophysics for his helpful discussions and suggestions during the progress of this work. This work was supported by Korea Polar Research Institute (KOPRI) (Grant Nos. PE10020, PM09030) and the Korea Science and Engineering Foundation (KOSEF) of the Ministry of Science and Technology (MOST) (Grant No. R01-2007-000-20194-0).</t>
  </si>
  <si>
    <t>1869-1897</t>
  </si>
  <si>
    <t>10.1007/s11430-010-0078-z</t>
  </si>
  <si>
    <t>605QY</t>
  </si>
  <si>
    <t>WOS:000278363300012</t>
  </si>
  <si>
    <t>Liu, JP</t>
  </si>
  <si>
    <t>Liu JiPing</t>
  </si>
  <si>
    <t>Sensitivity of sea ice and ocean simulations to sea ice salinity in a coupled global climate model</t>
  </si>
  <si>
    <t>sea ice salinity; coupled global climate model; Arctic and Antarctic</t>
  </si>
  <si>
    <t>The impacts of the spatiotemporal variations of sea ice salinity on sea ice and ocean characteristics have not been studied in detail, as the existing climate models neglect or misrepresent this process. To address this issue, this paper formulated a parameterization with more realistic sea ice salinity budget, and examined the sensitivity of sea ice and ocean simulations to the ice salinity variations and associated salt flux into the ocean using a coupled global climate model. Results show that the inclusion of such a parameterization leads to an increase and thickening of sea ice in the Eurasian Arctic and within the ice pack in the Antarctic circumpolar region, and a weakening of the North Atlantic Deep Water and a strengthening of the Antarctic Bottom Water. The atmospheric responses associated with the ice changes were also discussed.</t>
  </si>
  <si>
    <t>Chinese Acad Sci, Inst Atmospher Phys, State Key Lab Numer Modeling Atmospher Sci &amp; Geop, Beijing 100029, Peoples R China</t>
  </si>
  <si>
    <t>Chinese Academy of Sciences; Institute of Atmospheric Physics, CAS</t>
  </si>
  <si>
    <t>Liu, JP (corresponding author), Chinese Acad Sci, Inst Atmospher Phys, State Key Lab Numer Modeling Atmospher Sci &amp; Geop, Beijing 100029, Peoples R China.</t>
  </si>
  <si>
    <t>jliu@lasg.iap.ac.cn</t>
  </si>
  <si>
    <t>Chinese Academy of Sciences; National Basic Research Program of China [2006CB403605]; National Natural Science Foundation of China [40876099, 40930848]; High-tech R D Program [2008AA121704]; China Meteorological Administration [GYHY200806006]</t>
  </si>
  <si>
    <t>Chinese Academy of Sciences(Chinese Academy of Sciences); National Basic Research Program of China(National Basic Research Program of China); National Natural Science Foundation of China(National Natural Science Foundation of China (NSFC)); High-tech R D Program; China Meteorological Administration</t>
  </si>
  <si>
    <t>This research was supported by the Hundred Talents Program of the Chinese Academy of Sciences, National Basic Research Program of China (Grant No. 2006CB403605), National Natural Science Foundation of China (Grant Nos. 40876099, 40930848), High-tech R &amp; D Program (Grant No. 2008AA121704), and China Meteorological Administration (Grant No. GYHY200806006).</t>
  </si>
  <si>
    <t>10.1007/s11430-010-0051-x</t>
  </si>
  <si>
    <t>WOS:000278363300014</t>
  </si>
  <si>
    <t>Aldea, C; Troncoso, JS</t>
  </si>
  <si>
    <t>Aldea, Cristian; Troncoso, Jesus S.</t>
  </si>
  <si>
    <t>REMARKS ON THE GENUS TROPHON (S.L.) MONTFORT, 1810 (MOLLUSCA: GASTROPODA: MURICIDAE) IN THE SOUTHERN OCEAN AND ADJACENT AREAS</t>
  </si>
  <si>
    <t>THALASSAS</t>
  </si>
  <si>
    <t>Trophon; distribution; bathymetry; morphology; Antarctica; South-America; Sub-Antarctic islands</t>
  </si>
  <si>
    <t>BELLINGSHAUSEN SEA; SHETLAND ISLANDS; ANTARCTIC WATERS; WEST ANTARCTICA; PATAGONIA</t>
  </si>
  <si>
    <t>Among the several groups of molluscs in the southern hemisphere, the genus Trophon Montfort, 1810 has a particular importance, because it is a highly diversified taxon in the Southern Ocean and Sub-Antarctic waters. In the middle of the XX century, 27 species were known, which increased to 33 species at the beginning of the XXI century, but more than 100 species were described under this genus along the time, most of them being synonyms or belonging to other genera at the moment. Despite the great diversification of this genus, no summarizing data from these areas are known and some records are confused by using of combining genera/subgenera (i.e. Coronium Simone, 1996, Pagodula Monterosato, 1884, Nodulotrophon Habe &amp; Ito, 1965 and Fuegotrophon Powell, 1951). In this work we gathered data of the distribution, shell morphology and taxonomic remarks of 46 species of Thophon (s.l.) starting from a performed database with all records toward the pole from about 20 degrees S in South-American waters, and from about 45 degrees S in the Eastern Atlantic, Indian and Western Pacific Oceans. Seventeen species were found inhabiting exclusively in South-America, three in Antarctica, five in Western Sub-Antarctic waters, and five in Eastern Sub-Antarctic waters; 16 species presented a wide range of distribution. Bathymetrically, 22 species were exclusive of the continental shelf, 23 reached the slope and one the deep-sea (&gt;3,000 m). From the shell morphology, five main morphotypes were recognized. Affinities between species and with combining genera were discussed from the obtained data.</t>
  </si>
  <si>
    <t>[Aldea, Cristian; Troncoso, Jesus S.] Univ Vigo, Dept Ecol &amp; Biol Anim, Fac Ciencias Mar, Vigo 36310, Spain; [Aldea, Cristian] Fdn Ctr Estudios Cuaternario Fuego Patagonia &amp; An, Punta Arenas, Chile</t>
  </si>
  <si>
    <t>Universidade de Vigo</t>
  </si>
  <si>
    <t>Aldea, C (corresponding author), Univ Vigo, Dept Ecol &amp; Biol Anim, Fac Ciencias Mar, Campus Lagoas Marcosende, Vigo 36310, Spain.</t>
  </si>
  <si>
    <t>cristian-aldea@uvigo.es; troncoso@uvigo.es</t>
  </si>
  <si>
    <t>Aldea, Cristian/J-5391-2013; Troncoso, Jesus/L-1823-2017</t>
  </si>
  <si>
    <t>Troncoso, Jesus/0000-0002-7305-6879; Aldea, Cristian/0000-0002-4473-6509</t>
  </si>
  <si>
    <t>Spanish Government [REN2001-1074/ANT, GLC2004-01856/ANT]; Ministry of Education and Science (MEC)</t>
  </si>
  <si>
    <t>Spanish Government(Spanish Government); Ministry of Education and Science (MEC)(Spanish Government)</t>
  </si>
  <si>
    <t>This paper was generated from the data gathered and information developed starting from the Spanish cruises BENTART 2003/2006 that were carried out under the auspices of the Spanish Government through the Antarctic Programmes REN2001-1074/ANT and GLC2004-01856/ANT of the Ministry of Education and Science (MEC). We thank Linda Ward of the Department of Invertebrate Zoology, Smithsonian Institution, for kindly sending the Thophon records of USNM. We also thank two anonymous referees for improving the manuscript and Cristina Vertan for her kindly revision of the English language.</t>
  </si>
  <si>
    <t>UNIV VIGO</t>
  </si>
  <si>
    <t>VIGO</t>
  </si>
  <si>
    <t>CAMPUS DE MARCOSENDE, SERVICIO PUBLICACIONES, VIGO, 36310, SPAIN</t>
  </si>
  <si>
    <t>0212-5919</t>
  </si>
  <si>
    <t>Thalassas</t>
  </si>
  <si>
    <t>599OG</t>
  </si>
  <si>
    <t>WOS:000277922300004</t>
  </si>
  <si>
    <t>Risi, C; Landais, A; Bony, S; Jouzel, J; Masson-Delmotte, V; Vimeux, F</t>
  </si>
  <si>
    <t>Risi, Camille; Landais, Amaelle; Bony, Sandrine; Jouzel, Jean; Masson-Delmotte, Valerie; Vimeux, Francoise</t>
  </si>
  <si>
    <t>Understanding the 17O excess glacial-interglacial variations in Vostok precipitation</t>
  </si>
  <si>
    <t>GENERAL-CIRCULATION MODEL; DEUTERIUM-EXCESS; ISOTOPIC COMPOSITION; ANTARCTIC PRECIPITATION; SURFACE SNOW; ICE CORE; ATMOSPHERIC CIRCULATION; CUMULUS CONVECTION; STABLE-ISOTOPES; TIME-VARIATION</t>
  </si>
  <si>
    <t>Combined measurements of delta O-18, delta O-17, and delta D in ice cores, leading to d excess and O-17 excess, are expected to provide new constraints on the water cycle and past climates. We explore different processes, both in the source regions and during the poleward transport, that could explain the O-17 excess increase by 20 per meg observed from the Last Glacial Maximum (LGM) to Early Holocene (EH) at the Vostok station. Using a single-column model over tropical and subtropical oceans, we show that the relative humidity at the surface is the main factor controlling O-17 excess in source regions. Then, using a Rayleigh-type model, we show that the O-17 excess signal from the source region is preserved in the polar snowfall, contrary to d excess. Evaporative recharge over mid and high latitudes and delta O-18 seasonality in polar regions can also affect the Vostok O-17 excess but cannot account for most of the 20 per meg deglacial increase from LGM to EH. On the other hand, a decrease of the relative humidity at the surface (rh(s)) by 8 to 22% would explain the observed change in O-17 excess. Such a change would not necessarily be incompatible with a nearly unchanged boundary layer relative humidity, if the surface thermodynamic disequilibrium decreased by 4 degrees C. Such a change in rh(s) would affect source and polar temperatures reconstructions from delta O-18 and d excess measurements, strengthening the interest of O-17 excess measurements to better constrain such changes.</t>
  </si>
  <si>
    <t>[Risi, Camille; Bony, Sandrine] CNRS, UPMC, IPSL, LMD, F-75005 Paris, France; [Vimeux, Francoise] CEA, CNRS, UVSQ, IRD,UR Great Ice,LSCE,IPSL, F-91191 Gif Sur Yvette, France</t>
  </si>
  <si>
    <t>Ecole des Ponts ParisTech; Centre National de la Recherche Scientifique (CNRS); Universite Paris Cite; Sorbonne Universite; Institut de Recherche pour le Developpement (IRD); Universite Paris Saclay; Universite Paris Cite; CEA; Centre National de la Recherche Scientifique (CNRS)</t>
  </si>
  <si>
    <t>Risi, C (corresponding author), CNRS, UPMC, IPSL, LMD, 4 Pl Jussieu, F-75005 Paris, France.</t>
  </si>
  <si>
    <t>crlmd@lmd.jussieu.fr</t>
  </si>
  <si>
    <t>Bony, Sandrine/AAG-5804-2019; Masson-Delmotte, Valerie L/G-1995-2011</t>
  </si>
  <si>
    <t>Bony, Sandrine/0000-0002-4791-4438; Masson-Delmotte, Valerie L/0000-0001-8296-381X; LANDAIS, Amaelle/0000-0002-5620-5465</t>
  </si>
  <si>
    <t>French Agence Nationale for Research; LEFE; CEA; CNRS; EU [EVK2-CT-2002-00153]; Programme National d'Etude de la Dynamique du Climat (PNEDC</t>
  </si>
  <si>
    <t>French Agence Nationale for Research(Agence Nationale de la Recherche (ANR)); LEFE; CEA(French Atomic Energy Commission); CNRS(Centre National de la Recherche Scientifique (CNRS)); EU(European Union (EU)); Programme National d'Etude de la Dynamique du Climat (PNEDC</t>
  </si>
  <si>
    <t>The first two authors contributed equally to this work. We thank Masa Kageyama for useful discussions. This work benefited from financial support of the French Agence Nationale for Research, and from the LEFE project MISSTERRE. We acknowledge the international modeling groups for providing the PMIP2 data for analysis and the Laboratoire des Sciences du Climat et de l'Environnement (LSCE) for collecting and archiving the model data. The PMIP2/MOTIF Data Archive is supported by CEA, CNRS, the EU project MOTIF (EVK2-CT-2002-00153), and the Programme National d'Etude de la Dynamique du Climat (PNEDC). The analyses were performed using the version available in October 2008. More information is available at http://pmip2.lsce.ipsl.fr/ and http://motif.lsce.ipsl.fr/. We thank two anonymous reviewers for their comments and suggestions.</t>
  </si>
  <si>
    <t>MAY 29</t>
  </si>
  <si>
    <t>D10112</t>
  </si>
  <si>
    <t>10.1029/2008JD011535</t>
  </si>
  <si>
    <t>603VV</t>
  </si>
  <si>
    <t>WOS:000278237100002</t>
  </si>
  <si>
    <t>Chaubey, JP; Moorthy, KK; Babu, SS; Nair, VS; Tiwari, A</t>
  </si>
  <si>
    <t>Chaubey, Jai Prakash; Moorthy, K. Krishna; Babu, S. Suresh; Nair, Vijayakumar S.; Tiwari, Anoop</t>
  </si>
  <si>
    <t>Black carbon aerosols over coastal Antarctica and its scavenging by snow during the Southern Hemispheric summer</t>
  </si>
  <si>
    <t>ABSORPTION-MEASUREMENTS; OPTICAL-PROPERTIES; SOOT; PARTICLES; STATION; SURFACE; LIGHT; POLE</t>
  </si>
  <si>
    <t>Mass concentrations of aerosol black carbon (BC) and of the composite (total) aerosols (M-B and M-T, respectively) were measured over two Antarctic locations, Maitri [70 degrees S, 12 degrees E, 123 m mean sea level (msl)] and Larsemann Hills (LH; 69 degrees S, 77 degrees E, 48 m msl) as a part of the twenty-eighth Indian Scientific Expedition to Antarctica during the Southern Hemispheric summer of 2009. Despite being very low compared to Northern Hemisphere locations, MB and its mass mixing ratio to the total aerosols were much high over Maitri (similar to 75 ng m(-3) and 2%) compared to LH (13 ng m(-3) and 0.2%). At both locations, MB fell abruptly after blizzards, after which the values reduced to nearly half the pre-blizzard values. This BC scavenging by snow can lead to change in snow albedo and has strong climate implications. The Angstrom exponent (alpha(abs)) estimated from the spectral values of absorption coefficients (sigma(abs)) is found to vary from 0.5 to 1, indicating higher a BC-to-organic carbon ratio typical of fossil fuel origin.</t>
  </si>
  <si>
    <t>[Chaubey, Jai Prakash; Moorthy, K. Krishna; Babu, S. Suresh; Nair, Vijayakumar S.] Vikram Sarabhai Space Ctr, Space Phys Lab, Trivandrum 695022, Kerala, India; [Tiwari, Anoop] Natl Ctr Antarctic &amp; Ocean Res, Goa 403804, India</t>
  </si>
  <si>
    <t>Department of Space (DoS), Government of India; Indian Space Research Organisation (ISRO); Vikram Sarabhai Space Center (VSSC); Ministry of Earth Sciences (MoES) - India; National Centre for Polar and Ocean Research (NCPOR)</t>
  </si>
  <si>
    <t>Chaubey, JP (corresponding author), Vikram Sarabhai Space Ctr, Space Phys Lab, Trivandrum 695022, Kerala, India.</t>
  </si>
  <si>
    <t>s_sureshbabu@vssc.gov.in</t>
  </si>
  <si>
    <t>MOORTHY, KRISHNA/AAG-6807-2019</t>
  </si>
  <si>
    <t>Moorthy, K. Krishna/0000-0002-7234-3868</t>
  </si>
  <si>
    <t>MAY 28</t>
  </si>
  <si>
    <t>D10210</t>
  </si>
  <si>
    <t>10.1029/2009JD013381</t>
  </si>
  <si>
    <t>603VS</t>
  </si>
  <si>
    <t>WOS:000278236800002</t>
  </si>
  <si>
    <t>Maslin, M; Owen, M; Betts, R; Day, S; Dunkley Jones, T; Ridgwell, A</t>
  </si>
  <si>
    <t>Maslin, Mark; Owen, Matthew; Betts, Richard; Day, Simon; Dunkley Jones, Tom; Ridgwell, Andrew</t>
  </si>
  <si>
    <t>Gas hydrates: past and future geohazard?</t>
  </si>
  <si>
    <t>gas hydrates; geohazards; climate change; ocean; permafrost</t>
  </si>
  <si>
    <t>EOCENE THERMAL MAXIMUM; CATASTROPHIC SEDIMENT FAILURES; CARBON-ISOTOPE EXCURSION; METHANE HYDRATE; STOREGGA SLIDE; MARINE-SEDIMENTS; CLIMATE-CHANGE; SEA-LEVEL; OCEAN; CLATHRATE</t>
  </si>
  <si>
    <t>Gas hydrates are ice-like deposits containing a mixture of water and gas; the most common gas is methane. Gas hydrates are stable under high pressures and relatively low temperatures and are found underneath the oceans and in permafrost regions. Estimates range from 500 to 10 000 giga tonnes of carbon (best current estimate 1600-2000 GtC) stored in ocean sediments and 400 GtC in Arctic permafrost. Gas hydrates may pose a serious geohazard in the near future owing to the adverse effects of global warming on the stability of gas hydrate deposits both in ocean sediments and in permafrost. It is still unknown whether future ocean warming could lead to significant methane release, as thermal penetration of marine sediments to the clathrate-gas interface could be slow enough to allow a new equilibrium to occur without any gas escaping. Even if methane gas does escape, it is still unclear how much of this could be oxidized in the overlying ocean. Models of the global inventory of hydrates and trapped methane bubbles suggest that a global 3 degrees C warming could release between 35 and 940 GtC, which could add up to an additional 0.5 degrees C to global warming. The destabilization of gas hydrate reserves in permafrost areas is more certain as climate models predict that high-latitude regions will be disproportionately affected by global warming with temperature increases of over 12 degrees C predicted for much of North America and Northern Asia. Our current estimates of gas hydrate storage in the Arctic region are, however, extremely poor and non-existent for Antarctica. The shrinking of both the Greenland and Antarctic ice sheets in response to regional warming may also lead to destabilization of gas hydrates. As ice sheets shrink, the weight removed allows the coastal region and adjacent continental slope to rise through isostacy. This removal of hydrostatic pressure could destabilize gas hydrates, leading to massive slope failure, and may increase the risk of tsunamis.</t>
  </si>
  <si>
    <t>[Maslin, Mark; Owen, Matthew; Dunkley Jones, Tom] UCL, Dept Geog, London WC1E 6BT, England; [Day, Simon] UCL, Aon Benfield Hazard Res Ctr, Dept Earth Sci, London WC1E 6BT, England; [Betts, Richard] Met Off, Hadley Ctr, Exeter EX1 3PB, Devon, England; [Dunkley Jones, Tom] Univ London Imperial Coll Sci Technol &amp; Med, Dept Earth Sci &amp; Engn, London SW7 2AZ, England; [Ridgwell, Andrew] Univ Bristol, Dept Geog, Bristol BS8 1TH, Avon, England</t>
  </si>
  <si>
    <t>University of London; University College London; University of London; University College London; Met Office - UK; Hadley Centre; Imperial College London; University of Bristol</t>
  </si>
  <si>
    <t>Maslin, M (corresponding author), UCL, Dept Geog, Pearson Bldg,Gower St, London WC1E 6BT, England.</t>
  </si>
  <si>
    <t>mmaslin@geog.ucl.ac.uk</t>
  </si>
  <si>
    <t>Ridgwell, Andy/AAD-9487-2021; Betts, Richard A/P-8976-2015; Owen, Matthew/L-2970-2013; Dunkley Jones, Tom/A-8441-2008</t>
  </si>
  <si>
    <t>Ridgwell, Andy/0000-0003-2333-0128; Betts, Richard A/0000-0002-4929-0307; Owen, Matthew/0000-0001-7119-4656; Maslin, Mark/0000-0001-9957-3463; Dunkley Jones, Tom/0000-0002-9518-8143</t>
  </si>
  <si>
    <t>NERC QUEST dPETM ( [NE/F001622/1]; MethaneNet [NE/H001964/1]; Natural Environment Research Council [NE/F001622/1, NE/H001964/1] Funding Source: researchfish; NERC [NE/H001964/1, NE/F001622/1] Funding Source: UKRI</t>
  </si>
  <si>
    <t>NERC QUEST dPETM (; MethaneNet; Natural Environment Research Council(UK Research &amp; Innovation (UKRI)Natural Environment Research Council (NERC)); NERC(UK Research &amp; Innovation (UKRI)Natural Environment Research Council (NERC))</t>
  </si>
  <si>
    <t>We would like to thank Dave Tappin, John Rees and Chris Rochelle for their excellent reviews. We would like to acknowledge the support of NERC QUEST dPETM (NE/F001622/1) and MethaneNet NE/H001964/1.</t>
  </si>
  <si>
    <t>10.1098/rsta.2010.0065</t>
  </si>
  <si>
    <t>590ND</t>
  </si>
  <si>
    <t>WOS:000277232300004</t>
  </si>
  <si>
    <t>Skinner, LC; Fallon, S; Waelbroeck, C; Michel, E; Barker, S</t>
  </si>
  <si>
    <t>Skinner, L. C.; Fallon, S.; Waelbroeck, C.; Michel, E.; Barker, S.</t>
  </si>
  <si>
    <t>Ventilation of the Deep Southern Ocean and Deglacial CO2 Rise</t>
  </si>
  <si>
    <t>ATMOSPHERIC CO2; CARBON-CYCLE; ICE CORES; LAST; CALIBRATION; ATLANTIC; EVENTS; KYR; VARIABILITY; TRANSPORT</t>
  </si>
  <si>
    <t>Past glacial-interglacial increases in the concentration of atmospheric carbon dioxide (CO2) are thought to arise from the rapid release of CO2 sequestered in the deep sea, primarily via the Southern Ocean. Here, we present radiocarbon evidence from the Atlantic sector of the Southern Ocean that strongly supports this hypothesis. We show that during the last glacial period, deep water circulating around Antarctica was more than two times older than today relative to the atmosphere. During deglaciation, the dissipation of this old and presumably CO2-enriched deep water played an important role in the pulsed rise of atmospheric CO2 through its variable influence on the upwelling branch of the Antarctic overturning circulation.</t>
  </si>
  <si>
    <t>[Skinner, L. C.] Univ Cambridge, Dept Earth Sci, Godwin Lab Palaeoclimate Res, Cambridge CB2 3EQ, England; [Fallon, S.] Australian Natl Univ, Res Sch Earth Sci, Canberra, ACT 0200, Australia; [Waelbroeck, C.; Michel, E.] UVSQ, CEA, Lab CNRS,Inst Pierre Simon Laplace, Lab Sci Climat &amp; Environm, F-91198 Gif Sur Yvette, France; [Barker, S.] Cardiff Univ, Sch Earth &amp; Ocean Sci, Cardiff CF10 3YE, S Glam, Wales</t>
  </si>
  <si>
    <t>University of Cambridge; Australian National University; CEA; Centre National de la Recherche Scientifique (CNRS); Universite Paris Saclay; Universite Paris Cite; Cardiff University</t>
  </si>
  <si>
    <t>Skinner, LC (corresponding author), Univ Cambridge, Dept Earth Sci, Godwin Lab Palaeoclimate Res, Downing St, Cambridge CB2 3EQ, England.</t>
  </si>
  <si>
    <t>lcs32@esc.cam.ac.uk</t>
  </si>
  <si>
    <t>Stephen, Barker/C-2770-2009; Fallon, Stewart/G-6645-2011</t>
  </si>
  <si>
    <t>waelbroeck, claire/0000-0002-7256-5727; Barker, Stephen/0000-0001-7870-6431; Michel, Elisabeth/0000-0001-7810-8888; Fallon, Stewart/0000-0002-8064-5903</t>
  </si>
  <si>
    <t>Royal Society; Natural Environment Research Council [1245.1007]; ANU; Christ's College; Centre National de la Recherche Scientifique; Institut National des Sciences de l'Univers; Commissariat a l'Energie Atomique; Natural Environment Research Council [NRCF010001] Funding Source: researchfish; NERC [NRCF010001] Funding Source: UKRI</t>
  </si>
  <si>
    <t>Royal Society(Royal Society); Natural Environment Research Council(UK Research &amp; Innovation (UKRI)Natural Environment Research Council (NERC)); ANU(Australian National University); Christ's College; Centre National de la Recherche Scientifique(Centre National de la Recherche Scientifique (CNRS)); Institut National des Sciences de l'Univers; Commissariat a l'Energie Atomique(French Atomic Energy Commission); Natural Environment Research Council(UK Research &amp; Innovation (UKRI)Natural Environment Research Council (NERC)); NERC(UK Research &amp; Innovation (UKRI)Natural Environment Research Council (NERC))</t>
  </si>
  <si>
    <t>We are grateful to N. Caillon, F. Dewilde, G. Isguder, H. Rebaubier, L. Booth, P. Ljubic, and K. James for technical assistance. A. Parnell provided generous and invaluable help with Bchron, and P. Kohler very kindly provided unpublished Delta14Catm simulations. We thank R. Gersonde and A. Mackensen for sharing their South Atlantic expertise, and we acknowledge the crew of the R/V Marion Dufresne and the Paul Emile Victor Institute (IPEV) who collected core MD07-3076CQ. This work was funded by the Royal Society, by Natural Environment Research Council Radiocarbon grant 1245.1007, and via a University Fellowship held by L. C. S. This work was facilitated by a visiting fellowship held by L. C. S. at ANU and by travel grants from the Royal Society and Christ's College. C. W. and E. M. are supported financially by Centre National de la Recherche Scientifique, Institut National des Sciences de l'Univers, and Commissariat a l'Energie Atomique. This is Laboratoire des Sciences du Climat et l'Environnement contribution 4188.</t>
  </si>
  <si>
    <t>10.1126/science.1183627</t>
  </si>
  <si>
    <t>601YR</t>
  </si>
  <si>
    <t>WOS:000278104700041</t>
  </si>
  <si>
    <t>Merlino, A; Vergara, A; Sica, F; Aschi, M; Amadei, A; Di Nola, A; Mazzarella, L</t>
  </si>
  <si>
    <t>Merlino, Antonello; Vergara, Alessandro; Sica, Filomena; Aschi, Massimiliano; Amadei, Andrea; Di Nola, Alfredo; Mazzarella, Lelio</t>
  </si>
  <si>
    <t>Free-Energy Profile for CO Binding to Separated Chains of Human and Trematomus newnesi Hemoglobin: Insights from Molecular Dynamics Simulations and Perturbed Matrix Method</t>
  </si>
  <si>
    <t>JOURNAL OF PHYSICAL CHEMISTRY B</t>
  </si>
  <si>
    <t>TERMINAL SWAPPED DIMER; BETA-GLOBIN CHAINS; TETRAMERIC HEMOGLOBIN; CRYSTALLOGRAPHIC CHARACTERIZATION; MIGRATION PATHWAYS; CHEMICAL-REACTIONS; CRYSTAL-STRUCTURE; ESCHERICHIA-COLI; COMPLEX-SYSTEMS; CARBON-MONOXIDE</t>
  </si>
  <si>
    <t>The free-energy profile and the classical kinetics of the heme carbomonoxide binding-unbinding reaction have been derived by means of a theoretical method for the separated chains of human (HbA) and Trematomus newnesi major component (HbTn) hemoglobin. The results reveal that the alpha- and beta-chains of HbA have similar values of kinetic constants for the dissociation of the Fe-CO state, in agreement with experimental data. Comparisons of the present findings with the data obtained for the alpha- and beta-chains of HbTn and with theoretical and experimental results previously collected on myoglobin provide a detailed picture of this important biochemical reaction in globins. The sequence and structural differences among the globins are not reflected in meaningful variations in the rate of CO dissociation. These data support the conclusion that the differences observed for the reaction with CO of globins, if any, involve the rate of ligand migration to the solvent, rather than the Fe-CO complex formation/rupture. Furthermore, our results agree with the recent discovery that globin family proteins exhibit common dynamics, thus confirming the observation that the dynamic properties of proteins are strongly related to their overall architecture.</t>
  </si>
  <si>
    <t>[Merlino, Antonello; Vergara, Alessandro; Sica, Filomena; Mazzarella, Lelio] Univ Naples Federico II, Dipartimento Chim, I-80126 Naples, Italy; [Merlino, Antonello; Vergara, Alessandro; Sica, Filomena; Mazzarella, Lelio] CNR, Ist Biostrutture &amp; Bioimmagini, I-80134 Naples, Italy; [Aschi, Massimiliano] Univ Aquila, Dipartimento Chim Ingn Chim &amp; Mat, I-67010 Coppito, Italy; [Amadei, Andrea] Univ Roma Tor Vergata, Dipartimento Sci &amp; Tecnol Chim, I-00133 Rome, Italy; [Di Nola, Alfredo] Univ Roma La Sapienza, Dipartimento Chim, I-00185 Rome, Italy</t>
  </si>
  <si>
    <t>University of Naples Federico II; Consiglio Nazionale delle Ricerche (CNR); Istituto di Biostrutture e Bioimmagini (IBB-CNR); University of L'Aquila; University of Rome Tor Vergata; Sapienza University Rome</t>
  </si>
  <si>
    <t>Merlino, A (corresponding author), Univ Naples Federico II, Dipartimento Chim, Complesso Univ Monte S Angelo,Via Cinthia, I-80126 Naples, Italy.</t>
  </si>
  <si>
    <t>antonello.merlino@unina.it</t>
  </si>
  <si>
    <t>Merlino, Antonello/0000-0002-1045-7720; Vergara, Alessandro/0000-0003-4135-0245; amadei, andrea/0000-0001-9488-0536; aschi, massimiliano/0000-0003-2959-0158</t>
  </si>
  <si>
    <t>PNRA (Italian National Programme for Antarctic Research); Scientific Committee for Antarctic Research (SCAR); Ministero Italian dell'Universita e della Ricerca Scientifica</t>
  </si>
  <si>
    <t>This work was financially supported by PNRA (Italian National Programme for Antarctic Research) in the framework of the programme Evolution and Biodiversity in the Antarctic (EBA), sponsored by the Scientific Committee for Antarctic Research (SCAR) and by the Ministero Italian dell'Universita e della Ricerca Scientifica (PRIN 2007 Struttura, funzione ed evoluzione di emoproteine da organismi marini artici ed antartici: meccanismi di adattamento al freddo e acquisizione di nuove funzioni).</t>
  </si>
  <si>
    <t>1520-6106</t>
  </si>
  <si>
    <t>1520-5207</t>
  </si>
  <si>
    <t>J PHYS CHEM B</t>
  </si>
  <si>
    <t>J. Phys. Chem. B</t>
  </si>
  <si>
    <t>MAY 27</t>
  </si>
  <si>
    <t>10.1021/jp908525s</t>
  </si>
  <si>
    <t>597RC</t>
  </si>
  <si>
    <t>WOS:000277776800029</t>
  </si>
  <si>
    <t>Kumar, SP; Narvekar, J; Nuncio, M; Kumar, A; Ramaiah, N; Sardesai, S; Gauns, M; Fernandes, V; Paul, J</t>
  </si>
  <si>
    <t>Kumar, S. Prasanna; Narvekar, Jayu; Nuncio, M.; Kumar, Ajoy; Ramaiah, N.; Sardesai, S.; Gauns, Mangesh; Fernandes, Veronica; Paul, Jane</t>
  </si>
  <si>
    <t>Is the biological productivity in the Bay of Bengal light limited?</t>
  </si>
  <si>
    <t>Chlorophyll; diffuse attenuation; light limitation; eddy-pumping; photosynthetically active radiation; primary productivity; nutrients</t>
  </si>
  <si>
    <t>NUTRIENTS</t>
  </si>
  <si>
    <t>Recent measurements of chlorophyll, primary productivity (PP) and nutrients along the central Bay of Bengal (BOB) during summer, fall and spring intermonsoons showed that the northern bay becomes less productive compared to the south in summer and fall intermonsoon, in spite of the nutrient input to the upper ocean by way of river influx as well as eddy-pumping. Along the western boundary also, highest PP in the northern bay did not occur during summer or in the fall intermonsoon, but occurred in the spring intermonsoon. The reason for this was explored using diffuse attenuation (K-d(490)) and photosynthetically active radiation (PAR) which indicates the influence of the river flux in curtailing the downward penetration of solar radiation and cloud cover respectively. During summer and fall intermonsoon, biological productivity in the northern BOB is severely limited by the reduced downward penetration of solar radiation due to the large quantities of sediment brought by the adjoining rivers. Though the cloud cover reduces PAR in the northern BOB, this has only a secondary effect in comparison to the light limitation due to turbidity, which showed an order of magnitude increase in the northern Bay.</t>
  </si>
  <si>
    <t>[Kumar, S. Prasanna; Narvekar, Jayu; Ramaiah, N.; Sardesai, S.; Gauns, Mangesh; Fernandes, Veronica; Paul, Jane] Natl Inst Oceanog, Panaji 403004, Goa, India; [Nuncio, M.] Natl Ctr Antarctic &amp; Ocean Res, Goa 403804, India; [Kumar, Ajoy] Millersville Univ Pennsylvania, Dept Earth Sci, Millersville, PA 17551 USA</t>
  </si>
  <si>
    <t>Council of Scientific &amp; Industrial Research (CSIR) - India; CSIR - National Institute of Oceanography (NIO); Ministry of Earth Sciences (MoES) - India; National Centre for Polar and Ocean Research (NCPOR); Pennsylvania State System of Higher Education (PASSHE); Millersville University of Pennsylvania</t>
  </si>
  <si>
    <t>Fernandes, Veronica/L-2989-2019; Gauns, Mangesh/AAT-9684-2021; Ramaiah, Nagappa/AAV-3530-2021</t>
  </si>
  <si>
    <t>Gauns, Mangesh/0000-0002-4737-9252;</t>
  </si>
  <si>
    <t>Department of Ocean Development; NIO, Goa; Council of Scientific and Industrial Research (CSIR), New Delhi</t>
  </si>
  <si>
    <t>Department of Ocean Development; NIO, Goa; Council of Scientific and Industrial Research (CSIR), New Delhi(Council of Scientific &amp; Industrial Research (CSIR) - India)</t>
  </si>
  <si>
    <t>We thank P. M. Muraleedharan, late G. Nampoothiri, and Gourish Salgaonkar for help in data collection and analysis, and Pawaskar for preparing the diagrams. This work was supported by the Department of Ocean Development under the program Bay of Bengal Process Studies (BOBPS). We acknowledge Director, NIO, Goa and Council of Scientific and Industrial Research (CSIR), New Delhi for all the support and encouragement. M.N., J.N., V.F. and J.P. are supported by the Senior Research Fellowship of CSIR. This is NIO contribution number 4750.</t>
  </si>
  <si>
    <t>MAY 25</t>
  </si>
  <si>
    <t>605AN</t>
  </si>
  <si>
    <t>WOS:000278319800017</t>
  </si>
  <si>
    <t>Pisciotta, JM; Zou, Y; Baskakov, IV</t>
  </si>
  <si>
    <t>Pisciotta, John M.; Zou, Yongjin; Baskakov, Ilia V.</t>
  </si>
  <si>
    <t>Light-Dependent Electrogenic Activity of Cyanobacteria</t>
  </si>
  <si>
    <t>MARINE; ENERGY; CELLS; PHOTOTAXIS; DIVERSITY; SYSTEMS; SITE; CO2</t>
  </si>
  <si>
    <t>Background: Cyanobacteria account for 20-30% of Earth's primary photosynthetic productivity and convert solar energy into biomass-stored chemical energy at the rate of similar to 450 TW [1]. These single-cell microorganisms are resilient predecessors of all higher oxygenic phototrophs and can be found in self-sustaining, nitrogen-fixing communities the world over, from Antarctic glaciers to the Sahara desert [2]. Methodology/Principal Findings: Here we show that diverse genera of cyanobacteria including biofilm-forming and pelagic strains have a conserved light-dependent electrogenic activity, i.e. the ability to transfer electrons to their surroundings in response to illumination. Naturally-growing biofilm-forming photosynthetic consortia also displayed light-dependent electrogenic activity, demonstrating that this phenomenon is not limited to individual cultures. Treatment with site-specific inhibitors revealed the electrons originate at the photosynthetic electron transfer chain (P-ETC). Moreover, electrogenic activity was observed upon illumination only with blue or red but not green light confirming that P-ETC is the source of electrons. The yield of electrons harvested by extracellular electron acceptor to photons available for photosynthesis ranged from 0.05% to 0.3%, although the efficiency of electron harvesting likely varies depending on terminal electron acceptor. Conclusions/Significance: The current study illustrates that cyanobacterial electrogenic activity is an important microbiological conduit of solar energy into the biosphere. The mechanism responsible for electrogenic activity in cyanobacteria appears to be fundamentally different from the one exploited in previously discovered electrogenic bacteria, such as Geobacter, where electrons are derived from oxidation of organic compounds and transported via a respiratory electron transfer chain (R-ETC) [3,4]. The electrogenic pathway of cyanobacteria might be exploited to develop light-sensitive devices or future technologies that convert solar energy into limited amounts of electricity in a self-sustainable, CO2-free manner.</t>
  </si>
  <si>
    <t>[Pisciotta, John M.; Zou, Yongjin; Baskakov, Ilia V.] Univ Maryland, Ctr Biomed Engn &amp; Technol, Baltimore, MD 21201 USA</t>
  </si>
  <si>
    <t>University System of Maryland; University of Maryland Baltimore</t>
  </si>
  <si>
    <t>Pisciotta, JM (corresponding author), Univ Maryland, Ctr Biomed Engn &amp; Technol, Baltimore, MD 21201 USA.</t>
  </si>
  <si>
    <t>baskakov@umaryland.edu</t>
  </si>
  <si>
    <t>Zou, Yongjin/B-2830-2015</t>
  </si>
  <si>
    <t>Zou, Yongjin/0000-0002-9012-2639</t>
  </si>
  <si>
    <t>Elkins Professorship Award</t>
  </si>
  <si>
    <t>This research was supported by Elkins Professorship Award. The funder had no role in study design, data collection and analysis, decision to publish, or preparation of the manuscript.</t>
  </si>
  <si>
    <t>e10821</t>
  </si>
  <si>
    <t>10.1371/journal.pone.0010821</t>
  </si>
  <si>
    <t>601CE</t>
  </si>
  <si>
    <t>WOS:000278034800016</t>
  </si>
  <si>
    <t>Lörz, AN</t>
  </si>
  <si>
    <t>Loerz, Anne-Nina</t>
  </si>
  <si>
    <t>Deep-sea Rhachotropis (Crustacea: Amphipoda: Eusiridae) from New Zealand and the Ross Sea with key to the Pacific, Indian Ocean and Antarctic species</t>
  </si>
  <si>
    <t>Amphipoda; Rhachotropis; New Zealand; Antarctica; COI; epibionts</t>
  </si>
  <si>
    <t>The amphipod genus Rhachotropis has a worldwide distribution. Four species new to science are described, increasing the total number of Rhachotropis species to 59. Only one species was previously known from New Zealand and none from the Ross Sea. Two species Rhachotropis chathamensis sp. nov. and R. delicata sp. nov. were collected at the same station in 420 m depth off eastern New Zealand; R. rossi sp. nov. and R. abyssalis sp. nov. were collected below 3000 m depth in the Ross Sea, Antarctica. Investigation of recently collected material as well as historic material from the NIWA Invertebrate collection revealed several specimens of Rhachotropis antarctica K. H. Barnard, 1932 sampled in the Ross Sea. Four damaged Rhachotropis specimens, recently collected from 5170 m in the Kermadec Trench, north of New Zealand, are reported. Epibionts have been discovered on the mouthparts of several specimens from New Zealand as well as the Ross Sea. Preliminary molecular investigations of the phylogeney of Rhachotropis are briefly discussed. A key to Pacific, Indian Ocean and Antarctic species of Rhachotropis is provided.</t>
  </si>
  <si>
    <t>Natl Inst Water &amp; Atmospher Res, Kilbirnie Wellington, New Zealand</t>
  </si>
  <si>
    <t>National Institute of Water &amp; Atmospheric Research (NIWA) - New Zealand</t>
  </si>
  <si>
    <t>Lörz, AN (corresponding author), Natl Inst Water &amp; Atmospher Res, Private Bag 14901, Kilbirnie Wellington, New Zealand.</t>
  </si>
  <si>
    <t>a.loerz@niwa.co.nz</t>
  </si>
  <si>
    <t>New Zealand's Ministry of Fisheries; New Zealand Science Foundation [C01X0502]; [IPY200701]</t>
  </si>
  <si>
    <t>New Zealand's Ministry of Fisheries; New Zealand Science Foundation;</t>
  </si>
  <si>
    <t>I am grateful to my colleagues for the excellent running of the NIWA Invertebrate Collection. Recent amphipod collections were made during RV Tangaroa voyages to the Chtham Rise (TAN0705), the western Ross Sea, BIOROSS (TAN0402), IPY (TAN0802) and RV Kaharoa voyage HADEEP #6 to the Kermadec Trench (KAH0910). New Zealand's Ministry of Fisheries provided part of the funding for the TAN expeditions. Erika McKay (NIWA) kindly inked most of the plates; David Bowden (NIWA) took the on board photograph of Rhachotropis abyssalis sp. nov.Dirk Steinke (University of Guelph) and Peter Smith (NIWA) provided barcode sequences for selected specimens. Niahm Kilgallen (NIWA) provided constructive critique to an earlier version of this paper. This research was funded by NIWA's Biodiversity &amp; Biosecurity program C01X0502 of the New Zealand Science Foundation and project IPY200701.</t>
  </si>
  <si>
    <t>MAY 24</t>
  </si>
  <si>
    <t>600UI</t>
  </si>
  <si>
    <t>WOS:000278014000002</t>
  </si>
  <si>
    <t>Holland, PR; Jenkins, A; Holland, DM</t>
  </si>
  <si>
    <t>Holland, Paul R.; Jenkins, Adrian; Holland, David M.</t>
  </si>
  <si>
    <t>Ice and ocean processes in the Bellingshausen Sea, Antarctica</t>
  </si>
  <si>
    <t>PENINSULA CONTINENTAL-SHELF; SOUTHERN-HEMISPHERE; SPATIAL VARIABILITY; CLIMATE VARIABILITY; MASS-BALANCE; MODEL; CIRCULATION; WEST; THICKNESS; TRENDS</t>
  </si>
  <si>
    <t>In the vicinity of the Antarctic Peninsula observations show diminishing sea ice and a rapid warming of atmosphere and ocean. These changes have led to the collapse of ice shelves and retreat, acceleration, and thinning of inland ice. However, ocean observations in the center of the nearby Bellingshausen Sea are spatially and temporally coarse. In this study, ocean and sea ice models forced by atmospheric reanalyses are used to investigate this data gap by simulating processes in the Bellingshausen Sea for the years 1979-2007. The model suggests flow features in the region and predicts the basal melting of local ice shelves. Modeled ocean conditions are found to be less variable than in the nearby Amundsen Sea, which is situated closer to foci of annual and interannual atmospheric variability. Melt rates beneath George VI Ice Shelf are investigated in detail, concluding that the ice shelf may have been melting out of balance (and therefore thinning) for decades. The melt rate contains significant interannual variability that the model links to variation in sea ice conditions offshore of the southern end of the ice shelf. This stands in contrast to the Amundsen Sea, where models suggest that ice shelf melting is controlled by variable transport of Circumpolar Deep Water onto the continental shelf.</t>
  </si>
  <si>
    <t>[Holland, Paul R.; Jenkins, Adrian] British Antarctic Survey, Cambridge CB3 0ET, England; [Holland, David M.] NYU, Courant Inst Math Sci, New York, NY 10012 USA</t>
  </si>
  <si>
    <t>UK Research &amp; Innovation (UKRI); Natural Environment Research Council (NERC); NERC British Antarctic Survey; New York University</t>
  </si>
  <si>
    <t>Holland, PR (corresponding author), British Antarctic Survey, Madingley Rd, Cambridge CB3 0ET, England.</t>
  </si>
  <si>
    <t>p.holland@bas.ac.uk; ajen@bas.ac.uk; holland@cims.nyu.edu</t>
  </si>
  <si>
    <t>Jenkins, Adrian/IUN-2406-2023; Holland, Paul R/G-2796-2012</t>
  </si>
  <si>
    <t>NERC [bas010014, bas0100028] Funding Source: UKRI; Natural Environment Research Council [bas010014, bas0100028] Funding Source: researchfish</t>
  </si>
  <si>
    <t>MAY 21</t>
  </si>
  <si>
    <t>C05020</t>
  </si>
  <si>
    <t>10.1029/2008JC005219</t>
  </si>
  <si>
    <t>600ED</t>
  </si>
  <si>
    <t>WOS:000277966500001</t>
  </si>
  <si>
    <t>Quillfeldt, P; Masello, JF; McGill, RAR; Adams, M; Furness, RW</t>
  </si>
  <si>
    <t>Quillfeldt, Petra; Masello, Juan F.; McGill, Rona A. R.; Adams, Mark; Furness, Robert W.</t>
  </si>
  <si>
    <t>Moving polewards in winter: a recent change in the migratory strategy of a pelagic seabird?</t>
  </si>
  <si>
    <t>FRONTIERS IN ZOOLOGY</t>
  </si>
  <si>
    <t>STABLE-ISOTOPE ANALYSIS; SOUTHERN INDIAN-OCEAN; PARTICULATE ORGANIC-MATTER; WILSONS STORM-PETRELS; KING-GEORGE-ISLAND; TROPHIC RELATIONSHIPS; FORAGING AREAS; FOOD-WEB; NORTHERN FULMARS; ADELIE PENGUINS</t>
  </si>
  <si>
    <t>Background: During the non-breeding period, many birds migrate to milder areas, found closer to the equator than their breeding sites. Opposite movements are very rare. In the Southern Ocean, the abundance of C-13 declines markedly with more southern latitude, providing a characteristic C-13 isoscape. This can be used as a tracer for the movement of seabirds between breeding and inter-breeding areas, by comparing stable isotope ratios of feathers grown at different times of the year. Results: We studied seasonal movements of Thin-billed prions (Aves, Procellariiformes), breeding at the Subantarctic Falkland/Malvinas Islands, compared with those of Wilson's storm-petrels breeding in the Antarctic South Shetland Islands. The two species showed opposite migratory movements. While Wilson's storm-petrels moved to warmer waters north of the Drake Passage in winter, Thin-billed prions showed a reversed movement towards more polar waters. Carbon stable isotope ratios in recent and historical feathers indicated that poleward winter movements of Thin-billed prions were less common historically (45% in 1913-1915), and have only recently become dominant (92% in 2003-2005), apparently in response to warming sea temperatures. Conclusions: This study shows that pelagic seabirds can rapidly change migration strategies within populations, including migration towards more poleward waters in winter.</t>
  </si>
  <si>
    <t>[Quillfeldt, Petra; Masello, Juan F.] Max Planck Inst Ornithol, D-78315 Radolfzell am Bodensee, Germany; [McGill, Rona A. R.] Scottish Univ Environm Res Ctr, NERC Life Sci Mass Spectrometry Facil, Glasgow G75 OQF, Lanark, Scotland; [Adams, Mark] Nat Hist Museum, Dept Zool, Tring HP23 6AP, Herts, England; [Furness, Robert W.] Univ Glasgow, Fac Biomed &amp; Life Sci, Glasgow G12 8QQ, Lanark, Scotland</t>
  </si>
  <si>
    <t>Max Planck Society; Natural History Museum London; University of Glasgow</t>
  </si>
  <si>
    <t>quillfeldt@orn.mpg.de</t>
  </si>
  <si>
    <t>McGill, Rona/F-1793-2010; Quillfeldt, Petra/A-9549-2009; McGill, Rona/JAC-6969-2023; Masello, Juan Francisco/C-7133-2009</t>
  </si>
  <si>
    <t>McGill, Rona/0000-0003-0400-7288; Quillfeldt, Petra/0000-0002-4450-8688; Masello, Juan Francisco/0000-0002-6826-4016</t>
  </si>
  <si>
    <t>New Island Conservation Trust (Ian Strange); NERC [lsmsf010002] Funding Source: UKRI; Natural Environment Research Council [lsmsf010002] Funding Source: researchfish</t>
  </si>
  <si>
    <t>New Island Conservation Trust (Ian Strange); NERC(UK Research &amp; Innovation (UKRI)Natural Environment Research Council (NERC)); Natural Environment Research Council(UK Research &amp; Innovation (UKRI)Natural Environment Research Council (NERC))</t>
  </si>
  <si>
    <t>We gratefully acknowledge logistic support from New Island Conservation Trust (Ian Strange), Falkland Islands Government, Alfred-Wegner-Institut Bremerhaven, Instituto Antartico Argentino, Friedrich-Schiller-Universitat Jena (Hans-Ulrich Peter) and Nancy Clum (WCS). Anja Gladbach, Felix Weiss and Amanda Duckworth helped preparing samples, and museum curators kindly provided samples (Buenos Aires: Pablo Tubaro, Wien: Ernst Bauernfeind, Anita Gamauf, Hamburg: Cordula Bracker, Cornell: Kimberly Bostwick, Leiden: Hein van Grouw, Porto Alegre: Emilio Antonio Jeckel Neto, Carla Suertegaray Fontana) or access to the collections (New York: Paul Sweet, Margaret Hart, La Plata: Carlos Darrieu). Gerhard Fischer provided a dataset used in the isoscape. Stable isotope analyses were funded by NERC (UK). PQ received funding for the fieldwork from Deutsche Forschungsgemeinschaft, Germany (Qu 148). The visit to the Tring collections was fundend by the European Union (SYNTHESYS GB-TAF-4731). We are grateful to three anonymous referees who provided helpful comments.</t>
  </si>
  <si>
    <t>BIOMED CENTRAL LTD</t>
  </si>
  <si>
    <t>236 GRAYS INN RD, FLOOR 6, LONDON WC1X 8HL, ENGLAND</t>
  </si>
  <si>
    <t>1742-9994</t>
  </si>
  <si>
    <t>FRONT ZOOL</t>
  </si>
  <si>
    <t>Front. Zool.</t>
  </si>
  <si>
    <t>MAY 19</t>
  </si>
  <si>
    <t>10.1186/1742-9994-7-15</t>
  </si>
  <si>
    <t>611DW</t>
  </si>
  <si>
    <t>WOS:000278792200001</t>
  </si>
  <si>
    <t>Hamelin, C; Dosso, L; Hanan, B; Barrat, JA; Ondréas, H</t>
  </si>
  <si>
    <t>Hamelin, Cedric; Dosso, Laure; Hanan, Barry; Barrat, Jean-Alix; Ondreas, Helene</t>
  </si>
  <si>
    <t>Sr-Nd-Hf isotopes along the Pacific Antarctic Ridge from 41 to 53°S</t>
  </si>
  <si>
    <t>MID-ATLANTIC RIDGE; GEOCHEMISTRY; ELEMENT; BASALTS; ORIGIN; SEGMENTATION; 56-DEGREES-S; MORPHOLOGY; CRUSTAL; SAMPLES</t>
  </si>
  <si>
    <t>Major, trace element and Sr-Nd-Hf isotope data in basalts collected along the Pacific-Antarctic Ridge ( PAR) axis between 53 and 41 S, far from any hotspot influence, reveal tight coherent geochemical variations within the depleted MORB mantle. All samples are located below the Pacific reference line defining two sub-oceanic mantle domains on each side of the Easter microplate. The data extend the PAR 66-53 S field towards more radiogenic Sr (0.70264), less radiogenic Nd (epsilon = 7.7) and Hf (epsilon = 11.4) values. The along ridge geochemical variability is closely related to the morphological segmentation of the ridge. Anomalous geochemical features are attributed to the atypical morphology of two segments due to the presence of off-axis magmatism. The first order ridge discontinuity defined by the Menard transform fault separates two slightly different mantle domains, each with its own history. Citation: Hamelin, C., L. Dosso, B. Hanan, J.-A. Barrat, and H. Ondreas (2010), Sr-Nd-Hf isotopes along the Pacific Antarctic Ridge from 41 to 53 S, Geophys. Res. Lett., 37, L10303, doi: 10.1029/2010GL042979.</t>
  </si>
  <si>
    <t>[Hamelin, Cedric; Barrat, Jean-Alix] UBO, IUEM, Lab Domaines Ocean, UMR 6538, F-29280 Plouzane, France; [Dosso, Laure] IFREMER, CNRS, UMR 6538, Lab Domaines Ocean, F-29280 Plouzane, France; [Hanan, Barry] San Diego State Univ, San Diego, CA 92182 USA</t>
  </si>
  <si>
    <t>Universite de Bretagne Occidentale; Institut Universitaire Europeen de la Mer (IUEM); Centre National de la Recherche Scientifique (CNRS); CNRS - National Institute for Earth Sciences &amp; Astronomy (INSU); Universite de Bretagne Occidentale; Ifremer; Centre National de la Recherche Scientifique (CNRS); CNRS - National Institute for Earth Sciences &amp; Astronomy (INSU); California State University System; San Diego State University</t>
  </si>
  <si>
    <t>Hamelin, C (corresponding author), IPGP, 4 Pl Jussieu, F-75252 Paris 05, France.</t>
  </si>
  <si>
    <t>hamelin@ipgp.fr; laure.dosso@univ-brest.fr; bhanan@mail.sdsu.edu; barrat@univ-brest.fr; helene.ondreas@ifremer.fr</t>
  </si>
  <si>
    <t>Jean-Alix, BARRAT/F-8035-2012; Dosso, Laure/A-9520-2009; Hamelin, Cédric/C-6656-2009; Barrat, Jean Alix/C-8416-2017</t>
  </si>
  <si>
    <t>Hanan, Barry/0000-0002-8240-2200; Barrat, Jean Alix/0000-0003-3158-3109</t>
  </si>
  <si>
    <t>CNRS/INSU; IFREMER; NSF</t>
  </si>
  <si>
    <t>CNRS/INSU(Centre National de la Recherche Scientifique (CNRS)); IFREMER; NSF(National Science Foundation (NSF))</t>
  </si>
  <si>
    <t>This work was funded by CNRS/INSU and IFREMER. We wish to thank the Captain, Michel Houmard, and the Crew of R/VL'Atalante for their efforts and expertise during the PACANTARCTIC2 cruise. This Hf isotope work was supported by NSF grants to Barry Hanan. We thank Joan Miller for technical assistance at SDSU. We acknowledge Manuel Moreira and two anonymous reviewers for their valuable comments. We also want to thank Jo Cotten (ICP-AES) and Joel Etoubleau (XRF) for their careful analytical work.</t>
  </si>
  <si>
    <t>L10303</t>
  </si>
  <si>
    <t>10.1029/2010GL042979</t>
  </si>
  <si>
    <t>600DA</t>
  </si>
  <si>
    <t>WOS:000277963200003</t>
  </si>
  <si>
    <t>Weijer, W</t>
  </si>
  <si>
    <t>Weijer, Wilbert</t>
  </si>
  <si>
    <t>An almost-free barotropic mode in the Australian-Antarctic Basin</t>
  </si>
  <si>
    <t>SEA-LEVEL VARIABILITY; SOUTHERN-OCEAN; GENERAL-CIRCULATION; TOPEX/POSEIDON DATA; WIND</t>
  </si>
  <si>
    <t>The Australian-Antarctic Basin (AAB) is known for its high levels of intraseasonal variability; sea-surface height variability exceeds background values by factors of 2 over thousands of kilometers. This paper addresses the hypothesis that this variability is caused by trapping of barotropic energy by the basin geometry. Analysis of a multi-year integration of a shallow-water model shows that the variability is dominated by a single, large-scale statistical mode that is highly coherent over the entire AAB. The flow associated with this mode is northwestward along the Southeast Indian Ridge, southward in the Kerguelen Abyssal Plain, and eastward in the southern AAB. The mode is interpreted as an almost-free topographically trapped mode, as it is confined by contours of potential vorticity that almost entirely enclose the AAB. The apex of the Wilkes Abyssal Plain represents the strongest barrier to the modal circulation: here velocities are strongest, making it a key area for dissipation of kinetic energy through bottom friction and eddy viscosity. Citation: Weijer, W. (2010), An almost-free barotropic mode in the Australian-Antarctic Basin, Geophys. Res. Lett., 37, L10602, doi: 10.1029/2010GL042657.</t>
  </si>
  <si>
    <t>Los Alamos Natl Lab, Los Alamos, NM 87545 USA</t>
  </si>
  <si>
    <t>United States Department of Energy (DOE); Los Alamos National Laboratory</t>
  </si>
  <si>
    <t>Weijer, W (corresponding author), Los Alamos Natl Lab, CCS 2,MS B296, Los Alamos, NM 87545 USA.</t>
  </si>
  <si>
    <t>wilbert@lanl.gov</t>
  </si>
  <si>
    <t>Weijer, Wilbert/A-7909-2010; Weijer, Wilbert/AAT-3247-2021</t>
  </si>
  <si>
    <t>Weijer, Wilbert/0000-0002-5654-562X; Weijer, Wilbert/0000-0002-5654-562X</t>
  </si>
  <si>
    <t>U.S. Department of Energy Office of Science [DE-AC52-06NA25396]; NSF-OCE [0928473]; Division Of Ocean Sciences; Directorate For Geosciences [0928473] Funding Source: National Science Foundation</t>
  </si>
  <si>
    <t>U.S. Department of Energy Office of Science(United States Department of Energy (DOE)); NSF-OCE(National Science Foundation (NSF)NSF - Directorate for Geosciences (GEO)); Division Of Ocean Sciences; Directorate For Geosciences(National Science Foundation (NSF)NSF - Directorate for Geosciences (GEO))</t>
  </si>
  <si>
    <t>This research was supported by the Climate Change Prediction Program of the U.S. Department of Energy Office of Science and by NSF-OCE award 0928473. Los Alamos National Laboratory is operated by the Los Alamos National Security, LLC for the National Nuclear Security Administration of the U.S. Department of Energy under contract DE-AC52-06NA25396. Wind stress curl data were provided by the Data Support Section of the Computational and Information Systems Laboratory at the National Center for Atmospheric Research. Constructive comments by Matthew Hecht and two anonymous reviewers are gratefully acknowledged.</t>
  </si>
  <si>
    <t>L10602</t>
  </si>
  <si>
    <t>10.1029/2010GL042657</t>
  </si>
  <si>
    <t>WOS:000277963200001</t>
  </si>
  <si>
    <t>Dmitrenko, IA; Wegner, C; Kassens, H; Kirillov, SA; Krumpen, T; Heinemann, G; Helbig, A; Schröder, D; Hölemann, JA; Klagge, T; Tyshko, KP; Busche, T</t>
  </si>
  <si>
    <t>Dmitrenko, Igor A.; Wegner, Carolyn; Kassens, Heidemarie; Kirillov, Sergey A.; Krumpen, Thomas; Heinemann, Guenther; Helbig, Alfred; Schroeder, David; Hoelemann, Jens A.; Klagge, Torben; Tyshko, Konstantin P.; Busche, Thomas</t>
  </si>
  <si>
    <t>Observations of supercooling and frazil ice formation in the Laptev Sea coastal polynya</t>
  </si>
  <si>
    <t>WATER; SHELF</t>
  </si>
  <si>
    <t>This paper examines a hydrographic response to the wind-driven coastal polynya activity over the southeastern Laptev Sea shelf for April-May 2008, using a combination of Environmental Satellite (Envisat) advanced synthetic aperture radar (ASAR) and TerraSAR-X satellite imagery, aerial photography, meteorological data, and SBE-37 salinity-temperature-depth and acoustic Doppler current profiler land-fast ice edge-moored instruments. When ASAR observed the strongest end-of-April polynya event with frazil ice formation, the moored instruments showed maximal acoustical scattering within the surface mixed layer, and the seawater temperatures were either at or 0.02 degrees C below freezing. We also find evidence of the persistent horizontal temperature and salinity gradients across the fast ice edge to have the signature of geostrophic flow adjustment as predicted by polynya models.</t>
  </si>
  <si>
    <t>[Dmitrenko, Igor A.; Wegner, Carolyn; Kassens, Heidemarie; Klagge, Torben] Univ Kiel IFM GEOMAR, Leibniz Inst Marine Sci, D-24148 Kiel, Germany; [Kirillov, Sergey A.; Tyshko, Konstantin P.] Artic &amp; Antarctic Res Inst, St Petersburg 199397, Russia; [Krumpen, Thomas; Hoelemann, Jens A.] Alfred Wegener Inst Polar &amp; Marine Res, D-27568 Bremerhaven, Germany; [Heinemann, Guenther; Helbig, Alfred; Schroeder, David] Univ Trier, Dept Environm Meteorol, D-54286 Trier, Germany; [Busche, Thomas] Microwaves &amp; Radar Inst, German Aeropace Ctr, Oberpfaffenhofen, Germany</t>
  </si>
  <si>
    <t>Helmholtz Association; GEOMAR Helmholtz Center for Ocean Research Kiel; University of Kiel; Helmholtz Association; Alfred Wegener Institute, Helmholtz Centre for Polar &amp; Marine Research; Universitat Trier; Helmholtz Association; German Aerospace Centre (DLR)</t>
  </si>
  <si>
    <t>Krumpen, Thomas/D-5163-2011; Hoelemann, Jens/N-3608-2016</t>
  </si>
  <si>
    <t>Krumpen, Thomas/0000-0001-6234-8756; Hoelemann, Jens/0000-0001-5102-4086; Heinemann, Gunther/0000-0002-4831-9016; Dmitrenko, Igor/0000-0001-8388-7839</t>
  </si>
  <si>
    <t>C05015</t>
  </si>
  <si>
    <t>10.1029/2009JC005798</t>
  </si>
  <si>
    <t>600EB</t>
  </si>
  <si>
    <t>WOS:000277966300003</t>
  </si>
  <si>
    <t>Hong, S</t>
  </si>
  <si>
    <t>Hong, Sungwook</t>
  </si>
  <si>
    <t>Detection of small-scale roughness and refractive index of sea ice in passive satellite microwave remote sensing</t>
  </si>
  <si>
    <t>REMOTE SENSING OF ENVIRONMENT</t>
  </si>
  <si>
    <t>Sea ice; Small-scale roughness; Refractive index; Microwave; Remote sensing</t>
  </si>
  <si>
    <t>FRESNEL REFLECTANCE EQUATIONS; SURFACE-ROUGHNESS; REFLECTIVITY MODEL; EMISSIVITY; TEMPERATURE; VARIABILITY; RETRIEVAL; ALGORITHM; IMAGERY; IMPACT</t>
  </si>
  <si>
    <t>Polar ice masses and sheets are sensitive indicators of climate change. Small-scale surface roughness significantly impacts the microwave emission of the sea ice/snow surface; however, published results of surface roughness measurements of sea ice are rare. Knowing the refractive index is important to discriminate between objects. In this study, the small-scale roughness and refractive index over sea ice are estimated with AMSR-E observations and a unique method. Consequently, the small-scale surface roughness of 0.25 cm to 0.5 cm at AMSR-E 6.9 GHz shows reasonable agreement with the results of known observations, ranging from 0.2 cm to 0.6 cm for the sea ice in the Antarctic and Arctic regions. The refractive indexes are retrieved from 1.6 to 1.8 for winter, from 1.2 to 1.4 for summer in the Arctic and the Antarctic, which are similar to those of the sea ice and results from previous studies. This research shows the physical characteristics of the sea ice edges and melting process. Accordingly, this investigation provides an effective procedure for retrieving the small-scale roughness and refractive index of sea ice and snow. Another advantage of this study is the ability to distinguish sea ice from the sea surface by their relative small-scale roughness. (C) 2009 Elsevier Inc. All rights reserved.</t>
  </si>
  <si>
    <t>Korea Meteorol Adm, Natl Meteorol Satellite Ctr, Jincheon Gun 365831, Chungcheongbuk, South Korea</t>
  </si>
  <si>
    <t>Korea Meteorological Administration (KMA)</t>
  </si>
  <si>
    <t>Hong, S (corresponding author), Korea Meteorol Adm, Natl Meteorol Satellite Ctr, Jincheon Gun 365831, Chungcheongbuk, South Korea.</t>
  </si>
  <si>
    <t>sesttiya@gmail.com</t>
  </si>
  <si>
    <t>National Meteorological Satellite Center [153-3100-3137-302-210-13]</t>
  </si>
  <si>
    <t>National Meteorological Satellite Center</t>
  </si>
  <si>
    <t>The authors thank anonymous reviewers for constructive comments on the manuscript. This work is supported by the National Meteorological Satellite Center (Project No. 153-3100-3137-302-210-13).</t>
  </si>
  <si>
    <t>0034-4257</t>
  </si>
  <si>
    <t>1879-0704</t>
  </si>
  <si>
    <t>REMOTE SENS ENVIRON</t>
  </si>
  <si>
    <t>Remote Sens. Environ.</t>
  </si>
  <si>
    <t>MAY 17</t>
  </si>
  <si>
    <t>10.1016/j.rse.2009.12.015</t>
  </si>
  <si>
    <t>Environmental Sciences; Remote Sensing; Imaging Science &amp; Photographic Technology</t>
  </si>
  <si>
    <t>Environmental Sciences &amp; Ecology; Remote Sensing; Imaging Science &amp; Photographic Technology</t>
  </si>
  <si>
    <t>571UH</t>
  </si>
  <si>
    <t>WOS:000275780800019</t>
  </si>
  <si>
    <t>Thoma, M; Grosfeld, K; Smith, AM; Mayer, C</t>
  </si>
  <si>
    <t>Thoma, Malte; Grosfeld, Klaus; Smith, Andrew M.; Mayer, Christoph</t>
  </si>
  <si>
    <t>A comment on the Equation of State and the freezing point equation with respect to subglacial lake modelling</t>
  </si>
  <si>
    <t>subglacial lakes; Equation of State; freezing point equation; numerical modelling; ice-ocean interaction; Lake Vostok; Lake Concordia; Lake Ellsworth; Antarctica</t>
  </si>
  <si>
    <t>COORDINATE OCEAN MODEL; POTENTIAL TEMPERATURE; ICE; CIRCULATION; VOSTOK; FLOW; DENSITY; WATER; THERMODYNAMICS; ANTARCTICA</t>
  </si>
  <si>
    <t>The empirical Equation of State (EOS) allows the calculation of the density of water in dependence of salinity, temperature, and pressure. Water density is an important quantity to determine the internal structure and flow regime of ocean and lakes. Hence, its exact representation in numerical models is of utmost importance for the specific simulation results. The three parameters namely salinity, temperature, and pressure have a complex interdependency on the EOS. Whether warmer water parcels sink or rise, therefore depends on the surrounding salinity and pressure. The empirical Equation of Freezing Point (EOFP) allows to calculate the pressure- and salinity-dependent freezing point of water. Both equations are necessary to model the basal mass balance below Antarctic ice shelves or at the ice-water interface of subglacial lakes. This article aims three tasks: first we comment on the most common formulations of the EOS and the EOFP applied in numerical ocean and lake models during the past decades. Then we describe the impact of the recent and selfconsistent Gibbs thermodynamic potential formulation of the EOS and the EOFP on subglacial lake modelling. Finally, we show that the circulation regime of subglacial lakes covered by at least 3000 m of ice, in principle, is independent of the particular formulation, in contrast to lakes covered by a shallower ice sheet, like e.g., Subglacial Lake Ellsworth. However, as modelled values like the freezing and melting patterns or the distribution of accreted ice at the ice-lake interface are sensitive to different EOS and EOFP, we present updated values for Subglacial Lake Vostok and Subglacial Lake Concordia. (C) 2010 Elsevier B.V. All rights reserved.</t>
  </si>
  <si>
    <t>[Thoma, Malte; Grosfeld, Klaus] Alfred Wegener Inst Polar &amp; Marine Res, D-27570 Bremerhaven, Germany; [Thoma, Malte; Mayer, Christoph] Bayer Akad Wissensch, Kommiss Glaziol, D-80539 Munich, Germany; [Smith, Andrew M.] British Antarctic Survey, Cambridge CB3 0ET, England</t>
  </si>
  <si>
    <t>Thoma, M (corresponding author), Alfred Wegener Inst Polar &amp; Marine Res, Bussestr 24, D-27570 Bremerhaven, Germany.</t>
  </si>
  <si>
    <t>Grosfeld, Klaus/0000-0001-5936-179X; Thoma, Malte/0000-0002-4033-3905</t>
  </si>
  <si>
    <t>DFG [MA3347/2-1]; Natural Environment Research Council [bas0100027] Funding Source: researchfish; NERC [bas0100027] Funding Source: UKRI</t>
  </si>
  <si>
    <t>DFG(German Research Foundation (DFG)); Natural Environment Research Council(UK Research &amp; Innovation (UKRI)Natural Environment Research Council (NERC)); NERC(UK Research &amp; Innovation (UKRI)Natural Environment Research Council (NERC))</t>
  </si>
  <si>
    <t>This work was funded by the DFG through grant MA3347/2-1. The authors wish to thank Aike Beckmann, Rainer Feistel, Rtidiger Gerdes, Kate Hedstrom, Adrian Jenkins, Martin Losch, Trevor McDougall, Ralph Timmermann and two anonymous reviewers for helpful comments and discussions as well as Andrea Bleyer for proof reading.</t>
  </si>
  <si>
    <t>MAY 15</t>
  </si>
  <si>
    <t>10.1016/j.epsl.2010.03.005</t>
  </si>
  <si>
    <t>607LS</t>
  </si>
  <si>
    <t>WOS:000278506200009</t>
  </si>
  <si>
    <t>Lancaster, ML; Goldsworthy, SD; Sunnucks, P</t>
  </si>
  <si>
    <t>Lancaster, Melanie L.; Goldsworthy, Simon D.; Sunnucks, Paul</t>
  </si>
  <si>
    <t>Two behavioural traits promote fine-scale species segregation and moderate hybridisation in a recovering sympatric fur seal population</t>
  </si>
  <si>
    <t>SITE FIDELITY; ARCTOCEPHALUS-GAZELLA; GENETIC-STRUCTURE; HYBRID ZONE; NEW-ZEALAND; PREFERENCE; MECHANISMS; TROPICALIS; COLONY; ISLAND</t>
  </si>
  <si>
    <t>Background: In systems where two or more species experience secondary contact, behavioural factors that regulate interspecific gene flow may be important for maintaining species boundaries and reducing the incidence of hybridisation. At subantarctic Macquarie Island, two species of fur seal breed in close proximity to one another, hybridise at very high levels (up to 21% of hybrid pups are born annually), yet retain discrete gene pools. Using spatial and genetic information collected for pups and adults over twelve years, we assessed two behavioural traits-inter-annual site fidelity and differences in habitat use between the species-as possible contributors to the maintenance of this species segregation. Further, we explored the breakdown of these traits in pure-species individuals and hybrids. Results: We found virtually complete spatial segregation of the parental species, with only one exception; a single territory that contained adults of both species and also the highest concentration of hybrid pups. The spatial distribution of each species was closely linked to habitat type (pebbled vs boulder beaches), with members of each species breeding almost exclusively on one type or the other but hybrids breeding on both or at the junction between habitats. Inter-annual site fidelity was high for both sexes of pure-species adults, with 66% of females and all males returning to the same territory or a neighbouring one in different years. An important consequence for pure females of breeding on the 'wrong' habitat type, and thus in a heterospecific aggregation, was the production of hybrid pups. Low habitat fidelity of hybrid females facilitated bi-directional backcrossing, resulting in more diverse hybrid offspring. Conclusion: In a disturbed system where two sympatric fur seal species breed in close proximity, discrete gene pools are retained by extremely fine-scale and strong spatial segregation of the species. Two behavioural traits were found to be important in maintaining this stable population structure, and habitat type was a strong indicator of where species locate and a potentially powerful predictor of future directions of hybridisation. A direct consequence of the breakdown of this trait was the production of hybrid offspring, which may have severe implications if hybrids have reduced fitness.</t>
  </si>
  <si>
    <t>[Lancaster, Melanie L.; Goldsworthy, Simon D.; Sunnucks, Paul] La Trobe Univ, Dept Zool, Bundoora, Vic 3083, Australia; [Lancaster, Melanie L.] Univ Adelaide, Sch Earth &amp; Environm Sci, Adelaide, SA 5005, Australia; [Sunnucks, Paul] Monash Univ, Sch Biol Sci, Clayton, Vic 3800, Australia; [Sunnucks, Paul] Monash Univ, Australian Ctr Biodivers, Clayton, Vic 3800, Australia</t>
  </si>
  <si>
    <t>La Trobe University; University of Adelaide; Monash University; Monash University</t>
  </si>
  <si>
    <t>Lancaster, ML (corresponding author), La Trobe Univ, Dept Zool, Bundoora, Vic 3083, Australia.</t>
  </si>
  <si>
    <t>melanie.lancaster@adelaide.edu.au</t>
  </si>
  <si>
    <t>Goldsworthy, Simon/0000-0003-4988-9085; Sunnucks, Paul/0000-0002-8139-7059</t>
  </si>
  <si>
    <t>Australian Antarctic Division's Antarctic Science Advisory Group; Australian Antarctic Science grants schemes</t>
  </si>
  <si>
    <t>We acknowledge all Macquarie Island field volunteers from 1992-2003 for collection of observational data and tissue samples. We also thank anonymous reviewers for useful comments on earlier versions of this manuscript. Tissue samples were collected and retained under permits issued by the Tasmanian Parks and Wildlife Service and work was done with the approval of the Antarctic and La Trobe University Animal Ethics Committees. This study was funded by the Australian Antarctic Division's Antarctic Science Advisory Group and Australian Antarctic Science grants schemes.</t>
  </si>
  <si>
    <t>MAY 14</t>
  </si>
  <si>
    <t>10.1186/1471-2148-10-143</t>
  </si>
  <si>
    <t>624OH</t>
  </si>
  <si>
    <t>Green Published, Green Accepted, gold</t>
  </si>
  <si>
    <t>WOS:000279827900001</t>
  </si>
  <si>
    <t>Haas, C; Hendricks, S; Eicken, H; Herber, A</t>
  </si>
  <si>
    <t>Haas, Christian; Hendricks, Stefan; Eicken, Hajo; Herber, Andreas</t>
  </si>
  <si>
    <t>Synoptic airborne thickness surveys reveal state of Arctic sea ice cover</t>
  </si>
  <si>
    <t>LASER; OCEAN; EM</t>
  </si>
  <si>
    <t>While summer Arctic sea-ice extent has decreased over the past three decades, it is subject to large interannual and regional variations. Methodological challenges in measuring ice thickness continue to hamper our understanding of the response of the ice-thickness distribution to recent change, limiting the ability to forecast sea-ice change over the next decade. We present results from a 2400 km long pan-Arctic airborne electromagnetic (EM) ice thickness survey in April 2009, the first-ever large-scale EM thickness dataset obtained by fixed-wing aircraft over key regions of old ice in the Arctic Ocean between Svalbard and Alaska. The data provide detailed insight into ice thickness distributions characteristic for the different regions. Comparison with previous EM surveys shows that modal thicknesses of old ice had changed little since 2007, and remained within the expected range of natural variability. Citation: Haas, C., S. Hendricks, H. Eicken, and A. Herber (2010), Synoptic airborne thickness surveys reveal state of Arctic sea ice cover, Geophys. Res. Lett., 37, L09501, doi: 10.1029/2010GL042652.</t>
  </si>
  <si>
    <t>[Haas, Christian] Univ Alberta, Dept Earth &amp; Atmospher Sci, Edmonton, AB T6G 2E3, Canada; [Hendricks, Stefan; Herber, Andreas] Alfred Wegener Inst Polar &amp; Marine Res, D-27570 Bremerhaven, Germany; [Eicken, Hajo] Univ Alaska Fairbanks, Inst Geophys, Fairbanks, AK 99775 USA</t>
  </si>
  <si>
    <t>University of Alberta; Helmholtz Association; Alfred Wegener Institute, Helmholtz Centre for Polar &amp; Marine Research; University of Alaska System; University of Alaska Fairbanks</t>
  </si>
  <si>
    <t>Haas, C (corresponding author), Univ Alberta, Dept Earth &amp; Atmospher Sci, 1-26 Earth Sci Bldg, Edmonton, AB T6G 2E3, Canada.</t>
  </si>
  <si>
    <t>christian.haas@ualberta.ca</t>
  </si>
  <si>
    <t>Haas, Christian/L-5279-2016; Eicken, Hajo/M-6901-2016; Hendricks, Stefan/D-5168-2011</t>
  </si>
  <si>
    <t>Haas, Christian/0000-0002-7674-3500; Hendricks, Stefan/0000-0002-1412-3146</t>
  </si>
  <si>
    <t>EU; NSF; Alberta Ingenuity Fund; Office of Polar Programs (OPP); Directorate For Geosciences [0856867] Funding Source: National Science Foundation</t>
  </si>
  <si>
    <t>EU(European Union (EU)); NSF(National Science Foundation (NSF)); Alberta Ingenuity Fund; Office of Polar Programs (OPP); Directorate For Geosciences(National Science Foundation (NSF)NSF - Directorate for Geosciences (GEO))</t>
  </si>
  <si>
    <t>We thank Environment Canada (Toronto, Canada), the Arctic and Antarctic Research Institute (St. Petersburg, Russia), and the National Oceanographic and Atmospheric Administration (Boulder, USA) for their great logistical support. Pioneering engineering by Jim Hodgson, Elton Townsend (Lake Central Air Service, Bracebridge, Canada), John Lobach (Ferra Dynamics Inc., Mississauga, Canada), and Martin Gehrmann and Manuel Sellman (AWI, Germany) implementing the winch and bird systems is greatly acknowledged. Brian Burchartz and Andrew Jenkins of Enterprise Airlines Inc. (Oshawa, Canada) are thanked for their highly demanding flying. Other data presented in this paper were obtained through the EU-funded GreenICE and NSF-funded SIZONET projects. CH thanks support by the Alberta Ingenuity Fund.</t>
  </si>
  <si>
    <t>L09501</t>
  </si>
  <si>
    <t>10.1029/2010GL042652</t>
  </si>
  <si>
    <t>596SD</t>
  </si>
  <si>
    <t>WOS:000277704700002</t>
  </si>
  <si>
    <t>Holmes, RC; Tolstoy, M; Harding, AJ; Orcutt, JA; Morgan, JP</t>
  </si>
  <si>
    <t>Holmes, R. Chadwick; Tolstoy, Maya; Harding, Alistair J.; Orcutt, John A.; Morgan, Jason Phipps</t>
  </si>
  <si>
    <t>Australian Antarctic Discordance as a simple mantle boundary</t>
  </si>
  <si>
    <t>RIDGE; BENEATH; TOPOGRAPHY; MORPHOLOGY; GRAVITY; CRUSTAL; SPOT</t>
  </si>
  <si>
    <t>Several complex models require unique mantle conditions to explain the Australian Antarctic Discordance (AAD), an unusually deep and rugged section of the Southeast Indian Ridge (SEIR) between similar to 120 degrees-128 degrees E. Seismic evidence suggests the AAD is instead the manifestation of two contrasting mantle domains converging along its eastern edge. Variations in axial morphology and flanking topographic relief along the SEIR arise as ridge segments to the west (Indian mantle) grade into a cooler melting regime while those to the east (Pacific mantle) are more magmatically robust. Seismic refraction data show crustal thickness decreases from the west into the AAD at a rate of 0.1 km/100 km, then rapidly increases from 4.8 +/- 0.4 km to 7.3 +/- 0.2 km across the eastern border. The AAD thus appears to be the terminal end of a long-wavelength reduction in melt supply at what may be the simplest global example of a mantle boundary. Citation: Holmes, R. C., M. Tolstoy, A. J. Harding, J. A. Orcutt, and J. P. Morgan (2010), Australian Antarctic Discordance as a simple mantle boundary, Geophys. Res. Lett., 37, L09309, doi: 10.1029/2010GL042621.</t>
  </si>
  <si>
    <t>[Holmes, R. Chadwick; Tolstoy, Maya] Columbia Univ, Lamont Doherty Earth Observ, Earth Inst, Palisades, NY 10964 USA; [Harding, Alistair J.; Orcutt, John A.] Univ Calif San Diego, Scripps Inst Oceanog, Cecil &amp; Ida Green Inst Geophys &amp; Planetary Phys, La Jolla, CA 92093 USA; [Morgan, Jason Phipps] Cornell Univ, Dept Earth &amp; Atmospher Sci, Ithaca, NY 14853 USA</t>
  </si>
  <si>
    <t>Columbia University; University of California System; University of California San Diego; Scripps Institution of Oceanography; Cornell University</t>
  </si>
  <si>
    <t>Holmes, RC (corresponding author), Columbia Univ, Lamont Doherty Earth Observ, Earth Inst, 61 Rte 9W, Palisades, NY 10964 USA.</t>
  </si>
  <si>
    <t>cholmes@ldeo.columbia.edu; tolstoy@ldeo.columbia.edu; aharding@ucsd.edu; jorcutt@ucsd.edu; jp369@cornell.edu</t>
  </si>
  <si>
    <t>Zhang, Junyuan/P-9292-2018</t>
  </si>
  <si>
    <t>Orcutt, John/0000-0001-5508-0050; Holmes, R. Chadwick/0000-0002-7884-9843</t>
  </si>
  <si>
    <t>NSF [OCE-9314351]</t>
  </si>
  <si>
    <t>This work was supported by NSF under grant OCE-9314351. We thank the captain, crew, and science party of R/V Melville on expedition WEST08MV. We also thank H. van Avendonk and P. Vogt for constructive reviews. This is LDEO contribution 7343.</t>
  </si>
  <si>
    <t>L09309</t>
  </si>
  <si>
    <t>10.1029/2010GL042621</t>
  </si>
  <si>
    <t>WOS:000277704700001</t>
  </si>
  <si>
    <t>Jullion, L; Jones, SC; Garabato, ACN; Meredith, MP</t>
  </si>
  <si>
    <t>Jullion, L.; Jones, S. C.; Garabato, A. C. Naveira; Meredith, M. P.</t>
  </si>
  <si>
    <t>Wind-controlled export of Antarctic Bottom Water from the Weddell Sea</t>
  </si>
  <si>
    <t>SCOTIA SEA; SOUTHERN-OCEAN; DEEP WATERS; VARIABILITY; CIRCULATION; CLIMATE; GYRE</t>
  </si>
  <si>
    <t>Recent studies suggest that the variability in Antarctic Bottom Water (AABW) properties in the Scotia Sea on time scales up to decadal may be linked to changes in the baroclinicity of the Weddell gyre, with vertical variations in the density structure at the gyre's northern edge acting to control the export of AABW over the South Scotia Ridge and toward the mid-latitude South Atlantic. We test this hypothesis by analysing the AABW properties in fifteen occupations of the SR1b hydrographic section (1993-2009) in eastern Drake Passage alongside possible forcings as derived from atmospheric reanalysis data. We show that variability in the wind stress over the Weddell gyre leads changes in AABW properties in the SR1b section by approximately five months. The sign of the lagged correlation is consistent with the notion of the AABW export from the Weddell Sea being controlled by the gyre's baroclinic adjustment to wind forcing on time scales of several months. Variability in the regional winds is found to be closely linked to the Southern Annular Mode (SAM). These results suggest that there may be a causal relationship between the SAM's positive tendency observed in recent decades and the subsequent warming of AABW detected across much of the Atlantic Ocean. Citation: Jullion, L., S. C. Jones, A. C. Naveira Garabato, and M. P. Meredith (2010), Wind-controlled export of Antarctic Bottom Water from the Weddell Sea, Geophys. Res. Lett., 37, L09609, doi: 10.1029/2010GL042822.</t>
  </si>
  <si>
    <t>[Jullion, L.; Jones, S. C.; Garabato, A. C. Naveira] Univ Southampton, Natl Oceanog Ctr, Sch Ocean &amp; Earth Sci, Southampton SO14 3ZH, Hants, England; [Meredith, M. P.] British Antarctic Survey, Cambridge CB3 0ET, England</t>
  </si>
  <si>
    <t>NERC National Oceanography Centre; University of Southampton; UK Research &amp; Innovation (UKRI); Natural Environment Research Council (NERC); NERC British Antarctic Survey</t>
  </si>
  <si>
    <t>Jullion, L (corresponding author), Univ Southampton, Natl Oceanog Ctr, Sch Ocean &amp; Earth Sci, European Way, Southampton SO14 3ZH, Hants, England.</t>
  </si>
  <si>
    <t>l.jullion@noc.soton.ac.uk</t>
  </si>
  <si>
    <t>Garabato, Alberto Naveira/AAQ-1114-2020; Jullion, Loic/B-3304-2011</t>
  </si>
  <si>
    <t>Garabato, Alberto Naveira/0000-0001-6071-605X; Meredith, Michael/0000-0002-7342-7756; Jullion, Loic/0000-0001-6269-6750</t>
  </si>
  <si>
    <t>Natural Environment Research Council [NE/E01366X/1, NE/C517633/1, NE/E013341/1, bas0100028] Funding Source: researchfish; NERC [NE/E01366X/1, NE/E013341/1, bas0100028] Funding Source: UKRI</t>
  </si>
  <si>
    <t>L09609</t>
  </si>
  <si>
    <t>10.1029/2010GL042822</t>
  </si>
  <si>
    <t>WOS:000277704700003</t>
  </si>
  <si>
    <t>Rubio-Alvarez, E; McPhee, J</t>
  </si>
  <si>
    <t>Rubio-Alvarez, Eduardo; McPhee, James</t>
  </si>
  <si>
    <t>Patterns of spatial and temporal variability in streamflow records in south central Chile in the period 1952-2003</t>
  </si>
  <si>
    <t>PRECIPITATION RECYCLING VARIABILITY; CLIMATIC TIME-SERIES; ECOCLIMATOLOGICAL STABILITY; INTERDECADAL VARIABILITY; PART I; CIRCULATION; REGION; SEASONALITY; ARGENTINA; NOISE</t>
  </si>
  <si>
    <t>In this work we study the time series of annual and seasonal streamflow for 44 rivers in southern Chile, spanning the ecoregion between 34 S and 45 S for the 1952-2003 period. We analyze spatial variability using a clustering process to define regional streamflow averages. We find two main regions, divided approximately by parallel 37.5 degrees S. The analysis includes application of the multitaper (MTM) and maximum entropy (MEM) methods to find periodicities or interannual and decadal cycles. Singular spectral analysis (SSA) is applied in order to augment the signal-to-noise ratio. Significant correlation with climatic indexes was found at different spatial and temporal scales, with El Nino-Southern Oscillation (ENSO) influence being stronger at the northern subregion, and notably the Antarctic Oscillation (AAO) and the Pacific Decadal Oscillation (PDO) showing strong correlation with summer flows in the southern subregion. Also, we found significant decreasing trends affecting a region between 37.5 degrees S and 40 S. These are coherent with decreasing trends observed in precipitation in the area, and also with a decreasing trend observed in the Southern Oscillation Index (SOI). These findings provide, for the first time, a comprehensive view of the streamflow variability in a sensitive ecoregion in South America. We expect that these results will inform decision making in a context of increasing water demands for diverse uses as well as contribute to the general understanding of climatic patterns of variability in the Pacific Rim.</t>
  </si>
  <si>
    <t>[Rubio-Alvarez, Eduardo; McPhee, James] Univ Chile, Fac Ciencias Fis &amp; Matemat, Dept Ingn Civil, Santiago 8370449, Chile</t>
  </si>
  <si>
    <t>Universidad de Chile</t>
  </si>
  <si>
    <t>McPhee, J (corresponding author), Univ Chile, Fac Ciencias Fis &amp; Matemat, Dept Ingn Civil, Ave Blanco Encalada 2002, Santiago 8370449, Chile.</t>
  </si>
  <si>
    <t>jmcphee@ing.uchile.cl</t>
  </si>
  <si>
    <t>McPhee, James/F-3402-2011; McPhee, James/ABC-6218-2020</t>
  </si>
  <si>
    <t>McPhee, James/0000-0002-7547-0926; , Eduardo Alberto Rubio Alvarez/0009-0006-4657-5397</t>
  </si>
  <si>
    <t>FONECYT [1050298, 11060444]; Inter-American Institute for Global Change Research (IAI) [CRN II 2047]; U. S. National Science Foundation [GEO-0452325]</t>
  </si>
  <si>
    <t>FONECYT; Inter-American Institute for Global Change Research (IAI); U. S. National Science Foundation(National Science Foundation (NSF))</t>
  </si>
  <si>
    <t>This research was supported by FONECYT grants 1050298 and 11060444. Support was also received from the Inter-American Institute for Global Change Research (IAI) through grant CRN II 2047, which is funded by the U. S. National Science Foundation (grant GEO-0452325). The authors wish to thank Direccion General de Aguas for providing the streamflow data, as well as C. Little and A. Lara for their thoughtful comments to an earlier version of this manuscript. Finally, the authors thank the three anonymous reviewers for their substantial help in making this a better article.</t>
  </si>
  <si>
    <t>W05514</t>
  </si>
  <si>
    <t>10.1029/2009WR007982</t>
  </si>
  <si>
    <t>596TV</t>
  </si>
  <si>
    <t>WOS:000277709300001</t>
  </si>
  <si>
    <t>Lu, G; Mlynczak, MG; Hunt, LA; Woods, TN; Roble, RG</t>
  </si>
  <si>
    <t>Lu, G.; Mlynczak, M. G.; Hunt, L. A.; Woods, T. N.; Roble, R. G.</t>
  </si>
  <si>
    <t>On the relationship of Joule heating and nitric oxide radiative cooling in the thermosphere</t>
  </si>
  <si>
    <t>AURORAL STORM; MODEL; MIDDLE</t>
  </si>
  <si>
    <t>During geomagnetic storms Joule heating dissipation is the dominant form of magnetospheric energy input that is responsible for many chemical and dynamical variations in the thermosphere. One such thermospheric variation is the dramatic increase of thermospheric temperature and nitric oxide (NO) density and thus radiative emission by NO. This paper gives for the first time a quantitative assessment of the relationship between global Joule heating power and global NO radiative cooling power. It is found that, when averaged over a time interval of 24 h along with a time lag of 10 h, global Joule heating power is closely correlated with global NO cooling power. On average, the increased energy release through NO 5.3 mu m infrared emission accounts for about 80% of Joule heating energy input under disturbed conditions. The paper also presents a first attempt to parameterize global NO power using the K-p and F-10.7 indices. Under nonstorm conditions the best correlation is found when the daily global NO power lags behind the solar flux input by 1 day. The predicted NO power based on this parameterization scheme reproduces many features in the observed global NO power by the Sounding of the Atmosphere using Broadband Emission Radiometry (SABER) instrument over the 7 year period from 2002 to 2008. The predicted global NO power correlates well with the SABER measurements, with a correlation coefficient of 0.89.</t>
  </si>
  <si>
    <t>[Lu, G.; Roble, R. G.] Natl Ctr Atmospher Res, High Altitude Observ, Boulder, CO 80301 USA; [Mlynczak, M. G.] NASA, Langley Res Ctr, Sci Directorate, Hampton, VA 23681 USA; [Hunt, L. A.] Sci Syst &amp; Applicat Inc, Hampton, VA USA; [Woods, T. N.] Univ Colorado, Atmospher &amp; Space Phys Lab, Boulder, CO 80303 USA</t>
  </si>
  <si>
    <t>National Center Atmospheric Research (NCAR) - USA; National Aeronautics &amp; Space Administration (NASA); NASA Langley Research Center; Science Systems and Applications Inc; University of Colorado System; University of Colorado Boulder</t>
  </si>
  <si>
    <t>Lu, G (corresponding author), Natl Ctr Atmospher Res, High Altitude Observ, Boulder, CO 80301 USA.</t>
  </si>
  <si>
    <t>ganglu@ucar.edu</t>
  </si>
  <si>
    <t>Lu, Gang/A-6669-2011; Mlynczak, Martin/K-3396-2012</t>
  </si>
  <si>
    <t>National Science Foundation (NSF); NASA</t>
  </si>
  <si>
    <t>National Science Foundation (NSF)(National Science Foundation (NSF)); NASA(National Aeronautics &amp; Space Administration (NASA))</t>
  </si>
  <si>
    <t>We wish to acknowledge the International Real-time Magnetic Observatory Network for the INTERMAGNET magnetometer network, the Geophysical Institute of the University of Alaska for the Alaska magnetometer stations, the Solar-Terrestrial Environment Laboratory of Nagoya University for the 210 magnetic meridian chain, the Finnish Meteorological Institute for the IMAGE chain, the Canadian Space Agency for the CARISMA magnetometer network, the Space Plasma Environment and Radio Science (SPEARS) in the Department of Communication Systems at Lancaster University for the SAMNET magnetometer chain, and the Danish Meteorological Institute for the Greenland magnetometer stations. J. Posch at Augsburg College, A. Weather at Siena College, and O. Troshichev at the Arctic and Antarctic Research Institute in Russia provided additional ground magnetometer data used in the study. We thank F. Rich and the Air Force Research Laboratory for preparing the DMSP particle data, and the University of Texas at Dallas for making the DMSP ion drift data available online. We are in debt to J. M. Ruohoniemi for providing the Super-DARN radar measurements. The F10.7 and Kp indices were retrieved from the CEDAR database at National Center for Atmospheric Research (NCAR). NCAR is sponsored by the National Science Foundation (NSF). Work at HAO/NCAR was supported in part by the NASA Heliophysics Guest Investigators program. Work at LASP/CU is supported by a NASA TIMED SEE grant.</t>
  </si>
  <si>
    <t>MAY 11</t>
  </si>
  <si>
    <t>A05306</t>
  </si>
  <si>
    <t>10.1029/2009JA014662</t>
  </si>
  <si>
    <t>596TJ</t>
  </si>
  <si>
    <t>WOS:000277708100003</t>
  </si>
  <si>
    <t>Singh, AK; Singh, SB; Singh, S; Patel, RP; Singh, RP</t>
  </si>
  <si>
    <t>Singh, A. K.; Singh, S. B.; Singh, Shubha; Patel, R. P.; Singh, R. P.</t>
  </si>
  <si>
    <t>Characteristics of modulating VLF hiss observed at Indian Antarctic Station, Maitri (L=4.5)</t>
  </si>
  <si>
    <t>Magnetosphere; VLF emissions; VLF hiss; wave propagation; whistler-mode waves</t>
  </si>
  <si>
    <t>PULSING HISS; EMISSIONS; MAGNETOSPHERE; CHORUS</t>
  </si>
  <si>
    <t>Very low frequency (VLF) hiss emissions were observed for the first time at the Indian Antarctic Station, Maitri ( geographic lat. 70 degrees 46'S, long. 11 degrees 50'E, geomagnetic lat. 66 degrees.03'S, long. 53 degrees.21'E) with the modulating intensity variations. Various spectrograms of modulating VLF hiss emissions clearly show band limited spectra regularly modulating its intensity with almost equal period of the order of few seconds in the frequency range of 9-12.8 kHz. To explain these modulating characteristics of VLF hiss, we propose that the hiss emissions are generated through Doppler-shifted cyclotron interactions near the geomagnetic equator and propagate towards the Earth in the whistler-mode. Further, the micropulsations propagating along the geomagnetic field lines could modulate the growth rate of the wave. The growth rates of the waves are also computed.</t>
  </si>
  <si>
    <t>[Singh, A. K.; Singh, S. B.; Singh, Shubha; Singh, R. P.] Banaras Hindu Univ, Atmospher Res Lab, Dept Phys, Varanasi 221005, Uttar Pradesh, India; [Singh, S. B.] VKS Univ, Dept Phys, Maharaja Coll, Ara 802301, India; [Patel, R. P.] MMHPG Coll, Dept Phys, Ghaziabad 201009, India</t>
  </si>
  <si>
    <t>Banaras Hindu University (BHU)</t>
  </si>
  <si>
    <t>Singh, AK (corresponding author), Banaras Hindu Univ, Atmospher Res Lab, Dept Phys, Varanasi 221005, Uttar Pradesh, India.</t>
  </si>
  <si>
    <t>abhay_s@rediffmail.com</t>
  </si>
  <si>
    <t>Singh, Abhay/AAF-9558-2020; Singh, Ravi P/C-6022-2011</t>
  </si>
  <si>
    <t>Singh, Abhay/0000-0002-8834-2464;</t>
  </si>
  <si>
    <t>ISRO, Bangalore; DST, New Delhi</t>
  </si>
  <si>
    <t>ISRO, Bangalore; DST, New Delhi(Department of Science &amp; Technology (India))</t>
  </si>
  <si>
    <t>This work is supported by ISRO, Bangalore and DST, New Delhi.</t>
  </si>
  <si>
    <t>MAY 10</t>
  </si>
  <si>
    <t>592OM</t>
  </si>
  <si>
    <t>WOS:000277388900022</t>
  </si>
  <si>
    <t>Duprat, J; Dobrica, E; Engrand, C; Aléon, J; Marrocchi, Y; Mostefaoui, S; Meibom, A; Leroux, H; Rouzaud, JN; Gounelle, M; Robert, F</t>
  </si>
  <si>
    <t>Duprat, J.; Dobrica, E.; Engrand, C.; Aleon, J.; Marrocchi, Y.; Mostefaoui, S.; Meibom, A.; Leroux, H.; Rouzaud, J. -N.; Gounelle, M.; Robert, F.</t>
  </si>
  <si>
    <t>Extreme Deuterium Excesses in Ultracarbonaceous Micrometeorites from Central Antarctic Snow</t>
  </si>
  <si>
    <t>MOLECULAR-CLOUD MATERIAL; ISOTOPIC COMPOSITIONS; ORGANIC-MATTER; INTERSTELLAR; DUST; MINERALOGY; CHEMISTRY; DISK</t>
  </si>
  <si>
    <t>Primitive interplanetary dust is expected to contain the earliest solar system components, including minerals and organic matter. We have recovered, from central Antarctic snow, ultracarbonaceous micrometeorites whose organic matter contains extreme deuterium (D) excesses ( 10 to 30 times terrestrial values), extending over hundreds of square micrometers. We identified crystalline minerals embedded in the micrometeorite organic matter, which suggests that this organic matter reservoir could have formed within the solar system itself rather than having direct interstellar heritage. The high D/H ratios, the high organic matter content, and the associated minerals favor an origin from the cold regions of the protoplanetary disk. The masses of the particles range from a few tenths of a microgram to a few micrograms, exceeding by more than an order of magnitude those of the dust fragments from comet 81P/Wild 2 returned by the Stardust mission.</t>
  </si>
  <si>
    <t>[Duprat, J.; Dobrica, E.; Engrand, C.; Aleon, J.] Univ Paris 11, CNRS, IN2P3, Ctr Spectrometrie Nucl &amp; Spectrometrie Masse, F-91405 Orsay, France; [Marrocchi, Y.; Mostefaoui, S.; Meibom, A.; Gounelle, M.; Robert, F.] Museum Natl Hist Nat, LMCM, CNRS, UMR 7202,INSU, F-75231 Paris 05, France; [Leroux, H.] Univ Lille 1, Unite Mat &amp; Transformat, F-59655 Villeneuve Dascq, France; [Leroux, H.] Univ Lille 1, Ctr Hyperfrequences &amp; Semicond, CNRS, F-59655 Villeneuve Dascq, France; [Rouzaud, J. -N.] Ecole Normale Super, UMR 8538, CNRS, Geol Lab, F-75231 Paris 5, France</t>
  </si>
  <si>
    <t>Centre National de la Recherche Scientifique (CNRS); CNRS - National Institute of Nuclear and Particle Physics (IN2P3); Universite Paris Saclay; Centre National de la Recherche Scientifique (CNRS); CNRS - National Institute for Earth Sciences &amp; Astronomy (INSU); Museum National d'Histoire Naturelle (MNHN); Universite de Lille; Centre National de la Recherche Scientifique (CNRS); Universite de Lille; Universite PSL; Ecole Normale Superieure (ENS); Centre National de la Recherche Scientifique (CNRS); CNRS - National Institute for Earth Sciences &amp; Astronomy (INSU)</t>
  </si>
  <si>
    <t>Duprat, J (corresponding author), Univ Paris 11, CNRS, IN2P3, Ctr Spectrometrie Nucl &amp; Spectrometrie Masse, F-91405 Orsay, France.</t>
  </si>
  <si>
    <t>jean.duprat@csnsm.in2p3.fr</t>
  </si>
  <si>
    <t>; Leroux, Hugues/S-4570-2017</t>
  </si>
  <si>
    <t>Meibom, Anders/0000-0002-4542-2819; Dobrica, Elena/0000-0002-7653-3431; ROUZAUD, Jean-Noel/0000-0002-1933-2617; Leroux, Hugues/0000-0002-8806-8434</t>
  </si>
  <si>
    <t>ANR [05-JC05-51407]; INSU (PNP); IN2P3; CNES; CNRS; French and Italian polar institutes; IPEV; PNRA; Region Ile de France; MESR; MNHN</t>
  </si>
  <si>
    <t>ANR(Agence Nationale de la Recherche (ANR)); INSU (PNP); IN2P3; CNES(Centre National D'etudes Spatiales); CNRS(Centre National de la Recherche Scientifique (CNRS)); French and Italian polar institutes; IPEV; PNRA; Region Ile de France(Region Ile-de-France); MESR(Ministry of Research, France); MNHN</t>
  </si>
  <si>
    <t>Supported by ANR grant 05-JC05-51407, FP6 Marie Curie Research Training Network  ORIGINS, ANR T-Tauri Chem, INSU (PNP), IN2P3, CNES, and CNRS. We are grateful to the French and Italian polar institutes, IPEV and PNRA, for their financial and logistic support. The NanoSIMS facility was established with funding from the CNRS, Region Ile de France, MESR, and MNHN. The electron microscopy work in Lille is a national facility instrument INSU-CNRS. We are grateful to M. Maurette for stimulating exchanges and pioneering the micrometeorite research in Orsay; S. Derenne, E. Jacquet, E. Quirico, and G. Slodzian for enlightening discussions; and M. Horlok for careful reading of the manuscript.</t>
  </si>
  <si>
    <t>MAY 7</t>
  </si>
  <si>
    <t>10.1126/science.1184832</t>
  </si>
  <si>
    <t>592DZ</t>
  </si>
  <si>
    <t>WOS:000277357100037</t>
  </si>
  <si>
    <t>Shanklin, J</t>
  </si>
  <si>
    <t>Shanklin, Jonathan</t>
  </si>
  <si>
    <t>Reflections on the ozone hole</t>
  </si>
  <si>
    <t>British Antarctic Survey, Meteorol &amp; Ozone Monitoring Unit, Cambridge CB3 0ET, England</t>
  </si>
  <si>
    <t>Shanklin, J (corresponding author), British Antarctic Survey, Meteorol &amp; Ozone Monitoring Unit, Cambridge CB3 0ET, England.</t>
  </si>
  <si>
    <t>j.shanklin@bas.ac.uk</t>
  </si>
  <si>
    <t>NERC [bas0100023, bas010011] Funding Source: UKRI; Natural Environment Research Council [bas010011, bas0100023] Funding Source: researchfish</t>
  </si>
  <si>
    <t>MAY 6</t>
  </si>
  <si>
    <t>10.1038/465034a</t>
  </si>
  <si>
    <t>591OW</t>
  </si>
  <si>
    <t>WOS:000277311900018</t>
  </si>
  <si>
    <t>Ekaykin, AA; Lipenkov, VY; Petit, JR; Johnsen, S; Jouzel, J; Masson-Delmotte, V</t>
  </si>
  <si>
    <t>Ekaykin, A. A.; Lipenkov, V. Y.; Petit, J. R.; Johnsen, S.; Jouzel, J.; Masson-Delmotte, V.</t>
  </si>
  <si>
    <t>Insights into hydrological regime of Lake Vostok from differential behavior of deuterium and oxygen-18 in accreted ice</t>
  </si>
  <si>
    <t>ISOTOPE FRACTIONATION; SUBGLACIAL LAKES; DELTA-D; WATER; ANTARCTICA; HYDROGEN; CORE; GEOCHEMISTRY; VARIABILITY; CIRCULATION</t>
  </si>
  <si>
    <t>We use isotopic data (deuterium and oxygen-18) of the recently recovered deepest Vostok ice core section (down to 3650 m depth) to study processes leading to the formation of lake ice and the hydrological regime of subglacial Lake Vostok. The significant variability of the lake ice isotopic content implies fluctuations in physical conditions of ice formation (mainly, volume and/or growth rate of frazil ice crystals) as well as variations of the isotope composition of the freezing water. The latter implies a poor mixing of the source waters (glacier melt and hydrothermal water) with the water of the main lake body. Poor mixing within the lake may have important consequences for the lake's chemical and gas balance and, particularly, for its microbiological content. A poorly mixed lake may provide ecological niches where microbial life can hide from high oxygen concentrations likely typical for the lake. We also show that the isotopic content of the main lake's input (meltwater) significantly differs from that of the output (lake ice), which can be explained by the contribution of an additional (hydrothermal) source. This latter conclusion is supported by the observed noncovariant behavior of deuterium and oxygen-18 isotopes in the lake ice.</t>
  </si>
  <si>
    <t>[Ekaykin, A. A.; Lipenkov, V. Y.] Arctic &amp; Antarctic Res Inst, St Petersburg 199397, Russia; [Petit, J. R.] Lab Glaciol &amp; Geophys Environm, F-38402 St Martin Dheres, France; [Johnsen, S.] Niels Bohr Inst, DK-2100 Copenhagen, Denmark; [Jouzel, J.; Masson-Delmotte, V.] CEA, Lab Sci Climat &amp; Environm, F-91191 Gif Sur Yvette, France</t>
  </si>
  <si>
    <t>Arctic &amp; Antarctic Research Institute; University of Copenhagen; Niels Bohr Institute; Universite Paris Saclay; CEA; Centre National de la Recherche Scientifique (CNRS)</t>
  </si>
  <si>
    <t>Ekaykin, AA (corresponding author), Arctic &amp; Antarctic Res Inst, 38 Beringa St, St Petersburg 199397, Russia.</t>
  </si>
  <si>
    <t>ekaykin@aari.nw.ru</t>
  </si>
  <si>
    <t>Masson-Delmotte, Valerie L/G-1995-2011; Ekaykin, Alexey A./K-9894-2015; Lipenkov, Vladimir/Q-8262-2016</t>
  </si>
  <si>
    <t>Masson-Delmotte, Valerie L/0000-0001-8296-381X; Lipenkov, Vladimir/0000-0003-4221-5440</t>
  </si>
  <si>
    <t>RFBR [05-05-65248]</t>
  </si>
  <si>
    <t>RFBR(Russian Foundation for Basic Research (RFBR))</t>
  </si>
  <si>
    <t>This work is a contribution to Project 2 of the Subprogram Antarctica of the Russian Federal Targeted Program World Ocean. The logistic support at Vostok was provided by the Russian Antarctic Expedition. We thank the drilling team of the St. Petersburg Mining Institute (N. Vassiliev, V. Zubkov, A. Krassilev, and many others) for providing us with the high-quality ice core from extreme depths, which makes our study possible. We are also grateful to the staff of LSCE, NBI, and VSEGEI (O. Cattani, S. Falourd, A. Boas, E. Prilepsky, and E. Prasolov) for performing the isotopic measurements. The work has been carried out in the frame of the French-Russian collaborative project (GDRE) Vostok and also financially supported by RFBR grant 05-05-65248. We thank S. Bulat, A. Salamatin, S. Popov, and P. Jean-Baptiste for valuable discussions; two anonymous reviewers for the criticism and suggested improvements; and S. Popov for providing the data for Figure 1. We also thank M. Town who helped us to refine the English of the manuscript.</t>
  </si>
  <si>
    <t>MAY 4</t>
  </si>
  <si>
    <t>C05003</t>
  </si>
  <si>
    <t>10.1029/2009JC005329</t>
  </si>
  <si>
    <t>593RY</t>
  </si>
  <si>
    <t>WOS:000277479300002</t>
  </si>
  <si>
    <t>Saini, S; Gwal, AK</t>
  </si>
  <si>
    <t>Saini, Shailendra; Gwal, A. K.</t>
  </si>
  <si>
    <t>Study of variation in the lower ionospheric reflection height with polar day length at Antarctic station Maitri: Estimated with tweek atmospherics</t>
  </si>
  <si>
    <t>D-REGION IONOSPHERE; PROPAGATION; LATITUDE; ELF; PARAMETERS; FREQUENCY; SFERICS; WAVES</t>
  </si>
  <si>
    <t>In the present paper investigations are made on the lower ionosphere with the help of observed tweek atmospherics at the Indian Antarctic research station Maitri during the second half of austral summer (January-March of 2003 and 2005). The variations in the lower ionospheric reflection height are found to be in correspondence with the sunrise and sunset at Maitri. The results indicate that the tweek atmospherics are helpful in tracking the changes taking place in the lower ionospheric height through the day-night boundary. The ionospheric reflection height estimated using the cutoff frequency of fundamental (first-harmonic or first-mode) tweek atmospherics ranges from similar to 64 to similar to 79 km with a maximum calculated error of +/-2.7 km. The recordings were carried out from 1800 to 0600 UTC. The analysis shows that the average cutoff frequency for the fundamental tweek atmospherics and hence the ionospheric reflection height varies from the months of January to March in accordance with the sunrise and sunset.</t>
  </si>
  <si>
    <t>[Saini, Shailendra] Natl Ctr Antarctic &amp; Ocean Res, ICT Div, Vasco Da Gama 403804, Goa, India; [Gwal, A. K.] Barkatullah Univ, Dept Phys, Space Sci Lab, Bhopal 462026, India</t>
  </si>
  <si>
    <t>Ministry of Earth Sciences (MoES) - India; National Centre for Polar and Ocean Research (NCPOR); Barkatullah University</t>
  </si>
  <si>
    <t>Saini, S (corresponding author), Natl Ctr Antarctic &amp; Ocean Res, ICT Div, Vasco Da Gama 403804, Goa, India.</t>
  </si>
  <si>
    <t>shailendra.saini@gmail.com</t>
  </si>
  <si>
    <t>National Centre for Antarctic and Ocean Research [NCAOR/R-54]</t>
  </si>
  <si>
    <t>National Centre for Antarctic and Ocean Research</t>
  </si>
  <si>
    <t>We thank Amitava Bhattacharjee, Editor, for improving the readability of this paper and two anonymous reviewers for their constructive and thoughtful comments, which improved interpretation of the data presented in this paper. Shailendra Saini is grateful to the Director of NCAOR for providing the opportunity to work at the Indian Antarctic scientific base Maitri during the austral summers of 2002-2003 and 2004-2005. Shailendra Saini is also grateful to Arun Hanchinal and Rajesh Asthana, the leaders of the 22nd and 24th Indian Scientific Expedition to Antarctica, for extending logistical support. This is National Centre for Antarctic and Ocean Research contribution NCAOR/R-54.</t>
  </si>
  <si>
    <t>A05302</t>
  </si>
  <si>
    <t>10.1029/2009JA014795</t>
  </si>
  <si>
    <t>593SI</t>
  </si>
  <si>
    <t>WOS:000277480500005</t>
  </si>
  <si>
    <t>Dai, FF; Wang, ZP; Yan, XJ; Li, ZJ; Allhusen, E; Dieckmann, G</t>
  </si>
  <si>
    <t>Dai Fangfang; Wang Zipan; Yan Xiaojun; Li Zhijun; Allhusen, Erika; Dieckmann, Gerhard</t>
  </si>
  <si>
    <t>Physical structure and vertical distribution of chlorophyll a in winter sea ice from the northwestern Weddell Sea, Antarctica</t>
  </si>
  <si>
    <t>physical structure; chlorophyll a; Antarctica; winter sea-ice</t>
  </si>
  <si>
    <t>PHYTOPLANKTON; MICROBIOLOGY; ENVIRONMENT; NUTRIENTS; DYNAMICS; CARBON; OCEAN; BIOTA</t>
  </si>
  <si>
    <t>The investigation on sea-ice biology in combination with physics, chemistry and ecology was carried out in the northwestern Weddell Sea, Antarctica, during the cruise ANT/XX III-7 on board POLARSTERN in the austral winter (August-October) in 2006. The distribution of chlorophyll a was measured and related to sea ice texture. The mean concentrations of chlorophyll a in the sea ice varied considerably with ice texture. The concentration of chlorophyll a per core ranged from 2.10-84.40 mu g/dm(3) with a mean of 16.56 mu g/dm(3). And the value of R (chlorophyll a / gross chlorophyll) ranged from 0.79-0.83. These high winter chlorophyll values indicate that primary production is considerable and confirms that there is significant primary production in Antarctic sea ice during winter. Thus this constitutes a major proportion of southern ocean primary production and carbon flux before the sea ice retreats.</t>
  </si>
  <si>
    <t>[Dai Fangfang; Wang Zipan] Zhejiang Wanli Univ, Ningbo 315100, Zhejiang, Peoples R China; [Dai Fangfang; Yan Xiaojun] Ningbo Univ, Ningbo 315211, Zhejiang, Peoples R China; [Li Zhijun] Dalian Univ Technol, Dalian 116029, Peoples R China; [Allhusen, Erika; Dieckmann, Gerhard] Alfred Wegener Inst Polar &amp; Marine Res, D-27570 Bremerhaven, Germany</t>
  </si>
  <si>
    <t>Zhejiang Wanli University; Ningbo University; Dalian University of Technology; Helmholtz Association; Alfred Wegener Institute, Helmholtz Centre for Polar &amp; Marine Research</t>
  </si>
  <si>
    <t>Wang, ZP (corresponding author), Zhejiang Wanli Univ, Ningbo 315100, Zhejiang, Peoples R China.</t>
  </si>
  <si>
    <t>wangzipan2000@yahoo.com.cn</t>
  </si>
  <si>
    <t>Li, Zhijun/A-5299-2019; Dieckmann, Gerhard S/B-4307-2010</t>
  </si>
  <si>
    <t>Li, Zhijun/0000-0002-2897-0450;</t>
  </si>
  <si>
    <t>Alfred Wegener Institute for Polar and Marine Research</t>
  </si>
  <si>
    <t>Alfred Wegener Institute for Polar and Marine Research(Helmholtz Association)</t>
  </si>
  <si>
    <t>This research was supported by the Alfred Wegener Institute for Polar and Marine Research. The authors are grateful to the staff of POLARSTERN, and particularly to Prof. Peter Lemke, Prof. David Thomas and Dr. C Haas Christian, for their assistance for this work.</t>
  </si>
  <si>
    <t>1869-1099</t>
  </si>
  <si>
    <t>MAY</t>
  </si>
  <si>
    <t>10.1007/s13131-010-0041-z</t>
  </si>
  <si>
    <t>618LR</t>
  </si>
  <si>
    <t>WOS:000279357100011</t>
  </si>
  <si>
    <t>Haussmann, NS; McGeoch, MA; Boelhouwers, JC</t>
  </si>
  <si>
    <t>Haussmann, N. S.; McGeoch, M. A.; Boelhouwers, J. C.</t>
  </si>
  <si>
    <t>Contrasting nurse plants and nurse rocks: The spatial distribution of seedlings of two sub-Antarctic species</t>
  </si>
  <si>
    <t>ACTA OECOLOGICA-INTERNATIONAL JOURNAL OF ECOLOGY</t>
  </si>
  <si>
    <t>Seedling; Nurse plant; Sub-Antarctic; Cushion plant</t>
  </si>
  <si>
    <t>AZORELLA-SELAGO; CUSHION PLANT; HIGH-ANDES; NEGATIVE INTERACTIONS; GLACIER FORELAND; MARION ISLAND; ALPINE; SOIL; FACILITATION; ESTABLISHMENT</t>
  </si>
  <si>
    <t>Positive plant interactions, such as those associated with nurse plants, have been suggested to dominate over negative interactions in environments with high abiotic stress. Here we demonstrate that the sub-Antarctic cushion plant species, Azorella selago (Apiaceae), positively affects the distribution of both its own seedlings and those of the perennial grass, Agrostis magellanica (Poaceae). As a result of the light weight and small size of seeds of both species, coupled with strong winds experienced in the study area, we consider it unlikely that these patterns are the result of very localized seed dispersal from the study cushions themselves. Instead, we suggest that both cushions and rocks act as seed traps, trapping seeds dispersed by wind, runoff and/or downslope sediment transport through frost creep. In addition, increased A. selago seedling numbers around cushions, but not around rocks, suggest that cushions provide a biological nurse effect, such as improving soil nutrient status or providing mychorrizae, to seedlings of their own kind. (C) 2010 Elsevier Masson SAS. All rights reserved.</t>
  </si>
  <si>
    <t>[Haussmann, N. S.] Univ Stellenbosch, Dept Conservat Ecol &amp; Entomol, ZA-7602 Stellenbosch, Western Cape, South Africa; [McGeoch, M. A.] S African Natl Pk, DST NRF Ctr Invas Biol, ZA-7947 Steenberg, South Africa; [McGeoch, M. A.] S African Natl Pk, Cape Res Ctr, ZA-7947 Steenberg, South Africa; [Boelhouwers, J. C.] Uppsala Univ, Dept Social &amp; Econ Geog, S-75120 Uppsala, Sweden</t>
  </si>
  <si>
    <t>Stellenbosch University; National Research Foundation - South Africa; Uppsala University</t>
  </si>
  <si>
    <t>Haussmann, NS (corresponding author), Univ Stellenbosch, Dept Conservat Ecol &amp; Entomol, Private Bag X1, ZA-7602 Stellenbosch, Western Cape, South Africa.</t>
  </si>
  <si>
    <t>nshau@sun.ac.za; melodiem@sanparks.org; jan.boelhouwers@kultgeog.uu.se</t>
  </si>
  <si>
    <t>Haussmann, Natalie/AFK-4732-2022; Haussmann, Natalie/A-5665-2011; McGeoch, Melodie/F-8353-2011</t>
  </si>
  <si>
    <t>Haussmann, Natalie/0000-0002-0314-0266; McGeoch, Melodie/0000-0003-3388-2241</t>
  </si>
  <si>
    <t>South African National Research Foundation (NRF); South African National Antarctic Programme (SANAP); Swedish International Development Cooperation Agency (SIDA)</t>
  </si>
  <si>
    <t>South African National Research Foundation (NRF)(National Research Foundation - South Africa); South African National Antarctic Programme (SANAP); Swedish International Development Cooperation Agency (SIDA)</t>
  </si>
  <si>
    <t>The South African National Research Foundation (NRF), South African National Antarctic Programme (SANAP) and the Swedish International Development Cooperation Agency (SIDA) are thanked for financial and logistic support.</t>
  </si>
  <si>
    <t>1146-609X</t>
  </si>
  <si>
    <t>1873-6238</t>
  </si>
  <si>
    <t>ACTA OECOL</t>
  </si>
  <si>
    <t>Acta Oecol.-Int. J. Ecol.</t>
  </si>
  <si>
    <t>MAY-JUN</t>
  </si>
  <si>
    <t>10.1016/j.actao.2010.02.001</t>
  </si>
  <si>
    <t>597FH</t>
  </si>
  <si>
    <t>WOS:000277741400004</t>
  </si>
  <si>
    <t>Aho, K; Weaver, T</t>
  </si>
  <si>
    <t>Aho, Ken; Weaver, T.</t>
  </si>
  <si>
    <t>Alpine Nodal Ecology and Ecosystem Evolution in the North-Central Rockies (Mount Washburn; Yellowstone National Park, Wyoming)</t>
  </si>
  <si>
    <t>SOIL-MOISTURE; FRONT RANGE; NIWOT RIDGE; VEGETATION; TUNDRA; PATTERNS; SNOWPACK; COLORADO; NITROGEN; MODELS</t>
  </si>
  <si>
    <t>We studied Mount Washburn (Yellowstone National Park, Wyoming) to describe alpine ecosystem function and evolution at an important site in the North-Central Rockies. To describe the alpine environment we sampled major environmental nodes (north-faces, south-faces, snowbanks, ridges, talus, and ledges). Our analysis was bolstered by the measurement, over five years, of seasonal soil water and temperature. Clusters representing nodal plant communities explained 86% of scatterplot variability, after accounting for spatial location, in a strong (non-metric r(2) = 0.98) NMDS ordination. Water inputs and nutrient storage (also significant predictors of community structure) increased while soil temperature fell from southern to northern nodes. Seasonal soil water availability was strongly influenced by transpiration. As a result soils dried earlier than expected under dense north-facing turf and later than expected under talus and ledges. We propose that abiotic and biotic processes have combined to increase resources for northern nodes at the expense of southern nodes since the last glaciation. This is because soils have continually blown with snow from south slopes to north-facing lee slopes, improving their water and nutrient status. Increases in vegetation have further increased water and nutrient capture and decreased water and nutrient losses in a biologically driven positive feedback loop.</t>
  </si>
  <si>
    <t>[Aho, Ken; Weaver, T.] Montana State Univ, Dept Ecol, Bozeman, MT 59717 USA</t>
  </si>
  <si>
    <t>Montana State University System; Montana State University Bozeman</t>
  </si>
  <si>
    <t>Aho, K (corresponding author), Idaho State Univ, Dept Biol Sci, Pocatello, ID 83207 USA.</t>
  </si>
  <si>
    <t>ahoken@isu.edu</t>
  </si>
  <si>
    <t>Aho, Ken/N-7885-2013</t>
  </si>
  <si>
    <t>National Park Service [YNP-NPS YELL-05116]</t>
  </si>
  <si>
    <t>National Park Service</t>
  </si>
  <si>
    <t>Thanks to D. Despain (U.S. Geological Survey, retired), R. Williams (Idaho State University), M. Hektner (Yellowstone National Park National Park Service), J. Whipple (YELLO), T. Seipel (field assistance), C. Seibert (Montana State University), the YNP fire cache, and three anonymous AAAR reviewers. This research was made possible in part with a grant from the National Park Service (YNP-NPS YELL-05116) and by assistantships from Montana State University.</t>
  </si>
  <si>
    <t>10.1657/1938-4246-42.2.139</t>
  </si>
  <si>
    <t>602BT</t>
  </si>
  <si>
    <t>WOS:000278113800001</t>
  </si>
  <si>
    <t>Anic, V; Hinojosa, LF; Díaz-Forester, J; Bustamante, E; de la Fuente, LM; Casale, JF; de la Harpe, JP; Montenegro, G; Ginocchio, R</t>
  </si>
  <si>
    <t>Anic, Vinka; Felipe Hinojosa, Luis; Diaz-Forester, Javiera; Bustamante, Elena; Maria de la Fuente, Luz; Francois Casale, Jean; Paul de la Harpe, Jean; Montenegro, Gloria; Ginocchio, Rosanna</t>
  </si>
  <si>
    <t>Influence of Soil Chemical Variables and Altitude on the Distribution of High-alpine Plants: the Case of the Andes of Central Chile</t>
  </si>
  <si>
    <t>NUTRIENT AVAILABILITY; SPECIES-DIVERSITY; MOUNT KINABALU; VEGETATION; COPPER; PHOSPHORUS; TUNDRA; GROWTH; GRADIENT; FOREST</t>
  </si>
  <si>
    <t>Temperature is one of the major abiotic factors influencing distribution and productivity of alpine plant species. Although some edaphic parameters (e.g. soil acidity) have also been suggested as determinants in the spatial distribution of alpine vegetation, there is little background on the importance of soil chemical properties in altitudinal gradients, particularly in the high Andes. The present study determined whether soil chemical properties affect spatial distribution and abundance of alpine plants in an altitudinal gradient in the Andes of central Chile, emphasizing metal content. A direct gradient analysis took place at Yerba Loca Natural Sanctuary (YLNS), based on a geobotanical sampling conducted in 73 sites distributed from 1970 to 3330 m a.s.l. According to a Canonical Correspondence Analysis, the main soil chemical factors that explain the pattern of compositional variation of high Andean vegetation are, besides altitude, total soil copper (Cu) content, percentage of soil organic matter, and available phosphorus and nitrogen. An analysis of shoot Cu content conducted in 19 plant species found in sites with highest soil Cu contents (&gt;250 mg kg(-1)) showed high levels of Cu in their shoots (&gt;100 mg kg(-1)). These results demonstrate species or ecotypes with optimal distribution in soils with high Cu contents, such as Armeria maritima, Trisetum lasiolepis, and Montiopsis potentilloides, which may have tolerance to this metal.</t>
  </si>
  <si>
    <t>[Bustamante, Elena; Maria de la Fuente, Luz; Francois Casale, Jean; Paul de la Harpe, Jean; Ginocchio, Rosanna] Ctr Invest Mineras &amp; Met, Santiago, Chile; [Anic, Vinka; Felipe Hinojosa, Luis] Univ Chile, Fac Ciencias, IEB, Santiago, Chile; [Diaz-Forester, Javiera; Montenegro, Gloria] Pontificia Univ Catolica Chile, Fac Agron &amp; Ingn Forestal, Santiago, Chile</t>
  </si>
  <si>
    <t>Universidad de Chile; Pontificia Universidad Catolica de Chile</t>
  </si>
  <si>
    <t>Ginocchio, R (corresponding author), Ctr Invest Mineras &amp; Met, Av Parque Antonio Rabat 6500, Santiago, Chile.</t>
  </si>
  <si>
    <t>rginocc@cimm.cl</t>
  </si>
  <si>
    <t>Hinojosa, Luis Felipe/J-7557-2017; Ginocchio, Rosanna/S-7592-2019; Hinojosa, Luis Felipe/A-7599-2008</t>
  </si>
  <si>
    <t>Ginocchio, Rosanna/0000-0003-4089-8188; Hinojosa, Luis Felipe/0000-0001-5646-649X</t>
  </si>
  <si>
    <t>FONDECYT [1050138]</t>
  </si>
  <si>
    <t>FONDECYT(Comision Nacional de Investigacion Cientifica y Tecnologica (CONICYT)CONICYT FONDECYT)</t>
  </si>
  <si>
    <t>The study was funded by FONDECYT 1050138 grant to R. Ginocchio. We would like to thank the support of Dr. Patricio H. Rodriguez (Centro de Investigacion Minera y Metalurgica, CIMM), the rangers at Yerba Loca Natural Sanctuary (YLNS), particularly Mr. Julio Bruna, the Director of the Centro Cordillera, Municipalidad de Lo Barnechea; Mr. Pablo Villoch; and Doctors Patricio Moreno and Lohengrin Cavieres for their comments on the manuscript.</t>
  </si>
  <si>
    <t>10.1657/1938-4246-42.2.152</t>
  </si>
  <si>
    <t>WOS:000278113800002</t>
  </si>
  <si>
    <t>Brugger, KA</t>
  </si>
  <si>
    <t>Brugger, Keith A.</t>
  </si>
  <si>
    <t>Climate in the Southern Sawatch Range and Elk Mountains, Colorado, USA, during the Last Glacial Maximum: Inferences Using a Simple Degree-Day Model</t>
  </si>
  <si>
    <t>EQUILIBRIUM-LINE ALTITUDES; MASS-BALANCE MODEL; LATE-PLEISTOCENE; ICE-SHEET; SEA-LEVEL; UINTA MOUNTAINS; SENSITIVITY; GREENLAND; ABLATION; RECONSTRUCTIONS</t>
  </si>
  <si>
    <t>Equilibrium-line altitudes (ELAs) were determined from reconstructions of 22 paleoglaciers at their extent during the local last glacial maximum (LGM) using the accumulation-area method. LGM ELAs thus derived ranged from 2980 to 3560 m and follow a statistically significant regional trend of rising similar to 4.5 m km(-1) to the east. Two approaches using a degree-day model were used to infer LGM climate by finding plausible combinations of temperature and precipitation change that (1) would be required to lower ELAs to their mean LGM values in both the Taylor Park/eastern Elk Mountains region and western Elk Mountains, and (2) provide steady-state mass balances to maintain individual glaciers. The results of these two approaches are convergent and suggest that in the absence of significant changes in precipitation, mean summer (or mean annual) temperatures within the study area during the LGM were on the order of about 7 degrees C cooler than at present. The model also suggests that even allowing for modest changes in LGM precipitation (+/- 25%), the required mean summer temperature depressions are within similar to 0.5 degrees C of these values. Furthermore, there appears to be no significant dependence on small potential changes in temperature seasonality (i.e., winter temperatures). The inferred magnitude of LGM temperature change in the study area is consistent with other estimates from the broader Southern and Central Rocky Mountain region.</t>
  </si>
  <si>
    <t>Univ Minnesota, Geol Discipline, Morris, MN 56267 USA</t>
  </si>
  <si>
    <t>University of Minnesota System; University of Minnesota Morris</t>
  </si>
  <si>
    <t>Brugger, KA (corresponding author), Univ Minnesota, Geol Discipline, Morris, MN 56267 USA.</t>
  </si>
  <si>
    <t>bruggeka@morris.umn.edu</t>
  </si>
  <si>
    <t>10.1657/1938-4246-42.2.164</t>
  </si>
  <si>
    <t>WOS:000278113800003</t>
  </si>
  <si>
    <t>Darrouzet-Nardi, A</t>
  </si>
  <si>
    <t>Darrouzet-Nardi, Anthony</t>
  </si>
  <si>
    <t>Landscape Heterogeneity of Differently Aged Soil Organic Matter Constituents at the Forest-Alpine Tundra Ecotone, Niwot Ridge, Colorado, USA</t>
  </si>
  <si>
    <t>SPATIAL VARIABILITY; LITTER QUALITY; CRITICAL LOADS; TREE ISLANDS; FRONT RANGE; TURNOVER; PATTERNS; STABILIZATION; DECOMPOSITION; DEPOSITION</t>
  </si>
  <si>
    <t>One of the major remaining obstacles to understanding how ecosystems process carbon (C) and nitrogen (N) within soil organic matter (SOM) is landscape heterogeneity. While many studies have investigated landscape heterogeneity in total SOM C and N, less information exists on landscape patterns for differently aged constituents within SOM. These differently aged constituents can show distinct landscape-level patterns and levels of heterogeneity that contribute to our understanding of the production and decomposition processes that create SOM. Using field measurements from an alpine-subalpine ecosystem and geostatistical analyses, I show here that C and N in the older more recalcitrant SOM of mineral soil have more defined spatial patterns and are less heterogeneous than C and N in the newer more labile SOM of mineral soil at the forest-alpine tundra ecotone (SOM C: CV = 45% in older, 59% in newer; partial sill [sill minus nugget, i.e., percent of variation explained by spatial autocorrelation] = 38% in older, 11% in newer; SOM N: CV = 50% in older, 48% in newer; partial sill = 6% in older, 44% in newer). I also demonstrate that C:N ratios show better spatial patterns and reduced landscape heterogeneity when compared with their constituent C and N concentrations (CV of total SOM C = 41%, total SOM N = 31%, total SUM C:N = 20%; partial sill of total SOM C = 15%, total SOM N = 18%, total SUM C:N = 64%). The reduced heterogeneity and strong relationships between C and N in older SUM suggest that landscape variation in the chemical composition of the SUM in mineral soils converges over time, possibly as a result of greater chemical variation in plant inputs relative to the products of decomposition reactions.</t>
  </si>
  <si>
    <t>[Darrouzet-Nardi, Anthony] Univ Colorado, Inst Arctic &amp; Alpine Res, Boulder, CO 80309 USA; [Darrouzet-Nardi, Anthony] Univ Colorado, Dept Ecol &amp; Evolutionary Biol, Boulder, CO 80309 USA</t>
  </si>
  <si>
    <t>University of Colorado System; University of Colorado Boulder; University of Colorado System; University of Colorado Boulder</t>
  </si>
  <si>
    <t>Darrouzet-Nardi, A (corresponding author), Univ Colorado, Inst Arctic &amp; Alpine Res, N122 Ramaley,334 UCB, Boulder, CO 80309 USA.</t>
  </si>
  <si>
    <t>anthony@darrouzet-nardi.net</t>
  </si>
  <si>
    <t>Darrouzet-Nardi, Anthony/K-4054-2019</t>
  </si>
  <si>
    <t>Darrouzet-Nardi, Anthony/0000-0002-2825-7962</t>
  </si>
  <si>
    <t>NSF [DGE 0202758, DEB 0423662]; Division Of Environmental Biology; Direct For Biological Sciences [0808275] Funding Source: National Science Foundation</t>
  </si>
  <si>
    <t>NSF(National Science Foundation (NSF)); Division Of Environmental Biology; Direct For Biological Sciences(National Science Foundation (NSF)NSF - Directorate for Biological Sciences (BIO))</t>
  </si>
  <si>
    <t>I thank NSF DGE 0202758 (Graduate Research Fellowship Program) and NSF DEB 0423662 (Niwot Ridge LTER) for funding this project. I thank William Bowman and Courtney Meier for their advice throughout the project. I thank Stuart Grandy for his advice on the density separation procedure and Stefania Mambelli for her help with the stable isotope analyses. I thank John Murgel, Jaclyn Raska, David Knochel, and Kathy Buehmann for their help in the field and in the lab. I thank Tim Seastedt, Kallin Tea, Andrew King, and three reviewers for their comments on this manuscript.</t>
  </si>
  <si>
    <t>10.1657/1938-4246-42.2.179</t>
  </si>
  <si>
    <t>WOS:000278113800004</t>
  </si>
  <si>
    <t>Déry, SJ; Clifton, A; MacLeod, S; Beedle, MJ</t>
  </si>
  <si>
    <t>Dery, Stephen J.; Clifton, Andrew; MacLeod, Shane; Beedle, Matthew J.</t>
  </si>
  <si>
    <t>Blowing Snow Fluxes in the Cariboo Mountains of British Columbia, Canada</t>
  </si>
  <si>
    <t>SURFACE MASS-BALANCE; DRIFTING-SNOW; UPPER TREELINE; WATER-BALANCE; ALPINE SITE; MODEL; WIND; REDISTRIBUTION; SUBLIMATION; SIMULATION</t>
  </si>
  <si>
    <t>The Cariboo Mountains form the northern extension of the Columbia Mountains, spanning a distance of about 300 km in central British Columbia (BC), Canada. Cool air temperatures, abundant snowfall, and strong winds (especially above treeline and along exposed ridges) would suggest frequent and intense blowing snow events. The occurrence of intense blowing snow episodes is confirmed by automated wind and snow depth measurements at several sites in the area. Simulations conducted with a numerical model forced by meteorological observations recorded from 2006 to 2009 reveal a high frequency of blowing snow episodes at three high-elevation sites in the Cariboo Mountains. This process is especially prominent on the exposed ridge of Browntop Mountain (elevation of 2031 m a.s.l.) where snow transport by wind is calculated to occur as much as two-thirds of the time during some winter months. Simulated blowing snow fluxes remain high at this site with monthly transport and sublimation rates reaching 5301 Mg m(-1) and 31 mm snow water equivalent (SWE), respectively. Blowing snow is also shown to be a dominant process in snow accumulation at the upper Castle Creek Glacier site (elevation of 2105 m a.s.l.), with strong winds generating sharp declines in snow depth and the erosion of more than 200 cm of snow depth during two successive winters. The results presented in this study suggest that blowing snow contributes significantly to snow accumulation and the mass balance of glaciers in BC's Cariboo Mountains.</t>
  </si>
  <si>
    <t>[Dery, Stephen J.; Clifton, Andrew; MacLeod, Shane] Univ No British Columbia, Environm Sci &amp; Engn Program, Prince George, BC V2N 4Z9, Canada; [Clifton, Andrew] SLF Davos, WSL Inst Snow &amp; Avalanche Res, CH-7260 Davos, Switzerland; [MacLeod, Shane] Goldcorp Canada Equ Silver, Houston, BC V0J 1Z0, Canada; [Beedle, Matthew J.] Univ No British Columbia, Nat Resources &amp; Environm Studies Inst, Prince George, BC V2N 4Z9, Canada; [Beedle, Matthew J.] Univ No British Columbia, Geog Program, Prince George, BC V2N 4Z9, Canada</t>
  </si>
  <si>
    <t>University of Northern British Columbia; Swiss Federal Institutes of Technology Domain; Swiss Federal Institute for Forest, Snow &amp; Landscape Research; University of Northern British Columbia; University of Northern British Columbia</t>
  </si>
  <si>
    <t>Déry, SJ (corresponding author), Univ No British Columbia, Environm Sci &amp; Engn Program, 3333 Univ Way, Prince George, BC V2N 4Z9, Canada.</t>
  </si>
  <si>
    <t>sdery@unbc.ca</t>
  </si>
  <si>
    <t>Clifton, Andy/A-4045-2010; Clifton, Andy/HLW-5421-2023</t>
  </si>
  <si>
    <t>Clifton, Andy/0000-0001-9698-5083;</t>
  </si>
  <si>
    <t>Canada Foundation for Innovation; British Columbia Knowledge Development Fund; UNBC; Canadian Foundation for Climate and Atmospheric Sciences through the Western Canadian Cryospheric Network; Natural Sciences and Engineering Research Council of Canada; Canada Research Chair program of the Government of Canada</t>
  </si>
  <si>
    <t>Canada Foundation for Innovation(Canada Foundation for InnovationCGIARSpanish Government); British Columbia Knowledge Development Fund; UNBC; Canadian Foundation for Climate and Atmospheric Sciences through the Western Canadian Cryospheric Network; Natural Sciences and Engineering Research Council of Canada(Natural Sciences and Engineering Research Council of Canada (NSERC)CGIAR); Canada Research Chair program of the Government of Canada(Canada Research Chairs)</t>
  </si>
  <si>
    <t>We thank R. Wheate, M. Hernandez-Henriquez, T. Upton, K. Przeczek, and K. Caputa (UNBC) for field assistance and D. Straussfogel (UNBC) for meteorological and snow data collection at Castle Creek Glacier in May 2008 and 2009. T. Mlynowski (UNBC) is thanked for producing Figure 1. Equipment purchases were supported by the Canada Foundation for Innovation, the British Columbia Knowledge Development Fund, and UNBC. Additional funding was provided by the Canadian Foundation for Climate and Atmospheric Sciences through the Western Canadian Cryospheric Network, the Natural Sciences and Engineering Research Council of Canada, and the Canada Research Chair program of the Government of Canada. Constructive comments from J. Lenaerts (Institute for Marine and Atmospheric Research, Utrecht University), the editor Dr. A. Jennings (University of Colorado), the associate editor, and two anonymous referees greatly improved the paper. This is Quesnel River Research Centre contribution #8.</t>
  </si>
  <si>
    <t>10.1657/1938-4246-42.2.188</t>
  </si>
  <si>
    <t>WOS:000278113800005</t>
  </si>
  <si>
    <t>Haugen, BD; Scambos, TA; Pfeffer, WT; Anderson, RS</t>
  </si>
  <si>
    <t>Haugen, Benjamin D.; Scambos, Ted A.; Pfeffer, W. Tad; Anderson, Robert S.</t>
  </si>
  <si>
    <t>Twentieth-century Changes in the Thickness and Extent of Arapaho Glacier, Front Range, Colorado</t>
  </si>
  <si>
    <t>Changes in Arapaho Glacier, Front Range, Colorado, are determined using historical maps, aerial photography, and field surveys using ground penetrating radar (GPR) and Global Positioning System data. Arapaho Glacier lost 52% of its area during the 20th century, decreasing from 0.34 to 0.16 km(2). Between 1900 and 1999 glacial area loss rates increased from an average of 1500 m(2) yr(-1) to 2400 m(2) yr(-1). Average glacial thinning between 1900 and 1960 was 0.76 m yr(-1), but slowed to 0.10 m yr(-1) between 1960 and 2005. Its maximum thickness is approximately 15 m. If recent trends in area loss continue, Arapaho Glacier may disappear in as few as 65 years. However, the decline in thinning rate suggests that the glacier is retreating into a corner of its upper cirque in which increased inputs of snow from direct precipitation and avalanching, and decreased insolation will greatly slow its rate of retreat. This may be generally true for many temperate-latitude cirque glaciers.</t>
  </si>
  <si>
    <t>[Haugen, Benjamin D.; Anderson, Robert S.] Univ Colorado, Dept Geol Sci, Boulder, CO 80309 USA; [Pfeffer, W. Tad; Anderson, Robert S.] Univ Colorado, Inst Arctic &amp; Alpine Res, Boulder, CO 80309 USA; [Pfeffer, W. Tad] Univ Colorado, Dept Civil Environm &amp; Architectural Engn, Boulder, CO 80309 USA; [Scambos, Ted A.] Univ Colorado, Natl Snow &amp; Ice Data Ctr, Boulder, CO 80309 USA</t>
  </si>
  <si>
    <t>University of Colorado System; University of Colorado Boulder; University of Colorado System; University of Colorado Boulder; University of Colorado System; University of Colorado Boulder; University of Colorado System; University of Colorado Boulder</t>
  </si>
  <si>
    <t>Haugen, BD (corresponding author), USA, ERDC, GSL, 3909 Halls Ferry Rd, Vicksburg, MS 39180 USA.</t>
  </si>
  <si>
    <t>benjamin.d.haugen@usace.army.mil</t>
  </si>
  <si>
    <t>Scambos, Ted A/B-1856-2009</t>
  </si>
  <si>
    <t>Anderson, Robert/0000-0003-2759-4833; SCAMBOS, Ted A./0000-0003-4268-6322</t>
  </si>
  <si>
    <t>University of Colorado at Boulder; Boulder Creek Critical Zone Observatory (BcCZO)</t>
  </si>
  <si>
    <t>The authors would like to thank the many contributors to this study from the National Snow and Ice Data Center (NSIDC) and the Institute of Arctic and Alpine Research (INSTAAR) at the University of Colorado at Boulder: Rob Bauer, Terry Haran, Chandler Engel, Andy Mahoney, Peter Gibbons, Stephanie Renfrow, David Fanning, and Molly McAllister. B. D. Haugen would like to extend special thanks to Rob Roscow and Winston Voigt for their labor and assistance, as well as to Jason Neff at the University of Colorado Department of Geological Sciences and Alan Townsend at INSTAAR for their review of an early version of this manuscript. This study was supported in part by the Undergraduate Research Opportunities Program (UROP) at the University of Colorado at Boulder. The authors acknowledge the aid of the National Center for Airborne Laser Mapping for generation of the high quality 2005 DEM. R. S. Anderson acknowledges support from the Boulder Creek Critical Zone Observatory (BcCZO).</t>
  </si>
  <si>
    <t>10.1657/1938-4246-42.2.198</t>
  </si>
  <si>
    <t>WOS:000278113800006</t>
  </si>
  <si>
    <t>Kvíderová, J</t>
  </si>
  <si>
    <t>Kviderova, Jana</t>
  </si>
  <si>
    <t>Characterization of the Community of Snow Algae and Their Photochemical Performance in situ in the Giant Mountains, Czech Republic</t>
  </si>
  <si>
    <t>RAPID LIGHT CURVES; CHLOROMONAS SP.-D; CHLOROPHYLL FLUORESCENCE; ULTRAVIOLET-RADIATION; VARIABLE FLUORESCENCE; PHOTOSYNTHESIS; ICE; IRRADIANCE; SVALBARD; TEMPERATURE</t>
  </si>
  <si>
    <t>The Czech Republic's Giant Mountains are a unique locality for studying snow algae because representatives of both significant genera, Chlamydomonas and Chloromonas (Chlorophyta), are regularly found there and are capable of completing their life cycle in several weeks. Physical and chemical environmental characteristics of two sites were measured in June 2008 and the photochemical processes of the snow algae were studied using variable chlorophyll fluorescence techniques. Correlations between the environmental conditions and the rapid light curve parameters were evaluated. The environment was characterized by stable snow temperature (T-snow; -0.6 to -0.3 degrees C) but variable air temperature (T-air; 4.3 to 15.3 degrees C), photosynthetically active radiation (PAR; maximum of approximately 2000 mu mol m(2) s(-1)), and ultraviolet radiation (UVR; 0.135 to 2.27 mW cm(-2)). The snow chemical composition at both experimental sites was similar, regardless of whether snow algae were present or not, and the nutrient concentrations resembled mesotrophic to eutrophic water. Only concentration of P-PO43- was significantly higher in the presence of algae. Vegetative and mating cells of Chloromonas cf. nivalis were observed on the snow surface down to a depth of 6 cm. The maximum quantum yield in a range from 0.479 to 0.624 indicated only minor or no stress conditions. While the relative electron transfer rate (142 to 241) and the initial slope (0.287 to 0.505 mu mol(-1) m(2) s(1)) were negatively related to T-air, PAR, and UVR, the saturation irradiance values were very stable (350 to 489 mu mol m(-2) s(-1)). Various strategies of acclimation to high PAR and/or UVR at different stages of the life cycle are proposed.</t>
  </si>
  <si>
    <t>Acad Sci Czech Republ, Inst Bot, CZ-37982 Trebon, Czech Republic</t>
  </si>
  <si>
    <t>Czech Academy of Sciences; Institute of Botany of the Czech Academy of Sciences</t>
  </si>
  <si>
    <t>Kvíderová, J (corresponding author), Acad Sci Czech Republ, Inst Bot, Dukelska 135, CZ-37982 Trebon, Czech Republic.</t>
  </si>
  <si>
    <t>kviderova@butbn.cas.cz</t>
  </si>
  <si>
    <t>Kviderova, Jana/B-1295-2009</t>
  </si>
  <si>
    <t>Kviderova, Jana/0000-0002-5700-477X</t>
  </si>
  <si>
    <t>Academy of Sciences of the Czech Republic [KJB600050708]; [AV0Z60050516]</t>
  </si>
  <si>
    <t>Academy of Sciences of the Czech Republic(Czech Academy of Sciences);</t>
  </si>
  <si>
    <t>The work was supported by the Grant Agency of the Academy of Sciences of the Czech Republic project KJB600050708 and the long-term institutional research plan AV0Z60050516. I thank the authorities of Giant Mountains National Park for permission to perform these experiments and especially to Dr. Milena Kocianova for regular screening of the snowfields. I would like to thank the personnel of the Analytical Laboratory for chemical analyses and Dr. Vladislav Cepak for logistics support. I also thank reviewers for critical comments to the manuscript.</t>
  </si>
  <si>
    <t>10.1657/1938-4246-42.2.210</t>
  </si>
  <si>
    <t>WOS:000278113800007</t>
  </si>
  <si>
    <t>Mu, JP; Li, GY; Sun, SC</t>
  </si>
  <si>
    <t>Mu, Junpeng; Li, Guoyong; Sun, Shucun</t>
  </si>
  <si>
    <t>Petal Color, Flower Temperature, and Behavior in an Alpine Annual Herb, Gentiana leucomelaena (Gentianaceae)</t>
  </si>
  <si>
    <t>LIGHT; MOVEMENTS; CLOSURE; THERMOGENESIS; POLLINATION; HEAT; BLUE</t>
  </si>
  <si>
    <t>Gentiana leucomelaena (Gentianaceae), an alpine herbaceous species of the Qinghai-Tibetan Plateau, has two colors of flowers (blue and white) that bloom in early spring. In order to determine the effect of petal color on flower interior temperature and behavior in the gentian, we investigated the differences in timing of flower opening and closure and the interior temperature of blooming flowers between the two colors, while recording the ambient temperature, light intensity, and relative humidity over the flowering season from March to May of 2009. When the flowers were open, the anther temperature was higher in the white flowers than in the blue flowers in various weather patterns; in particular it was about 2 degrees C higher on sunny days. Relative to the ambient temperature, the anther temperature was 1.27 degrees C higher in the white flowers, but was 0.41 degrees C lower in the blue flowers. Compared to blue flowers, white flowers opened later but closed earlier in the day at a higher ambient temperature. The two-factor two-level experiment (10 degrees C vs. 20 degrees C and 10,000 lux vs. darkness) indicates that temperature is the factor eventually determining the timing of flower opening and opening rates, but light may accelerate flower opening at the same temperature. The dye experiment, in which blue flowers were painted with red and purple food coloring, showed that the purple flowers had higher anther temperature, opened later but closed earlier, relative to the red ones. These results suggest that flower interior temperature is affected by both flower color and behavior in the species. In addition, we surveyed the percentages of the two flower colors in the field during the flowering season and also experimentally placed individuals with flower buds into growth chambers with contrasting day/night temperatures (12 degrees C/2 degrees C, 15 degrees C/2 degrees C, and 20 degrees C/2 degrees C), so as to examine the temperature effect on flower color frequency. A greater proportion of white flowers emerged in the early stage of the flowering season and in the low-temperature chambers, but blue ones dominated the late season and in the high-temperature chambers. This suggests that the color differentiation in the species is associated with temperature. The different strategies of adaptation to temperature might have allowed for flower color polymorphism.</t>
  </si>
  <si>
    <t>[Mu, Junpeng; Li, Guoyong; Sun, Shucun] Chinese Acad Sci, ECORES Lab, Chengdu Inst Biol, Chengdu 610041, Peoples R China</t>
  </si>
  <si>
    <t>Chinese Academy of Sciences; Chengdu Institute of Biology, CAS</t>
  </si>
  <si>
    <t>Sun, SC (corresponding author), Nanjing Univ, Dept Biol, 22 Hankou Rd, Nanjing 210093, Peoples R China.</t>
  </si>
  <si>
    <t>shcs@nju.edu.cn</t>
  </si>
  <si>
    <t>Mu, Junpeng/0000-0001-5801-1878</t>
  </si>
  <si>
    <t>NSFC [30670333]; Chinese Academy of Sciences [KZCX2-XB2-02]; NCET</t>
  </si>
  <si>
    <t>NSFC(National Natural Science Foundation of China (NSFC)); Chinese Academy of Sciences(Chinese Academy of Sciences); NCET(Program for New Century Excellent Talents in University (NCET))</t>
  </si>
  <si>
    <t>We thank Yinzhan Liu, Xinwei Wu, Shiping Li, and He Bin for field assistance. We also thank Hongyuan Alpine Meadow Ecosystem Research Station of the Chinese Academy of Sciences for permitting this study to be conducted. This study was funded by NSFC (30670333), the Chinese Academy of Sciences (KZCX2-XB2-02), and NCET to Shucun Sun.</t>
  </si>
  <si>
    <t>10.1657/1938-4246-42.2.219</t>
  </si>
  <si>
    <t>WOS:000278113800008</t>
  </si>
  <si>
    <t>Winkler, E; Marcante, S; Erschbamer, B</t>
  </si>
  <si>
    <t>Winkler, Eckart; Marcante, Silvia; Erschbamer, Brigitta</t>
  </si>
  <si>
    <t>Demographic Consequences of the Two Reproductive Modes in Poa alpina L. along a Primary Succession Gradient in the Central Alps</t>
  </si>
  <si>
    <t>SEEDLING ESTABLISHMENT; GLACIER FORELAND; CLONAL PLANTS; LIFE-HISTORY; VEGETATION; DYNAMICS; GROWTH; SIZE; RECRUITMENT; POPULATIONS</t>
  </si>
  <si>
    <t>Poa alpina grass plays a predominant role across the entire range of primary succession on alpine glacier forelands. One demographic factor that reacts clearly to changing environmental conditions is reproduction. Using permanent plot data, the complete life cycle of Poa alpha, was studied along a successional gradient of the Rotmoos glacier foreland (2300-2400 m a.s.l., Central Alps, Austria) over a period of three years. We used matrix modeling to study the importance of the generation of plantlets and seedlings along the successional gradient and their ability to form adult individuals, and we hypothesized that plantlets develop faster to adults than seedlings because they start already with 3-4 developed leaves. The study showed that plantlet and seedling fecundities of Poa alpina changed differently in the course of succession: seedling establishment was observed over the entire range of the successional stages, whereas plantlet establishment almost vanished with ongoing succession. In the pioneer stage, plantlets were more important than reproduction by seedlings. But we found neither a higher survival rate nor a significant advantage in development to adults for plantlets compared to seedlings. Opportunistic reproduction-plantlets under harsh abiotic conditions, seeds under increasing density-may therefore explain the fact that the species is ubiquitous along the whole glacier foreland.</t>
  </si>
  <si>
    <t>[Winkler, Eckart] UFZ Helmholtz Ctr Environm Res, Dept Ecol Modelling, D-04318 Leipzig, Germany; [Marcante, Silvia; Erschbamer, Brigitta] Univ Innsbruck, Inst Bot, A-6020 Innsbruck, Austria</t>
  </si>
  <si>
    <t>Helmholtz Association; Helmholtz Center for Environmental Research (UFZ); University of Innsbruck</t>
  </si>
  <si>
    <t>Winkler, E (corresponding author), UFZ Helmholtz Ctr Environm Res, Dept Ecol Modelling, Permoserstr 15, D-04318 Leipzig, Germany.</t>
  </si>
  <si>
    <t>eckart.winkler@ufz.de; brigitta.erschbamer@uibk.ac.at</t>
  </si>
  <si>
    <t>Austrian Science Foundation [P16615-B06]; Austrian Science Fund (FWF) [P16615] Funding Source: Austrian Science Fund (FWF)</t>
  </si>
  <si>
    <t>Austrian Science Foundation(Austrian Science Fund (FWF)); Austrian Science Fund (FWF)(Austrian Science Fund (FWF))</t>
  </si>
  <si>
    <t>We would like to thank Erich Schwienbacher, Barbara Beikircher, and Fabian Nagl for their help in the field and we are grateful to Rudiger Kaufmann for providing the temperature data. Special thanks to Meini Strobl, Alpine Research Centre Obergurgl, for his support during field work. We thank two anonymous referees for their comments on the manuscript and Justin Calabrese for checking the language. The study was funded by the Austrian Science Foundation (FWF Project No. P16615-B06).</t>
  </si>
  <si>
    <t>10.1657/1938-4246-42.2.227</t>
  </si>
  <si>
    <t>WOS:000278113800009</t>
  </si>
  <si>
    <t>Dyrness, T; Van Cleve, K; Yarie, J</t>
  </si>
  <si>
    <t>Dyrness, Ted; Van Cleve, Keith; Yarie, John</t>
  </si>
  <si>
    <t>Leslie A. Viereck 1933-2008 In Memoriam</t>
  </si>
  <si>
    <t>Biographical-Item</t>
  </si>
  <si>
    <t>[Yarie, John] Univ Alaska Fairbanks, Forest Soils Lab, Fairbanks, AK 99775 USA</t>
  </si>
  <si>
    <t>Dyrness, T (corresponding author), 1037 Morse Lane, Albany, OR 97321 USA.</t>
  </si>
  <si>
    <t>10.1657/1938-4246-42.2.236</t>
  </si>
  <si>
    <t>WOS:000278113800010</t>
  </si>
  <si>
    <t>Suhada, R; Song, J; Böhringer, H; Benson, BA; Mohr, J; Fassbender, R; Finoguenov, A; Pierini, D; Pratt, GW; Andersson, K; Armstrong, R; Desai, S</t>
  </si>
  <si>
    <t>Suhada, R.; Song, J.; Boehringer, H.; Benson, B. A.; Mohr, J.; Fassbender, R.; Finoguenov, A.; Pierini, D.; Pratt, G. W.; Andersson, K.; Armstrong, R.; Desai, S.</t>
  </si>
  <si>
    <t>XMM-Newton detection of two clusters of galaxies with strong SPT Sunyaev-Zel'dovich effect signatures</t>
  </si>
  <si>
    <t>galaxies: clusters: individual: SPT-CL J2332-5358; galaxies: clusters: individual: SPT-CL J2342-5411; surveys; X-rays: galaxies: clusters</t>
  </si>
  <si>
    <t>X-RAY-PROPERTIES; SCALING RELATIONS; CATALOG; MASS</t>
  </si>
  <si>
    <t>We report on the discovery of two galaxy clusters, SPT-CL J2332-5358 and SPT-CL J2342-5411, in X-rays. These clusters were also independently detected through their Sunyaev-Zel'dovich effect by the South Pole Telescope, and in the optical band by the Southern Cosmology Survey. They are thus the first clusters detected under survey conditions by all major cluster search approaches. The X-ray detection is made within the frame of the XMM-BCS cluster survey utilizing a novel XMM-Newton mosaic-mode of observations. The present study makes the first scientific use of this operation mode. We estimate the X-ray spectroscopic temperature of SPT-CL J2332-5358 (at redshift z = 0.32) to be T = 9.3(-1.9)(+3.3) keV, implying a high mass, M(500) = 8.8 +/- 3.8 x 10(14) M(circle dot). For SPT-CL J2342-5411, at z = 1.08, the available X-ray data do not allow us to directly estimate the temperature with good confidence. However, using our measured luminosity and scaling relations we estimate that T = 4.5 +/- 1.3 keV and M(500) = 1.9 +/- 0.8 x 10(14) M(circle dot). We find a good agreement between the X-ray masses and those estimated from the Sunyaev-Zel'dovich effect.</t>
  </si>
  <si>
    <t>[Suhada, R.; Boehringer, H.; Mohr, J.; Fassbender, R.; Finoguenov, A.; Pierini, D.] Max Planck Inst Extraterr Phys, D-85748 Garching, Germany; [Song, J.; Armstrong, R.; Desai, S.] Univ Illinois, Dept Astron, Urbana, IL 61801 USA; [Benson, B. A.] Univ Chicago, Kavli Inst Cosmol Phys, Chicago, IL 60637 USA; [Mohr, J.] Univ Munich, Dept Phys, D-81679 Munich, Germany; [Benson, B. A.] Univ Calif Berkeley, Dept Phys, Berkeley, CA 94720 USA; [Benson, B. A.] Univ Chicago, Enrico Fermi Inst, Chicago, IL 60637 USA; [Pratt, G. W.] Univ Paris Diderot, CEA Saclay, Lab AIM, IRFU Serv Astrophys,CEA DSM,CNRS, F-91191 Gif Sur Yvette, France; [Andersson, K.] MIT, MKI, Cambridge, MA 02139 USA; [Finoguenov, A.] Univ Maryland, Baltimore, MD 21250 USA; [Mohr, J.] Excellence Cluster Univ, D-85748 Garching, Germany</t>
  </si>
  <si>
    <t>Max Planck Society; University of Illinois System; University of Illinois Urbana-Champaign; University of Chicago; University of Munich; University of California System; University of California Berkeley; University of Chicago; Universite Paris Saclay; CEA; Centre National de la Recherche Scientifique (CNRS); Universite Paris Cite; Massachusetts Institute of Technology (MIT); University System of Maryland; University of Maryland Baltimore</t>
  </si>
  <si>
    <t>Suhada, R (corresponding author), Max Planck Inst Extraterr Phys, Giessenbachstr 1, D-85748 Garching, Germany.</t>
  </si>
  <si>
    <t>rsuhada@mpe.mpg.de</t>
  </si>
  <si>
    <t>Mohr, Joseph/0000-0002-6875-2087; Benson, Bradford/0000-0002-5108-6823; Fassbender, Rene/0000-0001-7489-0702</t>
  </si>
  <si>
    <t>National Science Foundation [ANT-0638937, ANT-0130612]; National Science Foundation (NSF) Office of Polar Programs; United States Antarctic Program; Raytheon Polar Services Company; DfG [SPP1177]; Cluster of Excellence Origin and Structure of the Universe; Excellence Initiative of the Federal Government of Germany [153]; KICP</t>
  </si>
  <si>
    <t>National Science Foundation(National Science Foundation (NSF)); National Science Foundation (NSF) Office of Polar Programs(National Science Foundation (NSF)); United States Antarctic Program; Raytheon Polar Services Company; DfG(German Research Foundation (DFG)); Cluster of Excellence Origin and Structure of the Universe; Excellence Initiative of the Federal Government of Germany; KICP</t>
  </si>
  <si>
    <t>We thank the XMM-Newton SOC for implementing the mosaic-mode. Particularly, we thank Pedro Rodriguez for useful discussions about the data analysis. We also thank the Blanco Cosmology Survey team for executing and processing the observations used in this paper. We thank the SPT team for SZE mass estimates and maps of this cluster. The South Pole Telescope is supported by the National Science Foundation through grants ANT-0638937 and ANT-0130612. The SPT also thanks the National Science Foundation (NSF) Office of Polar Programs, the United States Antarctic Program and the Raytheon Polar Services Company for their support of the project. R.S. acknowledges support by the DfG in the program SPP1177. H.B. acknowledges support for the research group through The Cluster of Excellence Origin and Structure of the Universe, funded by the Excellence Initiative of the Federal Government of Germany, EXC project number 153. B.B. acknowledges additional support from a KICP Fellowship.</t>
  </si>
  <si>
    <t>L3</t>
  </si>
  <si>
    <t>10.1051/0004-6361/201014434</t>
  </si>
  <si>
    <t>633LQ</t>
  </si>
  <si>
    <t>WOS:000280504800003</t>
  </si>
  <si>
    <t>Kim, A; Bonissent, A; Christiansen, JL; Ealet, A; Faccioli, L; Gladney, L; Kushner, G; Linder, E; Stoughton, C; Wang, L</t>
  </si>
  <si>
    <t>Kim, A.; Bonissent, A.; Christiansen, J. L.; Ealet, A.; Faccioli, L.; Gladney, L.; Kushner, G.; Linder, E.; Stoughton, C.; Wang, L.</t>
  </si>
  <si>
    <t>Prospective Type Ia supernova surveys from Dome A</t>
  </si>
  <si>
    <t>ASTROPARTICLE PHYSICS</t>
  </si>
  <si>
    <t>Supernova: Type Ia, Dome A; Surveys; Cosmology</t>
  </si>
  <si>
    <t>TELESCOPE; EMISSION; SITE</t>
  </si>
  <si>
    <t>Dome A, the highest plateau in Antarctica, is being developed as a site for an astronomical observatory. The planned telescopes and instrumentation and the unique site characteristics are conducive toward Type la supernova surveys for cosmology. A self-contained search and survey over 5 years can yield a spectro-photometric time series of similar to 1000z &lt; 0.08 supernovae. These can serve to anchor the Hubble diagram and quantify the relationship between luminosities and heterogeneities within the Type la supernova class, reducing systematics. Larger aperture (greater than or similar to 4-m) telescopes are capable of discovering supernovae shortly after explosion out to z similar to 3. These can be fed to space telescopes, and can isolate systematics and extend the redshift range over which we measure the expansion history of the universe. Published by Elsevier B.V.</t>
  </si>
  <si>
    <t>[Kim, A.; Kushner, G.] Univ Calif Berkeley, Lawrence Berkeley Lab, Berkeley, CA 94720 USA; [Bonissent, A.; Ealet, A.] Ctr Phys Particules Marseille, Marseille, France; [Christiansen, J. L.] Calif Polytech State Univ San Luis Obispo, San Luis Obispo, CA 93407 USA; [Faccioli, L.; Linder, E.] Univ Calif Berkeley, Berkeley, CA 94720 USA; [Stoughton, C.] Fermilab Natl Accelerator Lab, Batavia, IL 60510 USA; [Gladney, L.] Univ Penn, Philadelphia, PA 19104 USA; [Wang, L.] Texas A&amp;M Univ, College Stn, TX 77843 USA; [Wang, L.] Chinese Ctr Antarctic Astron, Nanjing, Peoples R China</t>
  </si>
  <si>
    <t>University of California System; University of California Berkeley; United States Department of Energy (DOE); Lawrence Berkeley National Laboratory; Aix-Marseille Universite; California State University System; California Polytechnic State University San Luis Obispo; University of California System; University of California Berkeley; United States Department of Energy (DOE); University of Chicago; Fermi National Accelerator Laboratory; University of Pennsylvania; Texas A&amp;M University System; Texas A&amp;M University College Station</t>
  </si>
  <si>
    <t>Kim, A (corresponding author), Univ Calif Berkeley, Lawrence Berkeley Lab, Berkeley, CA 94720 USA.</t>
  </si>
  <si>
    <t>agkim@lbl.gov</t>
  </si>
  <si>
    <t>U.S. Department of Energy [AC02-05CH11231, DE-AC02-07CH11359]; NSF [AST 0708873]</t>
  </si>
  <si>
    <t>U.S. Department of Energy(United States Department of Energy (DOE)); NSF(National Science Foundation (NSF))</t>
  </si>
  <si>
    <t>This work was supported by the Director. Office of Science, Office of High Energy Physics, of the U.S. Department of Energy under Contract Nos. DE-AC02-05CH11231 and DE-AC02-07CH11359. L.W. is supported partially by an NSF Grant AST 0708873.</t>
  </si>
  <si>
    <t>0927-6505</t>
  </si>
  <si>
    <t>1873-2852</t>
  </si>
  <si>
    <t>ASTROPART PHYS</t>
  </si>
  <si>
    <t>Astropart Phys.</t>
  </si>
  <si>
    <t>10.1016/j.astropartphys.2010.02.004</t>
  </si>
  <si>
    <t>599YH</t>
  </si>
  <si>
    <t>WOS:000277949700005</t>
  </si>
  <si>
    <t>Xia, CH; Xie, ZQ; Sun, LG</t>
  </si>
  <si>
    <t>Xia, Chonghuan; Xie, Zhouqing; Sun, Liguang</t>
  </si>
  <si>
    <t>Atmospheric mercury in the marine boundary layer along a cruise path from Shanghai, China to Prydz Bay, Antarctica</t>
  </si>
  <si>
    <t>Mercury; Atmosphere; Marine boundary layer (MBL); Antarctica</t>
  </si>
  <si>
    <t>ATLANTIC-OCEAN; SPECIATION; POLLUTION; SUMMER; BUDGET; TRENDS; SEA</t>
  </si>
  <si>
    <t>The total gaseous mercury (TGM) measurements were performed using an automatic Mercury Vapor Analyze (model 2537B) aboard the Chinese research vessel (R/V) XueLong during the 24th China Antarctic Research Expedition from Shanghai. China to Prydz Bay, Antarctica in 2007. TGM ranged between 0.302 and 4.496 ng m(-3) with an average of 1.536 +/- 0.785 ng m(-3) over the entire period. Geographically, TGM in the Northern Hemisphere and the Southern Hemisphere along the cruise path were 1.746 +/- 0.513 and 1.471 +/- 0.842 ng m(-3) in average, respectively. Higher TGM concentrations were observed in the coastal regions outside the polar region due primarily to air masses transported from the adjacent mainland reflecting the contribution from anthropogenic sources. The pronounced episode was recorded when ship passed through Sunda straits, which should be ascribed to the volcano plume and/or biomass burning contamination. In the maritime Antarctic TGM level was in agreement with the values by land-based observation, presenting a diurnal cycle with the maximum around midday and minimum at night. Atmospheric mercury destruction events dominated by the oxidation of atmospheric Hg-0 were apparently observed in this region. (C) 2010 Elsevier Ltd. All rights reserved.</t>
  </si>
  <si>
    <t>[Xia, Chonghuan; Xie, Zhouqing; Sun, Liguang] Univ Sci &amp; Technol China, Sch Earth &amp; Space Sci, Inst Polar Environm, Hefei 230026, Anhui, Peoples R China</t>
  </si>
  <si>
    <t>Chinese Academy of Sciences; University of Science &amp; Technology of China, CAS</t>
  </si>
  <si>
    <t>Xie, ZQ (corresponding author), Univ Sci &amp; Technol China, Sch Earth &amp; Space Sci, Inst Polar Environm, Hefei 230026, Anhui, Peoples R China.</t>
  </si>
  <si>
    <t>zqxie@ustc.edu.cn</t>
  </si>
  <si>
    <t>xie, zhouqing/P-9661-2019</t>
  </si>
  <si>
    <t>National Natural Science Foundation of China [40776001, 40306001]; Foundation for the Author of National Excellent Doctoral Dissertation of PR China [200354]; Ministry of Education of China; Chinese Academy of Sciences [KZCX2-YW-QN506]; Chinese Arctic and Antarctic Administration</t>
  </si>
  <si>
    <t>National Natural Science Foundation of China(National Natural Science Foundation of China (NSFC)); Foundation for the Author of National Excellent Doctoral Dissertation of PR China(Foundation for the Author of National Excellent Doctoral Dissertation of China); Ministry of Education of China(Ministry of Education, China); Chinese Academy of Sciences(Chinese Academy of Sciences); Chinese Arctic and Antarctic Administration</t>
  </si>
  <si>
    <t>This research was supported by grants from the National Natural Science Foundation of China (Project Nos. 40776001 and 40306001), the Foundation for the Author of National Excellent Doctoral Dissertation of PR China (Grant 200354), the Ministry of Education of China, and the Chinese Academy of Sciences (Grant KZCX2-YW-QN506). Fieldwork was supported by the Chinese Arctic and Antarctic Administration. We thank Joel D. Blum, Gerald J. Keeler and Feiyue Wang for helpful discussions.</t>
  </si>
  <si>
    <t>10.1016/j.atmosenv.2009.12.039</t>
  </si>
  <si>
    <t>593QW</t>
  </si>
  <si>
    <t>WOS:000277476200013</t>
  </si>
  <si>
    <t>Rusinova-Videva, S; Pavlova, K; Panchev, I; Georgieva, K; Kuncheva, M</t>
  </si>
  <si>
    <t>Rusinova-Videva, S.; Pavlova, K.; Panchev, I.; Georgieva, K.; Kuncheva, M.</t>
  </si>
  <si>
    <t>EFFECT OF DIFFERENT FACTORS ON BIOSYNTHESIS FROM ANTARCTIC YEAST</t>
  </si>
  <si>
    <t>Antarctic yeast; Isolate 100; exopolysaccharide; production</t>
  </si>
  <si>
    <t>Psychrophilic yeast Isolate 100, was selected as a producer of exopolysaccharide. A laboratory scheme was created for obtaining of the biopolymer. Biotechnological and physicochemical factors influencing its biosynthesis were investigated. It was determined that inocolum quantity from 6-10%, cultivated for 48 hours at 22 C, is suitable for maximum synthesis. The exopolysaccharide that was synthessed in the culture liquid was thermostable at 50 C to 70 C and it degrades at 80 C. The quantity of the sedimentary polymer, that was synthesis on environment with arabinose and mannose from Isolate 100, after incubation in ethanol at 4 C for 120 hours staying at the time of 120 hours in ethanol at 4 C, was increased with 40%. The influence of the temperature over drying of the exopolysaccharide at 65 C and 105 C was studied. At the low temperature of drying the polymer contained near 20% humidity. The effect of the experimental conditions (temperature, time, concentration of 2%, 3%, 4%, 5%) on the apparent viscosity values of the cultural liquid was studied. It was found to reveal a behaviour of non-Newtonian liquid. The power law equation of Oswald- de Waale describing the change of the apparent viscosity was derived.</t>
  </si>
  <si>
    <t>[Rusinova-Videva, S.; Pavlova, K.; Georgieva, K.] Bulgarian Acad Sci, Dept Microbial Biosynth &amp; Biotechnol, Inst Microbiol, Plovdiv, Bulgaria; [Panchev, I.; Kuncheva, M.] Univ Food Technol, Plovdiv, Bulgaria</t>
  </si>
  <si>
    <t>Bulgarian Academy of Sciences; Medical University Plovdiv; University of Food Technology - Bulgaria</t>
  </si>
  <si>
    <t>Rusinova-Videva, S (corresponding author), Bulgarian Acad Sci, Dept Microbial Biosynth &amp; Biotechnol, Inst Microbiol, Plovdiv, Bulgaria.</t>
  </si>
  <si>
    <t>jrusinova@abv.bg</t>
  </si>
  <si>
    <t>National Fund Scientific Investigation [DTK 02/46]</t>
  </si>
  <si>
    <t>This investigation was supported by the Grant DTK 02/46 from the National Fund Scientific Investigation.</t>
  </si>
  <si>
    <t>DIAGNOSIS PRESS LTD</t>
  </si>
  <si>
    <t>SOFIA</t>
  </si>
  <si>
    <t>67 DONDUKOV BLVD, 1504 SOFIA, BULGARIA</t>
  </si>
  <si>
    <t>10.1080/13102818.2010.10817891</t>
  </si>
  <si>
    <t>V31BV</t>
  </si>
  <si>
    <t>WOS:000208860000091</t>
  </si>
  <si>
    <t>Di Vincenzo, G; Bracciali, L; Del Carlo, P; Panter, K; Rocchi, S</t>
  </si>
  <si>
    <t>Di Vincenzo, Gianfranco; Bracciali, Laura; Del Carlo, Paola; Panter, Kurt; Rocchi, Sergio</t>
  </si>
  <si>
    <t>40Ar-39Ar dating of volcanogenic products from the AND-2A core (ANDRILL Southern McMurdo Sound Project, Antarctica): correlations with the Erebus Volcanic Province and implications for the age model of the core</t>
  </si>
  <si>
    <t>BULLETIN OF VOLCANOLOGY</t>
  </si>
  <si>
    <t>ANDRILL SMS; 40Ar-39Ar geochronology; Erebus volcanic province; McMurdo Sound; Lava clasts; Sedimentation rate; Tephra layers; Victoria Land Basin</t>
  </si>
  <si>
    <t>TRANSANTARCTIC MOUNTAINS; ERUPTIVE HISTORY; VICTORIA-LAND; 40AR/39AR; GEOCHRONOLOGY; RIFT; EVOLUTION; STANDARD; GEOLOGY; ISLAND</t>
  </si>
  <si>
    <t>The AND-2A drillcore (Antarctic Drilling Program-ANDRILL) was successfully completed in late 2007 on the Antarctic continental margin (Southern McMurdo Sound, Ross Sea) with the aim of tracking ice proximal to shallow marine environmental fluctuations and to document the 20-Ma evolution of the Erebus Volcanic Province. Lava clasts and tephra layers from the AND-2A drillcore were investigated from a petrographic and stratigraphic point of view and analyzed by the 40Ar-39Ar laser technique in order to constrain the age model of the core and to gain information on the style and nature of sediment deposition in the Victoria Land Basin since Early Miocene. Ten out of 17 samples yielded statistically robust 40Ar-39Ar ages, indicating that the AND-2A drillcore recovered a parts per thousand currency sign230 m of Middle Miocene (similar to 128-358 m below sea floor, similar to 11.5-16.0 Ma) and &gt; 780 m of Early Miocene (similar to 358-1093 m below sea floor, similar to 16.0-20.1 Ma). Results also highlight a nearly continuous stratigraphic record from at least 358 m below sea floor down hole, characterized by a mean sedimentation rate of similar to 19 cm/ka, possible oscillations of no more than a few hundreds of ka and a break within similar to 17.5-18.1 Ma. Comparison with available data from volcanic deposits on land, suggests that volcanic rocks within the AND-2A core were supplied from the south, possibly with source areas closer to the drill site for the upper core levels, and from 358 m below sea floor down hole, with the proto-Mount Morning as the main source.</t>
  </si>
  <si>
    <t>[Di Vincenzo, Gianfranco] CNR, Ist Geosci &amp; Georisorse, I-56124 Pisa, Italy; [Bracciali, Laura; Rocchi, Sergio] Univ Pisa, Dipartimento Sci Terra, I-56126 Pisa, Italy; [Del Carlo, Paola] Ist Nazl Geofis &amp; Vulcanol, Sez Pisa, I-56126 Pisa, Italy; [Panter, Kurt] Bowling Green State Univ, Dept Geol, Bowling Green, OH 43403 USA</t>
  </si>
  <si>
    <t>Consiglio Nazionale delle Ricerche (CNR); Istituto di Geoscienze e Georisorse (IGG-CNR); University of Pisa; Istituto Nazionale Geofisica e Vulcanologia (INGV); University System of Ohio; Bowling Green State University</t>
  </si>
  <si>
    <t>Di Vincenzo, G (corresponding author), CNR, Ist Geosci &amp; Georisorse, Via Moruzzi 1, I-56124 Pisa, Italy.</t>
  </si>
  <si>
    <t>g.divincenzo@igg.cnr.it</t>
  </si>
  <si>
    <t>Panter, Kurt S/B-4486-2010; Del Carlo, Paola/A-7442-2014; Bracciali, Laura/K-1023-2019; Del Carlo, Paola/AAH-1725-2019; Rocchi, Sergio/A-7752-2018</t>
  </si>
  <si>
    <t>Bracciali, Laura/0000-0002-2713-8806; Rocchi, Sergio/0000-0001-6868-1939; DI VINCENZO, GIANFRANCO/0000-0002-9669-9789; Del Carlo, Paola/0000-0001-5506-4579; Panter, Kurt S./0000-0002-0990-5880</t>
  </si>
  <si>
    <t>US National Science Foundation (NSF); NZ Foundation for Research, Science and Technology (FRST); Italian Antarctic Research Program (PNRA); German Research Foundation (DFG); Alfred Wegener Institute (AWI); Consiglio Nazionale delle Ricerche</t>
  </si>
  <si>
    <t>US National Science Foundation (NSF)(National Science Foundation (NSF)); NZ Foundation for Research, Science and Technology (FRST)(New Zealand Foundation for Research, Science and Technology); Italian Antarctic Research Program (PNRA); German Research Foundation (DFG)(German Research Foundation (DFG)); Alfred Wegener Institute (AWI); Consiglio Nazionale delle Ricerche(Consiglio Nazionale delle Ricerche (CNR))</t>
  </si>
  <si>
    <t>The journal reviews of S. Hemming and W. LeMasurier and the editorial handling by M. A. Clynne are gratefully acknowledged. G. D. V. is indebted to W. McIntosh, who kindly provided the fluence monitor Fish Canyon sanidine. The ANDRILL Program is a multinational collaboration between the Antarctic programs of Germany, Italy, New Zealand, and USA. Antarctica New Zealand is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Centre. The ANDRILL Science Management Office at the University of Nebraska-Lincoln provided science planning and operational support. Scientific studies are jointly supported by the US National Science Foundation (NSF), NZ Foundation for Research, Science and Technology (FRST), the Italian Antarctic Research Program (PNRA), the German Research Foundation (DFG) and the Alfred Wegener Institute (AWI) for Polar and Marine Research. The Ar-Ar laserprobe facility was funded by the PNRA and the CO2 laser system by the Consiglio Nazionale delle Ricerche.</t>
  </si>
  <si>
    <t>0258-8900</t>
  </si>
  <si>
    <t>1432-0819</t>
  </si>
  <si>
    <t>B VOLCANOL</t>
  </si>
  <si>
    <t>Bull. Volcanol.</t>
  </si>
  <si>
    <t>10.1007/s00445-009-0337-z</t>
  </si>
  <si>
    <t>586JJ</t>
  </si>
  <si>
    <t>WOS:000276903200007</t>
  </si>
  <si>
    <t>Mardon, J; Saunders, SM; Anderson, MJ; Couchoux, C; Bonadonna, F</t>
  </si>
  <si>
    <t>Mardon, Jerome; Saunders, Sandra M.; Anderson, Marti J.; Couchoux, Charline; Bonadonna, Francesco</t>
  </si>
  <si>
    <t>Species, Gender, and Identity: Cracking Petrels' Sociochemical Code</t>
  </si>
  <si>
    <t>CHEMICAL SENSES</t>
  </si>
  <si>
    <t>chemical communication; compatibility-based mate choice; distance-based multivariate statistics; GCMS; individual signature; olfaction</t>
  </si>
  <si>
    <t>OLFACTORY SIGNATURE; ODOR RECOGNITION; CHEMICAL COMMUNICATION; GENETIC COMPATIBILITY; HALOBAENA-CAERULEA; SEXUAL SELECTION; FEEDING ECOLOGY; ILES-KERGUELEN; PREDATION RISK; BLUE PETRELS</t>
  </si>
  <si>
    <t>Avian chemosignaling remains relatively unexplored, but its potential importance in birds' social behaviors is becoming recognized. Procellariiform seabirds provide particularly appropriate models for investigating these topics as they possess a well-developed olfactory system and unequalled associated capabilities. We present here results from a detailed chemical examination of the uropygial secretions (the main source of avian exogenous chemicals) from 2 petrel species, Antarctic prions and blue petrels. Using gas chromatography-mass spectrometry techniques and recently developed multivariate tools, we demonstrate that the secretions contain critical socioecological information such as species, gender, and individual identity. Importantly, these chemosignals correlate with some of the birds' olfactory behaviors demonstrated in the field. The molecules found to be associated with social information were essentially large unsaturated compounds, suggesting that these may be precursors of, or correlates to the actual airborne signals. Although the species-specific chemosignal may be involved in interspecific competition at the breeding grounds, the role of the sexually specific chemosignal remains unclear. The existence of individually specific signals (i.e., chemical signatures) in these birds has important implications for processes such as individual recognition and genetically based mate choice already suspected for this group. Our results open promising avenues of research for the study of avian chemical communication.</t>
  </si>
  <si>
    <t>[Mardon, Jerome; Couchoux, Charline; Bonadonna, Francesco] CNRS, Ctr Ecol Fonct &amp; Evolut, Dept Populat Biol, Behav Ecol Grp, F-34293 Montpellier, France; [Mardon, Jerome; Saunders, Sandra M.] Univ Western Australia, Sch Biomed Biomol &amp; Chem Sci, Atmospher &amp; Environm Chem Res AECR Grp, Crawley, WA 6009, Australia; [Anderson, Marti J.] Massey Univ, Inst Informat &amp; Math Sci, Auckland, New Zealand</t>
  </si>
  <si>
    <t>Universite PSL; Ecole Pratique des Hautes Etudes (EPHE); Institut Agro; Montpellier SupAgro; CIRAD; Centre National de la Recherche Scientifique (CNRS); Institut de Recherche pour le Developpement (IRD); Universite Paul-Valery; Universite de Montpellier; University of Western Australia; Massey University</t>
  </si>
  <si>
    <t>Mardon, J (corresponding author), CNRS, Ctr Ecol Fonct &amp; Evolut, Dept Populat Biol, Behav Ecol Grp, 1919 Route Mende, F-34293 Montpellier, France.</t>
  </si>
  <si>
    <t>jerome.mardon@cefe.cnrs.fr</t>
  </si>
  <si>
    <t>Anderson, Marti J./AAQ-9038-2021; Bonadonna, Francesco/A-7456-2008; Tuluc, Petronel/C-2527-2011</t>
  </si>
  <si>
    <t>Anderson, Marti J./0000-0002-4018-4049; Bonadonna, Francesco/0000-0002-2702-5801;</t>
  </si>
  <si>
    <t>Institut Polaire Francxais Paul-Emile Victor [354]; Agence Nationale de la Recherche Francxaise [ANR-08-BLAN-0117-01]; Agence Nationale de la Recherche (ANR) [ANR-08-BLAN-0117] Funding Source: Agence Nationale de la Recherche (ANR)</t>
  </si>
  <si>
    <t>Institut Polaire Francxais Paul-Emile Victor; Agence Nationale de la Recherche Francxaise(Agence Nationale de la Recherche (ANR)); Agence Nationale de la Recherche (ANR)(Agence Nationale de la Recherche (ANR))</t>
  </si>
  <si>
    <t>This work was supported by the Institut Polaire Francxais Paul-Emile Victor through the program [ETHOTAAF 354 to F.B.]; and the Agence Nationale de la Recherche Francxaise [AMBO ANR-08-BLAN-0117-01 to F.B.].</t>
  </si>
  <si>
    <t>0379-864X</t>
  </si>
  <si>
    <t>1464-3553</t>
  </si>
  <si>
    <t>CHEM SENSES</t>
  </si>
  <si>
    <t>Chem. Senses</t>
  </si>
  <si>
    <t>10.1093/chemse/bjq021</t>
  </si>
  <si>
    <t>Behavioral Sciences; Food Science &amp; Technology; Neurosciences; Physiology</t>
  </si>
  <si>
    <t>Behavioral Sciences; Food Science &amp; Technology; Neurosciences &amp; Neurology; Physiology</t>
  </si>
  <si>
    <t>584FE</t>
  </si>
  <si>
    <t>WOS:000276735500007</t>
  </si>
  <si>
    <t>Chen, BL; Zhang, RH; Xiao, CD; Bian, LG; Zhang, TJ</t>
  </si>
  <si>
    <t>Chen BaiLian; Zhang RenHe; Xiao CunDe; Bian LinGen; Zhang TingJun</t>
  </si>
  <si>
    <t>Analyses on the air and snow temperatures near ground with observations of an AWS at Dome A, the summit of Antarctic Plateau</t>
  </si>
  <si>
    <t>Antarctic Plateau; Dome A; near-ground temperature; surface temperature; 10 m firn temperature</t>
  </si>
  <si>
    <t>AUTOMATIC WEATHER STATIONS; LAYER</t>
  </si>
  <si>
    <t>As the summit of the Antarctic Plateau, Dome A has been received international attentions. In this paper, observational data of an automatic weather station (AWS) at Dome A in 2005-2007 were used to analyze the seasonal variations of air temperatures near the ground and snow temperatures within a depth of 10 m. Analyses on the air temperatures show a typical feature of the coreless winter, and strong inversion maintains during the long winter. Accordingly the stratification near the ground is dominated by the near-neutral stable states. Seasonal fluctuations of the snow temperature decrease in amplitude and lag in phase with depth increasing, which leads to distinct seasonal temperature profiles within the depth of 10 m. Measurements show the mean annual air temperature near ground is about 5A degrees C higher than the 10 m firn temperature due to the strong inversion near the ground. However, our estimation of the annual mean of air temperature at the ground based on the boundary layer theory is close to the mean 10 m firn temperature. The lowest air temperature (-82.7A degrees C) currently measured at the Dome A is not the lowest one ever recorded in Antarctica, but the extremely low mean 10 m firn temperature (-58.2A degrees C) indicates very low ground temperature. Given the prominent inversion near the ground, it is expected that Dome A might house the lowest ground temperature on the planet.</t>
  </si>
  <si>
    <t>[Zhang RenHe; Xiao CunDe; Bian LinGen] Chinese Acad Meteorol Sci, Beijing 100081, Peoples R China; [Chen BaiLian] Chinese Acad Sci, Inst Atmospher Phys, Beijing 100029, Peoples R China; [Chen BaiLian] Chinese Acad Sci, Grad Univ, Beijing 100049, Peoples R China; [Xiao CunDe] Chinese Acad Sci, Cold &amp; Arid Reg Environm &amp; Engn Res Inst, Lanzhou 730000, Peoples R China; [Zhang TingJun] Univ Colorado, Natl Snow &amp; Ice Data Ctr, Boulder, CO 80309 USA</t>
  </si>
  <si>
    <t>China Meteorological Administration; Chinese Academy of Meteorological Sciences (CAMS); Chinese Academy of Sciences; Institute of Atmospheric Physics, CAS; Chinese Academy of Sciences; University of Chinese Academy of Sciences, CAS; Chinese Academy of Sciences; Cold &amp; Arid Regions Environmental &amp; Engineering Research Institute, CAS; University of Colorado System; University of Colorado Boulder</t>
  </si>
  <si>
    <t>Zhang, RH (corresponding author), Chinese Acad Meteorol Sci, Beijing 100081, Peoples R China.</t>
  </si>
  <si>
    <t>renhe@cams.cma.gov.cn</t>
  </si>
  <si>
    <t>Zhang, Renhe/AAA-6301-2020; ZHANG, TINGJUN/AAX-3662-2020</t>
  </si>
  <si>
    <t>Zhang, Renhe/0000-0001-7750-8679; ZHANG, Tingjun/0000-0001-6974-9501</t>
  </si>
  <si>
    <t>National Science &amp; Technology Pillar Program [2006BAC 06B05]; Treasury Special Program of China [GYHY200706005]; National Natural Science Foundation of China [40921003]; Ministry of Science and Technology of China [2009DFA21430]</t>
  </si>
  <si>
    <t>National Science &amp; Technology Pillar Program; Treasury Special Program of China; National Natural Science Foundation of China(National Natural Science Foundation of China (NSFC)); Ministry of Science and Technology of China(Ministry of Science and Technology, China)</t>
  </si>
  <si>
    <t>We would like to thank the China Administration of Arctic and Antarctic of National Oceanic Bureau and the Polar Research Institute of China for data providing and logistic supporting. And we also thank the anonymous reviewers for the suggestions to revision. This work was supported by the National Science &amp; Technology Pillar Program (Grant No. 2006BAC 06B05), Treasury Special Program of China (Grant No. GYHY200706005), the National Natural Science Foundation of China (Grant No. 40921003) and the International S&amp;T Cooperation Project of the Ministry of Science and Technology of China (Grant No. 2009DFA21430).</t>
  </si>
  <si>
    <t>10.1007/s11434-010-0099-1</t>
  </si>
  <si>
    <t>591WG</t>
  </si>
  <si>
    <t>WOS:000277335300013</t>
  </si>
  <si>
    <t>Pollard, D</t>
  </si>
  <si>
    <t>Pollard, David</t>
  </si>
  <si>
    <t>A retrospective look at coupled ice sheet-climate modeling</t>
  </si>
  <si>
    <t>LAST GLACIAL MAXIMUM; SURFACE MASS-BALANCE; NORTHERN-HEMISPHERE GLACIATION; SOLAR-RADIATION VARIATIONS; ENERGY-BALANCE; ATMOSPHERIC CO2; GLOBAL CLIMATE; TRANSIENT SIMULATION; ANTARCTIC CLIMATE; WEST ANTARCTICA</t>
  </si>
  <si>
    <t>Penn State Univ, Earth &amp; Environm Syst Inst, University Pk, PA 16802 USA</t>
  </si>
  <si>
    <t>Pennsylvania Commonwealth System of Higher Education (PCSHE); Pennsylvania State University; Pennsylvania State University - University Park</t>
  </si>
  <si>
    <t>Pollard, D (corresponding author), Penn State Univ, Earth &amp; Environm Syst Inst, University Pk, PA 16802 USA.</t>
  </si>
  <si>
    <t>pollard@essc.psu.edu</t>
  </si>
  <si>
    <t>10.1007/s10584-010-9830-9</t>
  </si>
  <si>
    <t>599TR</t>
  </si>
  <si>
    <t>WOS:000277936900021</t>
  </si>
  <si>
    <t>Hengherr, S; Reuner, A; Brümmer, F; Schill, RO</t>
  </si>
  <si>
    <t>Hengherr, S.; Reuner, A.; Bruemmer, F.; Schill, R. O.</t>
  </si>
  <si>
    <t>Ice crystallization and freeze tolerance in embryonic stages of the tardigrade Milnesium tardigradum</t>
  </si>
  <si>
    <t>Tardigrada; Cryobiosis; Cold tolerance; DSC; Ice nucleation; Supercooling point; Differential scanning calorimetry</t>
  </si>
  <si>
    <t>ANTARCTIC NEMATODE; COLD TOLERANCE; CRYOPROTECTIVE DEHYDRATION; ADORYBIOTUS-CORONIFER; SURVIVAL; ANHYDROBIOSIS; NUCLEATION; CRYPTOBIOSIS; TEMPERATURE; DESICCATION</t>
  </si>
  <si>
    <t>In tardigrades, tolerance to low temperature is well known and allows them to cope with subzero temperatures in their environment. Although the ability to tolerate freezing body water has been demonstrated in some tardigrades, freeze tolerance of embryonic stages has been little studied, although this has ecological significance. In this study, we evaluated the subzero temperature survival of five different developmental stages of the eutardigrade species Milnesium tardigradum after freezing to -30 degrees C. Embryos were exposed to five different cooling rates between room temperature and -30 degrees C at 1 degrees C/h, 3 degrees C/h, 5 degrees C/h, 7 degrees C/h, and 9 degrees C/h followed by a warming period at 10 degrees C/h. The results showed that the developmental stage and the cooling rate have a significant effect on the hatching rate. Less developed embryonic stages were more sensitive to freezing at higher freezing rates than more developed stages. Differential Scanning Calorimetry (DSC) was used to determine the temperature of crystallization (Tc) in single embryos of the different developmental stages and revealed no differences between the stages. Based on the calorimetric data, we also conclude that the ice nucleation is homogeneous in embryonic stages in tardigrades, as also recently shown for fully developed tardigrades, and not triggered by nucleating agents. (C) 2010 Elsevier Inc. All rights reserved.</t>
  </si>
  <si>
    <t>[Hengherr, S.; Reuner, A.; Bruemmer, F.; Schill, R. O.] Univ Stuttgart, Dept Zool, Inst Biol, D-70569 Stuttgart, Germany</t>
  </si>
  <si>
    <t>University of Stuttgart</t>
  </si>
  <si>
    <t>Hengherr, S (corresponding author), Univ Stuttgart, Dept Zool, Inst Biol, Pfaffenwaldring 57, D-70569 Stuttgart, Germany.</t>
  </si>
  <si>
    <t>steffen.hengherr@bio.uni-stuttgart.de; andy.reuner@bio.uni-stuttgart.de; franz.bruemmer@bio.uni-stuttgart.de; ralph.schill@bio.uni-stuttgart.de</t>
  </si>
  <si>
    <t>German Federal Ministry of Education and Research [BMBF (0313838A)]</t>
  </si>
  <si>
    <t>German Federal Ministry of Education and Research(Federal Ministry of Education &amp; Research (BMBF))</t>
  </si>
  <si>
    <t>We thank Eva Roth for her valuable help in managing the tardigrade culture. This study is part of the project FUNCRYPTA, funded by the German Federal Ministry of Education and Research, BMBF (0313838A). In memoriam of Karl Erik Zachariassen, Norway.</t>
  </si>
  <si>
    <t>10.1016/j.cbpa.2010.01.015</t>
  </si>
  <si>
    <t>576GW</t>
  </si>
  <si>
    <t>WOS:000276133500019</t>
  </si>
  <si>
    <t>Undheim, EAB; Norman, JA; Thoen, HH; Fry, BG</t>
  </si>
  <si>
    <t>Undheim, Eivind Andreas Baste; Norman, Janette Ann; Thoen, Hanne Halkinrud; Fry, Bryan Grieg</t>
  </si>
  <si>
    <t>Genetic identification of Southern Ocean octopod samples using mtCOI</t>
  </si>
  <si>
    <t>COMPTES RENDUS BIOLOGIES</t>
  </si>
  <si>
    <t>Octopus; mtCOI; Pareledone; Adelieledone; Southern Ocean; Antarctica</t>
  </si>
  <si>
    <t>EVOLUTIONARY RELATIONSHIPS; CEPHALOPODA; PHYLOGENY; MOLLUSCA; TAXONOMY; GENUS; THAUMELEDONE; POPULATIONS; INFERENCE; ECOLOGY</t>
  </si>
  <si>
    <t>East Antarctic octopods were identified by sequencing mtCOI and using four analytical approaches: Neighbor-joining by Kimura-2-Parameter-based distances, character-based, BLAST, and Bayesian Inference of Phylogeny. Although the distance-based analytical approaches identified a high proportion of the sequences (99.5% to genus and 88.1% to species level), these results are undermined by the absence of a clear gap between intra-and interspecific variation. The character-based approach gave highly conflicting results compared to the distance-based methods and failed to identify apomorphic characters for many of the species. While a DNA independent approach is necessary for validation of the method comparisons, crude morphological observations give early support to the distance-based results and indicate extensive range expansions of several species compared to previous studies. Furthermore, the use of distance-based phylogenetic methods nevertheless group specimens into plausible species clades that are highly useful in non-taxonomical or non-systematic studies. (C) 2010 Academie des sciences. Published by Elsevier Masson SAS. All rights reserved.</t>
  </si>
  <si>
    <t>[Undheim, Eivind Andreas Baste; Norman, Janette Ann; Thoen, Hanne Halkinrud; Fry, Bryan Grieg] Univ Melbourne, Dept Biochem &amp; Mol Biol, Inst Bio21, Melbourne, Vic 3010, Australia; [Undheim, Eivind Andreas Baste; Thoen, Hanne Halkinrud] Norwegian Univ Sci &amp; Technol, Dept Biol, Trondheim Biol Stn, N-7491 Trondheim, Norway</t>
  </si>
  <si>
    <t>University of Melbourne; Melbourne Bioinformatics; Norwegian University of Science &amp; Technology (NTNU)</t>
  </si>
  <si>
    <t>Fry, BG (corresponding author), Univ Melbourne, Dept Biochem &amp; Mol Biol, Inst Bio21, Melbourne, Vic 3010, Australia.</t>
  </si>
  <si>
    <t>Undheim, Eivind A B/J-1557-2014</t>
  </si>
  <si>
    <t>Undheim, Eivind/0000-0002-8667-3999; Thoen, Hanne Halkinrud/0000-0001-8695-9578</t>
  </si>
  <si>
    <t>Australian Antarctic Division; Herman Slade Foundation.</t>
  </si>
  <si>
    <t>Funding for this project was provided by the Australian Antarctic Division and the Herman Slade Foundation. We would like to express our sincere thanks and gratitude to the Australian Antarctic Division for providing sea-time aboard RV Aurora Australis, the crew onboard RV Aurora Australis for bringing up countless trawl catches, and to voyage leader Dr Martin Riddle and deputy voyage leader Ms Sarah Robinson for a productive research cruise. We would also like to thank Amanda Talaba for her very helpful constructive criticism on the manuscript.</t>
  </si>
  <si>
    <t>ACAD SCIENCES</t>
  </si>
  <si>
    <t>PARIS</t>
  </si>
  <si>
    <t>23 QUAI DE CONTI, PARIS, FRANCE</t>
  </si>
  <si>
    <t>1631-0691</t>
  </si>
  <si>
    <t>1768-3238</t>
  </si>
  <si>
    <t>CR BIOL</t>
  </si>
  <si>
    <t>C. R. Biol.</t>
  </si>
  <si>
    <t>10.1016/j.crvi.2010.02.002</t>
  </si>
  <si>
    <t>608RO</t>
  </si>
  <si>
    <t>WOS:000278603900001</t>
  </si>
  <si>
    <t>Wharton, DA; Selvanesan, L; Marshall, CJ</t>
  </si>
  <si>
    <t>Wharton, D. A.; Selvanesan, L.; Marshall, C. J.</t>
  </si>
  <si>
    <t>ICE-ACTIVE PROTEINS FROM NEW ZEALAND SNOW TUSSOCKS, Chionochloa macra AND C. rigida</t>
  </si>
  <si>
    <t>CRYOLETTERS</t>
  </si>
  <si>
    <t>ice nucleators; recrystallization inhibition; thermal hysteresis; antifreeze protein; fog collection</t>
  </si>
  <si>
    <t>HYPERACTIVE ANTIFREEZE PROTEIN; NUCLEATION ACTIVITY; FREEZING TOLERANCE; ANTARCTIC-NEMATODE; PLANTS; RECRYSTALLIZATION; MICROHABITAT; BEETLE; GRASS</t>
  </si>
  <si>
    <t>The ice active protein profile of New Zealand snow tussocks Chionochloa macra and C. rigida consisted of ice nucleation activity but no antifreeze or recrystallization inhibition activity. The ice nucleation activity was similar in the two species, despite them being collected at different altitudes and at different times. The activity is intrinsic to the plant and is associated with the surface of the leaves. Snow tussocks collect water from fog. Nucleation sites on the surface of their leaves may aid the efficiency of this process.</t>
  </si>
  <si>
    <t>[Wharton, D. A.] Univ Otago, Dept Zool, Dunedin, New Zealand; [Selvanesan, L.; Marshall, C. J.] Univ Otago, Dept Biochem, Dunedin, New Zealand</t>
  </si>
  <si>
    <t>Marshall, Craig J./C-6668-2009</t>
  </si>
  <si>
    <t>Marshall, Craig J./0000-0003-4186-0368; Wharton, David/0000-0001-6369-4984</t>
  </si>
  <si>
    <t>We would like to thank Kim Garrett and Karen Judge for technical support, Kath Dickinson and Alan Mark for identifying tussock species, Kath Dickinson for her comments on the manuscript and the financial support of a University of Otago Research Grant.</t>
  </si>
  <si>
    <t>CRYO LETTERS</t>
  </si>
  <si>
    <t>C/O ROYAL VETERINARY COLLEGE, ROYAL COLLEGE ST, LONDON NW1 0TU, ENGLAND</t>
  </si>
  <si>
    <t>0143-2044</t>
  </si>
  <si>
    <t>1742-0644</t>
  </si>
  <si>
    <t>CryoLetters</t>
  </si>
  <si>
    <t>632XT</t>
  </si>
  <si>
    <t>WOS:000280463600005</t>
  </si>
  <si>
    <t>Rivaro, P; Massolo, S; Bergamasco, A; Castagno, P; Budillon, G</t>
  </si>
  <si>
    <t>Rivaro, Paola; Massolo, Serena; Bergamasco, Andrea; Castagno, Pasquale; Budillon, Giorgio</t>
  </si>
  <si>
    <t>Chemical evidence of the changes of the Antarctic Bottom Water ventilation in the western Ross Sea between 1997 and 2003</t>
  </si>
  <si>
    <t>NO; PO4*; Dissolved oxygen; Antarctic Bottom Water; Ross Sea</t>
  </si>
  <si>
    <t>OPTIMUM MULTIPARAMETER ANALYSIS; ICE SHELF; MIXING ANALYSIS; ADELIE LAND; DEEP WATERS; OCEAN; VARIABILITY; CIRCULATION; TEMPERATURE; FLOW</t>
  </si>
  <si>
    <t>Data from three Italian CLIMA project cruises between 1997 and 2003 were used to obtain sections of the hydrographic and chemical properties of the main water masses across the shelf break off Cape Adare (western Ross Sea, Antarctica). Dissolved oxygen, nitrate and phosphate data were combined on the basis of the Redfield ratio to obtain the quasi-conservative tracers NO (9[NO3]+[O-2])), PO (135[PO4]+[O-2]) and phosphate star PO4* (PO4* = [PO4] + [O-2])/175-1.95). In 1997 and 2003 the presence of the High Salinity Shelf Water at the bottom depth near the sill was traced by both physical and chemical measurements. In 2001 the Modified Shelf Water, characterized by warmer temperature and by a lower dissolved oxygen content than High Salinity Shelf Water, was observed at the shelf edge. The distribution of the chemical tracers together with the hydrographic observations showed recently formed Antarctic Bottom Water on the continental slope during all of the cruises. These observations were confirmed by the extended optimum multiparameter analysis. The calculated thickness of the new Antarctic Bottom Water, as well as the tracer content, were variable in time and in space. The estimated volume of the new Antarctic Bottom Water and the export of dissolved oxygen and nutrient associated with the overflowing water were different over the examined period. In particular, a lower (similar to 55%) export was evidenced in 2001 compared to 1997. (C) 2010 Elsevier Ltd. All rights reserved.</t>
  </si>
  <si>
    <t>[Rivaro, Paola; Massolo, Serena] Univ Genoa, Dept Chem &amp; Ind Chem, I-16146 Genoa, Italy; [Bergamasco, Andrea] CNR ISMAR, Natl Res Council, Inst Marine Sci, I-30122 Venice, Italy; [Castagno, Pasquale; Budillon, Giorgio] Parthenope Univ, Dept Environm Sci, Ctr Direz, I-80143 Naples, Italy</t>
  </si>
  <si>
    <t>University of Genoa; Consiglio Nazionale delle Ricerche (CNR); Istituto di Scienze Marine (ISMAR-CNR); Parthenope University Naples</t>
  </si>
  <si>
    <t>Rivaro, P (corresponding author), Univ Genoa, Dept Chem &amp; Ind Chem, Via Dodecaneso 31, I-16146 Genoa, Italy.</t>
  </si>
  <si>
    <t>rivaro@chimica.unige.it</t>
  </si>
  <si>
    <t>Castagno, Pasquale/JAC-6923-2023; Rivaro, Paola/I-8305-2012; Budillon, Giorgio/O-5348-2014; Castagno, Pasquale/HCI-3939-2022; CNR, Ismar/P-1247-2014</t>
  </si>
  <si>
    <t>Budillon, Giorgio/0000-0003-1756-2221; CNR, Ismar/0000-0001-5351-1486; Castagno, Pasquale/0000-0002-5705-1066; Bergamasco, Alessandro/0000-0003-3138-8418</t>
  </si>
  <si>
    <t>ENEA</t>
  </si>
  <si>
    <t>ENEA(ENEA, Italy)</t>
  </si>
  <si>
    <t>This study was carried out as part of the Italian National Program for Research in Antarctica (CLIMA Project) and was funded by ENEA through a joint research program. The help of the crew on the R.V. Italica is kindly acknowledged. We thank E. Zambianchi for his helpful comments. Thanks are due to Mrs. C.G. Cau for the English editing. The comments and the suggestions of the three anonymous referees were greatly appreciated and improved this paper.</t>
  </si>
  <si>
    <t>10.1016/j.dsr.2010.03.005</t>
  </si>
  <si>
    <t>603GA</t>
  </si>
  <si>
    <t>WOS:000278195500001</t>
  </si>
  <si>
    <t>van Wijk, EM; Rintoul, SR; Ronai, BM; Williams, GD</t>
  </si>
  <si>
    <t>van Wijk, Esmee M.; Rintoul, Stephen R.; Ronai, Belinda M.; Williams, Guy D.</t>
  </si>
  <si>
    <t>Regional circulation around Heard and McDonald Islands and through the Fawn Trough, central Kerguelen Plateau</t>
  </si>
  <si>
    <t>Kerguelen Plateau; Heard Island; Fawn Trough; Circulation; Antarctic Circumpolar Current; Polar Front</t>
  </si>
  <si>
    <t>ANTARCTIC CIRCUMPOLAR CURRENT; LARGE-SCALE CIRCULATION; TRACKED KING PENGUINS; SOUTHERN-OCEAN FRONTS; POLAR FRONT; PHYTOPLANKTON BLOOMS; FORAGING BEHAVIOR; WATER MASSES; TRANSPORT; VARIABILITY</t>
  </si>
  <si>
    <t>The fine-scale circulation around the Heard and McDonald Islands and through the Fawn Trough, Kerguelen Plateau, is described using data from three high-resolution CTD sections, Argo floats and satellite maps of chlorophyll a, sea surface temperature (SST) and absolute sea surface height (SSH). We confirm that the Polar Front (PF) is split into two branches over the Kerguelen Plateau, with the NPF crossing the north-eastern limits of our survey carrying 25 Sv to the southeast. The SPF was associated with a strong eastward-flowing jet carrying 12 Sv of baroclinic transport through the deepest part of Fawn Trough (relative to the bottom). As the section was terminated midway through the trough this estimate is very likely to be a lower bound for the total transport. We demonstrate that the SPF contributes to the Fawn Trough Current identified by previous studies. After exiting the Fawn Trough, the SPF crossed Chun Spur and continued as a strong north-westward flowing jet along the eastern flank of the Kerguelen Plateau before turning offshore between 50 degrees S and 51.5 degrees S. Measured bottom water temperatures suggest a deep water connection between the northern and southern parts of the eastern Kerguelen Plateau indicating that the deep western boundary current continues at least as far north as 50.5 degrees S. Analysis of satellite altimetry derived SSH streamlines demonstrates a southward shift of both the northern and southern branches of the Polar Front from 1994 to 2004. In the direct vicinity of the Heard and McDonald islands, cool waters of southern origin flow along the Heard Island slope and through the Eastern Trough bringing cold Winter Water (WW) onto the plateau. Complex topography funnels flow through canyons, deepens the mixed layer and increases productivity, resulting in this area being the preferred foraging region for a number of satellite-tracked land-based predators. Crown Copyright (C) 2010 Published by Elsevier Ltd. All rights reserved.</t>
  </si>
  <si>
    <t>[van Wijk, Esmee M.; Ronai, Belinda M.] Australian Antarctic Div, Kingston, Tas 7050, Australia; [Rintoul, Stephen R.] CSIRO Wealth Oceans Natl Res Flagship, Hobart, Tas 7001, Australia; [Rintoul, Stephen R.] Ctr Australian Weather &amp; Climate Res, Hobart, Tas 7001, Australia; [Williams, Guy D.] Hokkaido Univ, Inst Low Temp Sci, Kita Ku, Sapporo, Hokkaido 0600819, Japan</t>
  </si>
  <si>
    <t>Australian Antarctic Division; Commonwealth Scientific &amp; Industrial Research Organisation (CSIRO); Commonwealth Scientific &amp; Industrial Research Organisation (CSIRO); Hokkaido University</t>
  </si>
  <si>
    <t>van Wijk, EM (corresponding author), Antarctic Climate &amp; Ecosyst Cooperat Res Ctr, Private Bag 80, Hobart, Tas 7001, Australia.</t>
  </si>
  <si>
    <t>Esmee.vanWijk@csiro.au</t>
  </si>
  <si>
    <t>Rintoul, Stephen R/A-1471-2012; van Wijk, Esmee/AAB-2451-2020</t>
  </si>
  <si>
    <t>Rintoul, Stephen R/0000-0002-7055-9876; van Wijk, Esmee/0000-0002-9375-4383</t>
  </si>
  <si>
    <t>Australian Antarctic Science [2388]; Australian Government; European Union' Environment and Climate [ENV4-CT9560113]; DUACS [ENV4-CT96-0357]; CEO (Centre for Earth Observation); Midi-Pyrenees regional Council</t>
  </si>
  <si>
    <t>Australian Antarctic Science; Australian Government(Australian Government); European Union' Environment and Climate(European Union (EU)); DUACS; CEO (Centre for Earth Observation); Midi-Pyrenees regional Council(Region Occitanie)</t>
  </si>
  <si>
    <t>The authors thank the crew and expeditioners of the RSV Aurora Australis for their professionalism and assistance during the course of the survey. Mark Rosenberg is gratefully acknowledged for processing the CTD and ADCP data post-cruise and John Hunter for providing advice on ADCP data. We thank the anonymous reviewers of this paper for constructive comments which significantly improved this manuscript. This research was supported by Australian Antarctic Science Grant 2388 and by the Australian Government's Cooperative Research Centre program. MSLA data are generated by the CLS Space Oceanography Division as part of the European Union' Environment and Climate Project AGORA (ENV4-CT9560113) and DUACS (ENV4-CT96-0357) with financial support from the CEO programme (Centre for Earth Observation) and Midi-Pyrenees regional Council.</t>
  </si>
  <si>
    <t>10.1016/j.dsr.2010.03.001</t>
  </si>
  <si>
    <t>WOS:000278195500002</t>
  </si>
  <si>
    <t>Nicol, S; Raymond, B; Meiners, K</t>
  </si>
  <si>
    <t>Nicol, Stephen; Raymond, Ben; Meiners, Klaus</t>
  </si>
  <si>
    <t>BROKE-West, a large ecosystem survey of the South West Indian Ocean sector of the Southern Ocean, 30°E-80°E (CCAMLR Division 58.4.2)</t>
  </si>
  <si>
    <t>EAST ANTARCTICA 80-150-DEGREES-E; KRILL EUPHAUSIA-SUPERBA; AUSTRAL SUMMER; COMMUNITY STRUCTURE; SEA-ICE; SEABIRD ASSEMBLAGES; SCALE DISTRIBUTION; CONTINENTAL-SLOPE; WATER MASSES; 30-80-DEGREES-E</t>
  </si>
  <si>
    <t>[Nicol, Stephen; Raymond, Ben] Australian Antarctic Div, Dept Environm Water Heritage &amp; Arts, Kingston, Tas 7050, Australia; [Nicol, Stephen; Meiners, Klaus] Univ Tasmania, Antarctic Climate &amp; Ecosyst Cooperat Res Ctr, Hobart, Tas 7001, Australia</t>
  </si>
  <si>
    <t>Australian Antarctic Division; University of Tasmania; Antarctic Climate &amp; Ecosystems Cooperative Research Centre (ACE CRC)</t>
  </si>
  <si>
    <t>Nicol, S (corresponding author), Australian Antarctic Div, Dept Environm Water Heritage &amp; Arts, 203 Channel Highway, Kingston, Tas 7050, Australia.</t>
  </si>
  <si>
    <t>10.1016/j.dsr2.2009.11.002</t>
  </si>
  <si>
    <t>608JR</t>
  </si>
  <si>
    <t>WOS:000278580500001</t>
  </si>
  <si>
    <t>Schwarz, JN; Raymond, B; Williams, GD; Pasquer, B; Marsland, SJ; Gorton, RJ</t>
  </si>
  <si>
    <t>Schwarz, Jill N.; Raymond, Ben; Williams, Guy D.; Pasquer, Benedicte; Marsland, Simon J.; Gorton, Rebecca J.</t>
  </si>
  <si>
    <t>Biophysical coupling in remotely-sensed wind stress, sea surface temperature, sea ice and chlorophyll concentrations in the South Indian Ocean</t>
  </si>
  <si>
    <t>Climatology; Polar waters; Wind fields; Sea ice; Primary production; Surface temperature; 30 degrees-80 degrees E; 50 degrees-70 degrees S</t>
  </si>
  <si>
    <t>EAST ANTARCTICA 30-80-DEGREES-E; BROKE-WEST SURVEY; WATER MASSES; IN-SITU; VARIABILITY; CIRCULATION; PRODUCTIVITY; VALIDATION; COAST; ZONE</t>
  </si>
  <si>
    <t>Satellite records of chlorophyll, sea-surface temperature, sea-ice concentration and wind-stress curl, together with reanalysis wind fields, have been analysed to identify connections between the physical environment and phytoplankton growth. The study focusses on the BROKE-West survey region in the Indian Ocean sector of the Southern Ocean: 20 to 90 degrees E, 70 to 50 degrees S. Correlation and regression analyses showed that, of the parameters that can be routinely monitored from space, wind stress and sea surface temperature were most strongly correlated with chlorophyll across the BROKE-West survey area during the period of the survey. Each of these factors, as well as sea ice concentration, was found to be strongly correlated with chlorophyll at different locations. Three distinct regions were identified: The continental shelf and slope (max. depth=3000 m), where satellite data were most obstructed by ice and clouds, supported high concentrations of chlorophyll throughout the growth season (October to April), and although the most important factors determining chlorophyll were likely to be those not observable using remote sensing, close to 100% of variability in surface chlorophyll could be predicted by sea-surface temperature and sea ice concentration. Offshore to the west of 45 degrees E, the eastern Weddell Gyre was found to retain sea-ice later into the growth season and support chlorophyll concentrations on the order of 0.1 mg m(-3). Wind-driven advection of sea ice to the north and south of the Antarctic Divergence, located at 64 degrees S, produced a strong positive correlation between chlorophyll concentrations along the landward and off-shore edges of the seasonal ice zone and the Southern Annular Mode. Offshore to the east of 45 degrees E, chlorophyll concentrations encountered during the BROKE-West cruise were found to be unusually high. This was attributed to a southerly excursion of the Antarctic Circumpolar Current corresponding to negative Southern Annular Mode indices during the cruise. Significant, regionally varying correlations were found between the physical and biological parameters examined and climatological indices, including the Southern Annular Mode and the tropical El Nino-Southern Oscillation signal. (C) 2010 Elsevier Ltd. All rights reserved.</t>
  </si>
  <si>
    <t>[Schwarz, Jill N.] Alfred Wegener Inst Polar &amp; Marine Res, D-27574 Bremerhaven, Germany; [Raymond, Ben] Australian Antarctic Div, Dept Environm &amp; Heritage, Kingston, Tas 7050, Australia; [Williams, Guy D.; Pasquer, Benedicte; Marsland, Simon J.] Univ Tasmania, Antarctic Climate &amp; Ecosyst Cooperat Res Ctr, Hobart, Tas 7001, Australia; [Gorton, Rebecca J.] CSIRO Marine &amp; Atmospher Res, Hobart, Tas 7001, Australia</t>
  </si>
  <si>
    <t>Helmholtz Association; Alfred Wegener Institute, Helmholtz Centre for Polar &amp; Marine Research; Australian Antarctic Division; University of Tasmania; Antarctic Climate &amp; Ecosystems Cooperative Research Centre (ACE CRC); Commonwealth Scientific &amp; Industrial Research Organisation (CSIRO)</t>
  </si>
  <si>
    <t>Schwarz, JN (corresponding author), Natl Inst Water &amp; Atmosphere Res, 295-301 Evans Bay Parade, Wellington 6021, New Zealand.</t>
  </si>
  <si>
    <t>jschwarz@awi-bremerhaven.de; Ben.Raymond@aad.gov.au; guy.williams@acecrc.org.au; benedicte.pasquer@acecrc.org.au; simon.marsland@csiro.au; Bec.Gorton@csiro.au</t>
  </si>
  <si>
    <t>Marsland, Simon J/A-1453-2012</t>
  </si>
  <si>
    <t>Marsland, Simon J/0000-0002-5664-5276</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</si>
  <si>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</si>
  <si>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</si>
  <si>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This work was supported by the Australian government's Cooperative Research Centres Programme through the Antarctic Climate and Ecosystems Cooperative Research Centre (ACE CRC). SeaWiFS images were kindly provided by the SeaWiFS project, NASA/Goddard Space Flight Centre and ORBIMAGE. We thank Thomas Laepple, Martin Losch, Jan Lieser and Klaus Meiners for helpful discussions. We also thank two anonymous reviewers for helping to improve this manuscript.</t>
  </si>
  <si>
    <t>10.1016/j.dsr2.2009.06.014</t>
  </si>
  <si>
    <t>WOS:000278580500002</t>
  </si>
  <si>
    <t>Meijers, AJS; Klocker, A; Bindoff, NL; Williams, GD; Marsland, SJ</t>
  </si>
  <si>
    <t>Meijers, A. J. S.; Klocker, A.; Bindoff, N. L.; Williams, G. D.; Marsland, S. J.</t>
  </si>
  <si>
    <t>The circulation and water masses of the Antarctic shelf and continental slope between 30 and 80°E</t>
  </si>
  <si>
    <t>Ocean circulation; LADCP; Slope front; Boundary current; AABW</t>
  </si>
  <si>
    <t>BOTTOM WATER; SOUTHERN-OCEAN; WEDDELL GYRE; TRANSPORT; FRONTS; SECTOR</t>
  </si>
  <si>
    <t>The circulation and water masses from the Antarctic continental shelf to 62 degrees S between 30 and 80 E are described using hydrographic data collected on seven hydrographic sections during the Baseline Research on Oceanography, Krill and the Environment-West (BROKE-West) experiment. The eastern limb of the Weddell Gyre dominates circulation between 30 and 40 degrees E, and is significantly cooler and fresher than the region to the east. The Antarctic Circumpolar Current (ACC) extends from the north into the survey region east of 40 degrees E, reaching as far south as 65.5 degrees S at 60 degrees E. This results in increasing observed maximum temperature and salinities progressively towards the east, peaking at 80 degrees E due to the intrusion of the southern ACC Front (sACCF) to 63 degrees S. This southward extension is steered by the southern end of Kerguelen Plateau, causing a horizontal shear of over 0.15 m s(-1) between the eastward ACC and westward-flowing Antarctic Slope Current (ASC). The ASC is observed at all six meridional sections immediately north of the shelf break. It is strongly barotropic and transports a total of 15.8 +/- 7.4 Sv westwards, while the bottom referenced baroclinic component only contributes 1.3 +/- 0.3 Sv. At each section this current intensifies to a narrow westward 'jet' with absolute velocities up to 0.3 m s(-1) over the steepest shelf slope gradients. At 70 degrees E a 'V' shape is observed in the ASF. This, and the nearby presence of denser shelf water and ice-shelf water, is characteristic of Antarctic Bottom Water (AABW) formation, but no new AABW is found on this section. Instead, significantly warmer, saltier and less oxygenated AABW to the east and newly formed AABW high on the continental slope immediately to the west suggest a formation region just west of 70 degrees E. This newly formed AABW progressively becomes warmer and saltier west of 60 degrees E and is observed extending offshore and moving westward below eastward flowing water masses. ACC frontal positions are found to be 1-2 degrees farther north in the survey region than suggested by historical climatology. Crown Copyright (C) 2009 Published by Elsevier Ltd. All rights reserved.</t>
  </si>
  <si>
    <t>[Meijers, A. J. S.; Klocker, A.; Bindoff, N. L.; Williams, G. D.; Marsland, S. J.] Antarctic Climate &amp; Ecosyst Cooperat Res Ctr, Hobart, Tas 7001, Australia; [Meijers, A. J. S.; Klocker, A.; Bindoff, N. L.] CSIRO Marine &amp; Atmospher Res, Hobart, Tas 7001, Australia; [Williams, G. D.] Hokkaido Univ, Inst Low Temp Sci, Sapporo, Hokkaido 060, Japan; [Meijers, A. J. S.; Klocker, A.; Bindoff, N. L.] Univ Tasmania, IASOS, Hobart, Tas 7001, Australia; [Marsland, S. J.] CSIRO Marine &amp; Atmospher Res, Aspendale, Vic 3195, Australia</t>
  </si>
  <si>
    <t>Antarctic Climate &amp; Ecosystems Cooperative Research Centre (ACE CRC); Commonwealth Scientific &amp; Industrial Research Organisation (CSIRO); Hokkaido University; University of Tasmania; Commonwealth Scientific &amp; Industrial Research Organisation (CSIRO)</t>
  </si>
  <si>
    <t>Meijers, AJS (corresponding author), CSIRO Marine &amp; Atmospher Res, Hobart, Tas 7000, Australia.</t>
  </si>
  <si>
    <t>andrew.meijers@csiro.au</t>
  </si>
  <si>
    <t>Bindoff, Nathaniel Lee/IVV-0333-2023; Marsland, Simon J/A-1453-2012; Bindoff, Nathaniel Lee/C-8050-2011; Meijers, Andrew/A-9903-2012; Klocker, Andreas/E-4632-2011</t>
  </si>
  <si>
    <t>Bindoff, Nathaniel Lee/0000-0001-5662-9519; Marsland, Simon J/0000-0002-5664-5276; Bindoff, Nathaniel Lee/0000-0001-5662-9519; Klocker, Andreas/0000-0002-2038-7922</t>
  </si>
  <si>
    <t>Australian Governments Cooperative Research Centers Programme</t>
  </si>
  <si>
    <t>Australian Governments Cooperative Research Centers Programme(Australian Government)</t>
  </si>
  <si>
    <t>We thank the officers and crew of the RSV Aurora Australis and support staff for their professionalism and hard work during the course of this 71 day voyage. Mark Rosenberg is thanked for his tireless effort in processing the CTD, ship ADCP and LADCP data. This work is supported by the Australian Governments Cooperative Research Centers Programme, through the Antarctic Climate and Ecosystems CRC.</t>
  </si>
  <si>
    <t>10.1016/j.dsr2.2009.04.019</t>
  </si>
  <si>
    <t>WOS:000278580500003</t>
  </si>
  <si>
    <t>Williams, GD; Nicol, S; Aoki, S; Meijers, AJS; Bindoff, NL; Iijima, Y; Marsland, SJ; Klocker, A</t>
  </si>
  <si>
    <t>Williams, G. D.; Nicol, S.; Aoki, S.; Meijers, A. J. S.; Bindoff, N. L.; Iijima, Y.; Marsland, S. J.; Klocker, A.</t>
  </si>
  <si>
    <t>Surface oceanography of BROKE-West, along the Antarctic margin of the south-west Indian Ocean (30-80°E)</t>
  </si>
  <si>
    <t>Antarctic margin; Physical-biological oceanography; Seasonal mixed layer; Antarctic slope current</t>
  </si>
  <si>
    <t>KRILL EUPHAUSIA-SUPERBA; EAST ANTARCTICA; AUSTRAL SUMMER; WATER MASSES; SEA-ICE; PHYSICAL OCEANOGRAPHY; COMMUNITY STRUCTURE; COASTAL CURRENT; WEDDELL GYRE; SLOPE FRONT</t>
  </si>
  <si>
    <t>Hydrographic CTD and ADCP data were collected during the BROKE-West research voyage (January-March 2006) in the south-west Indian Ocean sector of the Antarctic margin. These data describe the large-scale circulation, water masses, fronts and summertime stratification in the surface layer over the continental shelf, slope and rise region between 30 and 80 degrees E that forms CCAMLR Statistical Area 58.4.2. The surface circulation matched the full-depth circulation and consisted of the eastward flowing southern Antarctic Circumpolar Current front to the north, and the westward flowing Antarctic Slope Current associated with the Antarctic Slope Front along the continental slope to the south. Two sub-polar gyres were detected south of the Southern Boundary of the Antarctic Circumpolar Current: the eastern Weddell Gyre in the Cosmonaut Sea (30-50 degrees E) and the greater Prydz Bay Gyre in the Cooperation Sea (60-80 degrees E). In the eastern Weddell Gyre, the seasonal mixed layer depths were shallower, warmer and fresher relative to the regions to the east which were deeper, cooler and more saline. This spatial variability is found to be strongly correlated to the large-scale pattern of sea ice melt/retreat in the months preceding the voyage and the accumulated wind stress thereafter. Areas of upwelling warm deep waters into the surface layer are presented from positive anomalies of potential temperature and nutrient concentrations (nitrate and silicate). These anomalies were strongest in the eastern Weddell Gyre in the vicinity of the Cosmonaut Polynya/Embayment, north of Cape Anne and near the Southern Boundary of the Antarctic Circumpolar Current in the eastern sector of the survey. The summertime stratification (seasonal mixed layer, seasonal pycnocline and T(min) layer) are discussed relative to the distributions of chl a and acoustically determined Antarctic Krill (Euphausia superba) densities. Elevated chl a concentrations were found in the surface layer of the marginal ice zone and it is proposed that these are retained south of the fast, narrow jet of enhanced Antarctic Slope Current on the upper continental slope. There is qualitative evidence of these maxima being subducted and transported north in the seasonal pycnocline in response to Ekman convergence from the easterly winds in this region. The seasonal mixed layer within the sub-polar gyres had relatively low chl a concentrations with sub-surface maxima in the seasonal pycnocline and the top of the T(min) layer. Surface concentrations increased once again north of the Southern Boundary in the north-east of the survey. Krill and chl a concentrations were both co-located and decoupled at different locations across the survey. There was no clear oceanographic boundary influencing the distribution of the krill surveyed, though further work is necessary to properly synthesize this and other biological patterns with the oceanographic processes, given the varying time and length scales and intrinsic sampling limitations. (C) 2009 Elsevier Ltd. All rights reserved.</t>
  </si>
  <si>
    <t>[Williams, G. D.; Aoki, S.] Hokkaido Univ, Inst Low Temp Sci, Sapporo, Hokkaido 060, Japan; [Williams, G. D.; Nicol, S.; Meijers, A. J. S.; Bindoff, N. L.; Marsland, S. J.; Klocker, A.] Antarctic Climate &amp; Ecosyst Cooperat Res Ctr, Sandy Bay, Australia; [Nicol, S.] Australian Antarctic Div, Dept Environm Water Heritage &amp; Arts, Kingston, Tas, Australia; [Meijers, A. J. S.; Klocker, A.] Univ Tasmania, CSIRO, Sandy Bay, Australia; [Bindoff, N. L.] CSIRO, Ctr Australian Weather &amp; Climate Res, Hobart, Tas, Australia; [Iijima, Y.] Hokkaido Univ, Grad Sch Environm Sci, Sapporo, Hokkaido, Japan; [Marsland, S. J.] CSIRO, Ctr Australian Weather &amp; Climate Res, Aspendale, Vic, Australia</t>
  </si>
  <si>
    <t>Hokkaido University; Antarctic Climate &amp; Ecosystems Cooperative Research Centre (ACE CRC); Australian Antarctic Division; University of Tasmania; Commonwealth Scientific &amp; Industrial Research Organisation (CSIRO); Commonwealth Scientific &amp; Industrial Research Organisation (CSIRO); Hokkaido University; Commonwealth Scientific &amp; Industrial Research Organisation (CSIRO)</t>
  </si>
  <si>
    <t>Williams, GD (corresponding author), Lab Oceanog &amp; Climat Experimentat &amp; Approches Num, Paris, France.</t>
  </si>
  <si>
    <t>guy.darvall.williams@gmail.com</t>
  </si>
  <si>
    <t>Meijers, Andrew/A-9903-2012; Aoki, Shigeru/D-9105-2012; Marsland, Simon J/A-1453-2012; Bindoff, Nathaniel Lee/IVV-0333-2023; Bindoff, Nathaniel Lee/C-8050-2011; Klocker, Andreas/E-4632-2011</t>
  </si>
  <si>
    <t>Marsland, Simon J/0000-0002-5664-5276; Bindoff, Nathaniel Lee/0000-0001-5662-9519; Bindoff, Nathaniel Lee/0000-0001-5662-9519; Klocker, Andreas/0000-0002-2038-7922</t>
  </si>
  <si>
    <t>Australian government's Cooperative Research Centres Programme through the Antarctic Climate and Ecosystem Cooperative Research Centre; ASAC [2205]; Grants-in-Aid for Scientific Research [21310002] Funding Source: KAKEN</t>
  </si>
  <si>
    <t>Australian government's Cooperative Research Centres Programme through the Antarctic Climate and Ecosystem Cooperative Research Centre(Australian GovernmentDepartment of Industry, Innovation and ScienceCooperative Research Centres (CRC) Programme); ASAC; Grants-in-Aid for Scientific Research(Ministry of Education, Culture, Sports, Science and Technology, Japan (MEXT)Japan Society for the Promotion of ScienceGrants-in-Aid for Scientific Research (KAKENHI))</t>
  </si>
  <si>
    <t>This work was supported by the Australian government's Cooperative Research Centres Programme through the Antarctic Climate and Ecosystem Cooperative Research Centre. The authors would like to thank the officers, crew and technical staff aboard the RV Aurora Australis on voyage a0601 for their professionalism and efforts; Mark Rosenberg from the Antarctic Climate and Ecosystems Cooperative Research Centre (ACECRC) for post-cruise processing of hydrographic data; and David Smith from the Australian Government Antarctic Division Data Centre for providing bathymetry. This work was carried out under ASAC Grant #2205 with funding and logistical support from the Department of Environment and Heritage, Australian Antarctic Division.</t>
  </si>
  <si>
    <t>10.1016/j.dsr2.2009.04.020</t>
  </si>
  <si>
    <t>WOS:000278580500004</t>
  </si>
  <si>
    <t>Wright, SW; van den Enden, RL; Pearce, I; Davidson, AT; Scott, FJ; Westwood, KJ</t>
  </si>
  <si>
    <t>Wright, Simon W.; van den Enden, Rick L.; Pearce, Imojen; Davidson, Andrew T.; Scott, Fiona J.; Westwood, Karen J.</t>
  </si>
  <si>
    <t>Phytoplankton community structure and stocks in the Southern Ocean (30-80°E) determined by CHEMTAX analysis of HPLC pigment signatures</t>
  </si>
  <si>
    <t>BROKE-West; Marine protest; Abundance; Chlorophyll; Carotenoids; CHEMTAX; Species composition; Grazing; Iron</t>
  </si>
  <si>
    <t>MARGINAL ICE-ZONE; EAST ANTARCTICA 30-80-DEGREES-E; KRILL EUPHAUSIA-SUPERBA; BROKE-WEST; PHAEOCYSTIS-ANTARCTICA; ATLANTIC SECTOR; PACIFIC SECTOR; SEA-ICE; PRIMARY PRODUCTIVITY; FECAL PELLETS</t>
  </si>
  <si>
    <t>The geographic distribution, stocks and vertical profiles of phytoplankton of the seasonal ice zone off east Antarctica were determined during the 2005-2006 austral summer during the Baseline Research on Oceanography, Krill and the Environment-West (BROKE-West) survey. CHEMTAX analysis of HPLC pigment samples, coupled with microscopy, permitted a detailed survey along seven transects covering an extensive area between 30 degrees E and 80 degrees E, from 62 degrees S to the coast. Significant differences were found in the composition and stocks of populations separated by the Southern Boundary of the Antarctic Circumpolar Current (SB), as well as a small influence of the Weddell Gyre in the western sector of the 'zone south of the Antarctic Circumpolar Current' (SACCZ). Within the SACCZ, we identified a primary bloom under the ice, a secondary bloom near the ice edge, and an open-ocean deep population. The similarity of distribution patterns across all transects allowed us to generalise a hypothesized sequence for the season. The primary phytoplankton bloom, with stocks of Chl a up to 239 mg m(-2), occurred about 35 days before complete disappearance of the sea ice, and contained both cells from the water column and those released from melting ice. These blooms were composed of haptophytes (in particular, colonies and gametes of Phaeocystis antarctica), diatoms and cryptophytes (or the cryptophyte symbiont-containing ciliate Myrionecta rubrum). Aggregates released by melting ice quickly sank from the upper water column and Chl a stocks declined to 56-92 mg m(-2), but the bloom of diatoms and, to a lesser extent, cryptophytes continued until about 20 days after ice melt. The disappearance of sea ice coincided with a sharp increase in P. antarctica and grazing, as indicated by increasing phaeophytin a and phaeophorbide a. Chlorophyllide content suggests that the diatom bloom then senesced, probably due to iron exhaustion. Stocks rapidly declined, apparently due to grazing krill that moved southward following the retreating sea ice. We suggest that grazing of the bloom and export of faecal pellets stripped the upper water column of iron (as suggested by low Fv/Fm ratios and CHEMTAX pigment ratios in Haptophytes - iron was not measured). Thus, export of iron by grazing, and possibly sedimentation, created a southward migrating iron gradient, limiting growth in the upper water column. North of the postulated iron gradient, a nanoflagellate community developed at depth, with Chl a stocks from 36-49 mg m(-2). This community was probably based on regenerated production, sustained by residual and/or upwelling iron, as indicated by a close correspondence between distributions of Chl a and profiles of Fv/Fm. The community consisted of haptophytes (chiefly Phaeocystis gametes), dinoflagellates, prasinophytes, cryptophytes, and some small diatoms. Selective grazing by krill may have fashioned and maintained the community. North of the SB, Chl a ranged from 40-67 mg m(-2) and was found predominantly in the mixed layer, but Fv/Fm ratios remained low, suggesting the community of P. antarctica and diatoms was iron-limited. These interpretations provide a cogent explanation for the composition and structure of late summer microbial populations in the marginal ice zone. Crown Copyright (C) 2009 Published by Elsevier Ltd. All rights reserved.</t>
  </si>
  <si>
    <t>[Wright, Simon W.] Australian Antarctic Div, Kingston, Tas 7050, Australia; Antarctic Climate &amp; Ecosyst Cooperat Res Ctr, Kingston, Tas 7050, Australia</t>
  </si>
  <si>
    <t>Australian Antarctic Division; Antarctic Climate &amp; Ecosystems Cooperative Research Centre (ACE CRC)</t>
  </si>
  <si>
    <t>Wright, SW (corresponding author), Australian Antarctic Div, 203 Channel Highway, Kingston, Tas 7050, Australia.</t>
  </si>
  <si>
    <t>Simon.Wright@aad.gov.au; Rick.VandenEnden@aad.gov.au; Imojen.Pearce@aad.gov.au; Andrew.Davidson@aad.gov.au; scottfj@utas.edu.au; Karen.Westwood@aad.gov.au</t>
  </si>
  <si>
    <t>Westwood, Karen/0000-0003-1060-7140</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</si>
  <si>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</si>
  <si>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</si>
  <si>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Coastline data was provided by the Australian Antarctic Data Centre from IOC and IHO and BODC (2003). Mark Rosenberg kindly provided CTD data and Brian Griffiths the mixed-layer depth data. Ben Raymond gave valuable advice and linkages with krill distribution data, while Guy Williams was the font of oceanographic interpretation. The manuscript benefited greatly from many helpful suggestions from Brian Griffiths, Klaus Meiners and Andrew Bowie, as well as reviews and suggestions by Walker Smith and an anonymous reviewer, who are gratefully acknowledged. This work was supported by the Australian Government's Cooperative Research Centres Programme through the Antarctic Climate and Ecosystems Cooperative Research Centre (ACE CRC).</t>
  </si>
  <si>
    <t>10.1016/j.dsr2.2009.06.015</t>
  </si>
  <si>
    <t>WOS:000278580500005</t>
  </si>
  <si>
    <t>Pasquer, B; Mongin, M; Johnston, N; Wright, S</t>
  </si>
  <si>
    <t>Pasquer, Benedicte; Mongin, Mathieu; Johnston, Neale; Wright, Simon</t>
  </si>
  <si>
    <t>Distribution of particulate organic matter (POM) in the Southern Ocean during BROKE-West (30°E-80°E)</t>
  </si>
  <si>
    <t>Particulate matter; POC; PON; Biogenic Silica; Net community production; Southern Ocean</t>
  </si>
  <si>
    <t>ANTARCTIC CIRCUMPOLAR CURRENT; PHYTOPLANKTON COMMUNITY STRUCTURE; ICE-EDGE; ROSS SEA; PRIMARY PRODUCTIVITY; BIOGENIC SILICA; PACIFIC SECTOR; WATER-COLUMN; ATLANTIC SECTOR; GLOBAL OCEAN</t>
  </si>
  <si>
    <t>The distribution of particulate organic carbon (POC), nitrogen (PON) and biogenic silica (BSi) in the south Indian sector of the Southern Ocean was investigated during summer 2006 as part of the BROKE-West survey. Differences in the distribution of particulate organic matter (POM) were attributed to spatial pattern related to the influence of regional hydrography and sea-ice retreat pattern. Offshore to the west, low NCP and POM accumulation were observed in a region influenced by the Weddell gyre, whereas to the east higher NCP and POM were found in a region influenced by the southern Boundary of the ACC and the southern Antarctic Circumpolar Front circulation (SB-sACCf). The highest NCP (5.4 molC m(-2)), POC (1.6 molC m(-2)) and BSi stocks (0.5 molSi m(-2)) were observed in the coastal/Marginal Ice Zone (MIZ). Spatial differences were also found in particulate elemental composition, with lower POC:PON found in the coastal zone, illustrating the presence of an active autotrophic community. Analysis of elemental ratios also showed a strong decoupling between silica and nitrogen cycling over the whole survey region, particularly in association with the circulation of SB-sACCf. Estimates of silica and nitrogen export production illustrate this decoupling with BSi exported production. BSi export ranged between 54 and 94% of BSi production whereas PON ranged between 4 and 70%, suggesting that organic matter was actively recycled in the surface water, hence illustrating the efficiency of the silicate pump in this region. (C) 2009 Elsevier Ltd. All rights reserved.</t>
  </si>
  <si>
    <t>[Pasquer, Benedicte; Mongin, Mathieu; Wright, Simon] Antarctic Climate &amp; Ecosyst Cooperat Res Ctr, Hobart, Tas 7001, Australia; [Johnston, Neale] CSIRO, Floreat, WA 6014, Australia; [Wright, Simon] Australian Antarctic Div, Kingston, Tas 7050, Australia</t>
  </si>
  <si>
    <t>Antarctic Climate &amp; Ecosystems Cooperative Research Centre (ACE CRC); Commonwealth Scientific &amp; Industrial Research Organisation (CSIRO); Australian Antarctic Division</t>
  </si>
  <si>
    <t>Pasquer, B (corresponding author), Antarctic Climate &amp; Ecosyst Cooperat Res Ctr, Private Bag 80, Hobart, Tas 7001, Australia.</t>
  </si>
  <si>
    <t>benedicte.pasquer@acecrc.org.au</t>
  </si>
  <si>
    <t>mongin, mathieu/G-4169-2015</t>
  </si>
  <si>
    <t>mongin, mathieu/0000-0001-9647-0530</t>
  </si>
  <si>
    <t>Australian Government Cooperative Research Centres Program through the Antarctic Climate and Ecosystem Cooperative Research Center; Australian Antarctic Division</t>
  </si>
  <si>
    <t>Australian Government Cooperative Research Centres Program through the Antarctic Climate and Ecosystem Cooperative Research Center(Australian GovernmentDepartment of Industry, Innovation and ScienceCooperative Research Centres (CRC) Programme); Australian Antarctic Division</t>
  </si>
  <si>
    <t>We thank Captain Scott Laughlin and the officers and crew of the R.V. Aurora Australis. We thank Tom Trull who conceived this study and obtained support for it via the Australian Antarctic Science Program. We thank Klaus Meiners for his advice and support during the preparation of this cruise, and are very grateful to Leanne Armand for her assistance in preparing the manuscript for publication. Finally we thank the anonymous reviewers for their constructive comments on the manuscript. This work was supported by the Australian Government Cooperative Research Centres Program through the Antarctic Climate and Ecosystem Cooperative Research Center, and by the Australian Antarctic Division.</t>
  </si>
  <si>
    <t>10.1016/j.dsr2.2008.12.040</t>
  </si>
  <si>
    <t>WOS:000278580500006</t>
  </si>
  <si>
    <t>Westwood, KJ; Griffiths, FB; Meiners, KM; Williams, GD</t>
  </si>
  <si>
    <t>Westwood, Karen J.; Griffiths, F. Brian; Meiners, Klaus M.; Williams, Guy D.</t>
  </si>
  <si>
    <t>Primary productivity off the Antarctic coast from 30°-80°E; BROKE-West survey, 2006</t>
  </si>
  <si>
    <t>Primary production; Marginal ice zone; Limiting factors; Vertical mixing; Oceanic fronts</t>
  </si>
  <si>
    <t>PHYTOPLANKTON COMMUNITY STRUCTURE; MARGINAL ICE-ZONE; SEA-SURFACE TEMPERATURE; SOUTHERN-OCEAN; ROSS SEA; PACIFIC SECTOR; IRON FERTILIZATION; CHEMTAX ANALYSIS; CHLOROPHYLL-A; INDIAN SECTOR</t>
  </si>
  <si>
    <t>Primary productivity was measured in the Indian Sector of the Southern Ocean (30 degrees to 80 degrees E) as part of a multi-disciplinary study during austral summer: Baseline Research on Oceanography, Krill and the Environment, West (BROKE-West Survey, 2006). Gross integrated (0-150 m) productivity rates within the marginal ice zone (MIZ) were significantly higher than within the open ocean, with averages of 2110.2 +/- 1347.1 and 595.0 +/- 283.0 mg C m(-2) d(-1), respectively. In the MIZ, high productivity was associated with shallow mixed-layer depths and increased P-max up to 5.158 mg C (mg chl a) h(-1). High Si:N drawdown ratios in the open ocean (4.1 +/- 1.5) compared to the MIZ (2.2 +/- 0.79) also suggested that iron limitation was important for the control of productivity. This was supported by higher F-v/F-m ratios in the MIZ (0.50 +/- 0.11 above 40 m) compared to the open ocean (0.36 +/- 0.08). As well, in the open ocean there were regions of elevated productivity associated with the seasonal pycnocline where iron availability was possibly increased. High silicate drawdown in the north-eastern section of the BROKE-West survey area suggested significant diatom growth and was linked to the presence of the southern Antarctic Circumpolar Current front (sACCF). However, low assimilation numbers (12.8-23.2 mg C mg chl a(-1) d(-1)) and F-v/F-m ratios indicated that cells were senescent with initial growth occurring earlier in the season. In the western section of the survey area within the MIZ, high NO3 drawdown but relatively low silicate drawdown were associated with a Phaeocystis bloom. NO3 concentrations were strongly negatively correlated with column-integrated productivity and chlorophyll biomass which was expected given the requirement for this nutrient by all phytoplankton groups. Regardless, concentrations of both NO3 and silicate were above limiting levels within the entire BROKE-West survey area (N &gt; 15.7 mu M, Si &gt; 18.3 mu M) supporting the high-nutrient low-chlorophyll status of the Southern Ocean. Crown Copyright (C) 2009 Published by Elsevier Ltd. All rights reserved.</t>
  </si>
  <si>
    <t>[Westwood, Karen J.] Australian Antarctic Div, Kingston, Tas 7050, Australia; [Westwood, Karen J.; Griffiths, F. Brian; Meiners, Klaus M.; Williams, Guy D.] Antarctic Climate &amp; Ecosyst Cooperat Res Ctr, Hobart, Tas 7001, Australia; [Griffiths, F. Brian] CSIRO, Div Marine &amp; Atmospher Res, Hobart, Tas 7001, Australia; [Griffiths, F. Brian] CSIRO Wealth Oceans Natl Res Flagship, Clayton, Vic, Australia</t>
  </si>
  <si>
    <t>Australian Antarctic Division; Antarctic Climate &amp; Ecosystems Cooperative Research Centre (ACE CRC); Commonwealth Scientific &amp; Industrial Research Organisation (CSIRO); Commonwealth Scientific &amp; Industrial Research Organisation (CSIRO)</t>
  </si>
  <si>
    <t>Westwood, KJ (corresponding author), Australian Antarctic Div, 203 Channel Highway, Kingston, Tas 7050, Australia.</t>
  </si>
  <si>
    <t>karen.westwood@aad.gov.au</t>
  </si>
  <si>
    <t>Australian Government Cooperative Research Centres Programme through the Antarctic Climate and Ecosystems Cooperative Research Centre (ACE CRC); Oceans National Research Flagship; CSIRO Division of Marine and Atmospheric Research</t>
  </si>
  <si>
    <t>Australian Government Cooperative Research Centres Programme through the Antarctic Climate and Ecosystems Cooperative Research Centre (ACE CRC)(Australian GovernmentDepartment of Industry, Innovation and ScienceCooperative Research Centres (CRC) Programme); Oceans National Research Flagship; CSIRO Division of Marine and Atmospheric Research</t>
  </si>
  <si>
    <t>We thank Captain Scott Laughlin and the crew of the RSV Aurora Australis for their dedication and expertise in supporting the work. Thanks also to Dr Simon Wright and Rick van den Enden for chlorophyll a analysis, Dr Bronte Tilbrook, Kristina Paterson and Ty Hibberd for DIC analysis, and Neale Johnston and the CTD team for nutrient analysis. For technical and data support we would like to thank Tony Veness, Kelvin Cope, Bec Gorton, and David Smith. This research was supported by the Australian Government Cooperative Research Centres Programme through the Antarctic Climate and Ecosystems Cooperative Research Centre (ACE CRC), as well as the CSIRO Wealth from Oceans National Research Flagship and the CSIRO Division of Marine and Atmospheric Research.</t>
  </si>
  <si>
    <t>10.1016/j.dsr2.2008.08.020</t>
  </si>
  <si>
    <t>WOS:000278580500007</t>
  </si>
  <si>
    <t>Thomson, PG; Davidson, AT; van den Enden, R; Pearce, I; Seuront, L; Paterson, JS; Williams, GD</t>
  </si>
  <si>
    <t>Thomson, Paul G.; Davidson, Andrew T.; van den Enden, Rick; Pearce, Imojen; Seuront, Laurent; Paterson, James S.; Williams, Guy D.</t>
  </si>
  <si>
    <t>Distribution and abundance of marine microbes in the Southern Ocean between 30 and 80°E</t>
  </si>
  <si>
    <t>Southern Ocean; Oceanography; Flow cytometry; Marine microbes; Nanophytoplankton; HNF; Bacteria; Lysotracker Green; SYTO 13; SYBR Green</t>
  </si>
  <si>
    <t>PROTOZOOPLANKTON COMMUNITY STRUCTURE; EAST ANTARCTICA 80-150-DEGREES-E; MARGINAL ICE-ZONE; BROKE-WEST; PHYTOPLANKTON GROWTH; ATLANTIC SECTOR; SEA-ICE; BACTERIAL PRODUCTION; CHEMTAX ANALYSIS; SEASONAL-CHANGES</t>
  </si>
  <si>
    <t>Our study, as part of the Baseline Research on Oceanography, Krill and the Environment, West (BROKE-West) survey, emphasised the vital role of sea-ice retreat and upwelling in controlling the distribution, abundance and composition of marine microbial communities in the seasonal ice zone (SIZ). Autofluorescence or stains were used to detect the abundance of nanophytoplankton, heterotrophic nanoflagellates (HNF), virus like particles (VLP) and bacteria by flow cytometry. Correlations among microbial concentrations were determined and cluster analysis was performed to group sites of similar microbial composition and abundance. Distance to sea ice was the primary determinant of nanophytoplankton abundance and nanophytoplankton contributed up to 84% of the phytoplankton carbon biomass where melting sea ice caused shallow summer mixed layer depths. To the north, nanophytoplankton abundance was generally low except adjacent to the Southern Boundary (SB). HNF and bacterial abundance was positively correlated with the abundance of nanophytoplankton. Cluster analysis identified 5 groups of sites over the BROKE-West survey area. Clusters 1-4 grouped sites of different successional maturity of the microbial community along the continuum between bloom formation and senescence. Maturity increased with distance from the sea ice and, in areas of upwelling, with time since the development of phytoplankton blooms. Sites in cluster 5 occurred at the northernmost extreme of the survey area and were typical of communities in high nutrient low chlorophyll (HNLC) waters of the permanent open-ocean zone (POOZ) where phytoplankton growth was matched by mortality and decomposition. Synoptic-scale studies in Antarctic waters are rare but provide vital information about the control of microbial productivity, abundance and distribution in the Southern Ocean. Our study, covering over 40% of the SIZ off East Antarctica, enhances our understanding of the synoptic-scale factors that determine the structure and function of the microbial loop. Crown Copyright (C) 2009 Published by Elsevier Ltd. All rights reserved.</t>
  </si>
  <si>
    <t>[Thomson, Paul G.; Davidson, Andrew T.; van den Enden, Rick; Pearce, Imojen] Australian Antarctic Div, Dept Environm Water Heritage &amp; Arts, Kingston, Tas 7050, Australia; [Seuront, Laurent; Paterson, James S.] Flinders Univ S Australia, Sch Biol Sci, Adelaide, SA 5001, Australia; [Seuront, Laurent] S Australian Res &amp; Dev Inst, W Beach, SA 5022, Australia; [Williams, Guy D.] Hokkaido Univ, Inst Low Temp Sci, Sapporo, Hokkaido 0600819, Japan; [Thomson, Paul G.; Davidson, Andrew T.; Pearce, Imojen; Williams, Guy D.] Univ Tasmania, ACECRC, Hobart, Tas 7001, Australia</t>
  </si>
  <si>
    <t>Australian Antarctic Division; Flinders University South Australia; Hokkaido University; University of Tasmania</t>
  </si>
  <si>
    <t>Thomson, PG (corresponding author), Australian Antarctic Div, Dept Environm Water Heritage &amp; Arts, Channel Highway, Kingston, Tas 7050, Australia.</t>
  </si>
  <si>
    <t>Paul.Thomson@aad.gov.au</t>
  </si>
  <si>
    <t>Seuront, Laurent/0000-0002-0051-5202; Paterson, James/0000-0002-1193-5739</t>
  </si>
  <si>
    <t>Australian Government through the Australian Antarctic Division; Antarctic Climate and Ecosystems Cooperative Research Centre (ACE CRC)</t>
  </si>
  <si>
    <t>Australian Government through the Australian Antarctic Division(Australian Government); Antarctic Climate and Ecosystems Cooperative Research Centre (ACE CRC)(Australian GovernmentDepartment of Industry, Innovation and ScienceCooperative Research Centres (CRC) Programme)</t>
  </si>
  <si>
    <t>We thank Captain Scott Laughlin and the crew of the RSV Aurora Australis for their dedication and support in supporting the work. We thank staff at Science Technical Support (AAD), in particular Tony Veness and Kelvin Cope for their expertise on the voyage and Bec Gorton, Belinda Ronai, Ben Raymond and David Smith for assistance with programming, data analysis and ArcGIS support. This work was supported by the Australian Government through the Australian Antarctic Division and the Antarctic Climate and Ecosystems Cooperative Research Centre (ACE CRC). We also thank the anonymous reviewers whose suggestions greatly improved the manuscript.</t>
  </si>
  <si>
    <t>10.1016/j.dsr2.2008.10.040</t>
  </si>
  <si>
    <t>WOS:000278580500008</t>
  </si>
  <si>
    <t>Davidson, AT; Scott, FJ; Nash, GV; Wright, SW; Raymond, B</t>
  </si>
  <si>
    <t>Davidson, Andrew T.; Scott, Fiona J.; Nash, Geraldine V.; Wright, Simon W.; Raymond, Ben</t>
  </si>
  <si>
    <t>Physical and biological control of protistan community composition, distribution and abundance in the seasonal ice zone of the Southern Ocean between 30 and 80°E</t>
  </si>
  <si>
    <t>BROKE-West; Marine protist; Phytoplankton; Microzooplankton; Species composition; Abundance; Grazing</t>
  </si>
  <si>
    <t>SIZE-FRACTIONATED PHYTOPLANKTON; TERRA-NOVA BAY; PHAEOCYSTIS-GLOBOSA PRYMNESIOPHYCEAE; EAST ANTARCTICA 80-150-DEGREES-E; SEA-ICE; ROSS SEA; MICROBIAL ECOLOGY; INDIAN SECTOR; WEDDELL SEA; BROKE-WEST</t>
  </si>
  <si>
    <t>Protists are critical components of the Antarctic marine ecosystem as they comprise most of the living carbon and are the base of the Antarctic food web. They are also key determinants of vertical carbon flux and mediate draw-down of atmospheric CO2 by the ocean. The community composition, abundance and distribution of marine protists (phytoplankton and protozoa) was studied during the Baseline Research on Oceanography. Krill and the Environment-West (BROKE-West) survey, in the seasonal ice zone during the 2005-2006 austral summer between 30 degrees E and 80 degrees E. Light and electron microscopy were used to determine the protistan composition and abundance in samples obtained at 30 sites from surface waters and at 26 sites from the depth of the maximum in situ chlorophyll fluorescence (Chl max). Cluster analysis was used to identify 5 groups of sample sites at the surface and 5 at the Chl max that were of similar protist composition and abundance. The physical characteristics, taxonomic composition, indicator taxa, and taxonomic diversity were determined for each group. In the southwest, a bloom of colonial Phaeocystis antarctica dominated the protistan community composition and biomass amongst the receding ice, but this was replaced by the flagellate life stage/s of this haptophyte in waters to the north. In the southeast, a diatom bloom had the highest diversity of protist taxa observed during the survey and centric diatoms dominated the biomass. Outside these blooms, grazing by krill probably reduced the composition and abundance of large diatoms and autotrophic dinoflagellates in coastal to mid-inshore waters. Only in offshore waters did large diatoms and dinoflagellates increase in abundance and diversity, despite low concentrations of iron and silicate at many of these sites. This increase was probably due to reduced top-down control by krill and other large zooplankton. Large diatoms dominated in offshore waters, despite other coincident studies showing that the trophic structure and function of the microbial community was frequently typical of nanoflagellate-dominated systems in high-nutrient low-chlorophyll waters. Nanoflagellate abundances were low during the survey and were either poorly resolved by our study or limited by microheterotrophic grazing. We propose that protistan abundance and composition in the sea-ice zone of the Indian Sector were determined by synoptic-scale oceanographic features, meso-scale changes caused by sea-ice retreat and meso- to nano-scale interactions between grazers and the composition and abundance of their protistan prey. (C) 2009 Elsevier Ltd. All rights reserved.</t>
  </si>
  <si>
    <t>[Davidson, Andrew T.] Australian Antarctic Div, Kingston, Tas 7050, Australia; Antarctic Climate &amp; Ecosyst CRC, Kingston, Tas 7050, Australia</t>
  </si>
  <si>
    <t>Australian Antarctic Division; University of Tasmania</t>
  </si>
  <si>
    <t>Davidson, AT (corresponding author), Australian Antarctic Div, 203 Channel Highway, Kingston, Tas 7050, Australia.</t>
  </si>
  <si>
    <t>Andrew.Davidson@aad.gov.au</t>
  </si>
  <si>
    <t>Australian government through the Antarctic Climate and Ecosystems Cooperative Research Centre (ACE CRC)</t>
  </si>
  <si>
    <t>Australian government through the Antarctic Climate and Ecosystems Cooperative Research Centre (ACE CRC)(Australian GovernmentDepartment of Industry, Innovation and ScienceCooperative Research Centres (CRC) Programme)</t>
  </si>
  <si>
    <t>The authors thank the captain and crew of the RSV Aurora Australis, Jenny Penchow of the MD for assistance with EM, and Dr Paul Thomson, Dr Imojen Pearce and Dr Karen Westwood for reviewing the text and/or assisting with figures or statistical analyses. This work was supported by the Australian government through the Antarctic Climate and Ecosystems Cooperative Research Centre (ACE CRC).</t>
  </si>
  <si>
    <t>10.1016/j.dsr2.2009.02.011</t>
  </si>
  <si>
    <t>WOS:000278580500009</t>
  </si>
  <si>
    <t>Pearce, I; Davidson, AT; Thomson, PG; Wright, S; van den Enden, R</t>
  </si>
  <si>
    <t>Pearce, Imojen; Davidson, Andrew T.; Thomson, Paul G.; Wright, Simon; van den Enden, Rick</t>
  </si>
  <si>
    <t>Marine microbial ecology off East Antarctica (30-80°E): Rates of bacterial and phytoplankton growth and grazing by heterotrophic protists</t>
  </si>
  <si>
    <t>Bacteria; Phytoplankton; Microzooplankton; Growth; Grazing dilution; Southern Ocean</t>
  </si>
  <si>
    <t>SOUTHERN-OCEAN; COMMUNITY STRUCTURE; POLAR FRONT; INDIAN SECTOR; PRYDZ BAY; FEEDING ACTIVITIES; ATLANTIC SECTOR; AUSTRAL SUMMER; ICE-ZONE; FOOD-WEB</t>
  </si>
  <si>
    <t>Marine microbes (&lt; 200 mu m) contribute most of the living matter and carbon flow in the Southern Ocean, yet the factors that control the composition and function of these microbial communities are not well understood. To determine the importance of microbial grazers in controlling microbial abundance, we determined microbial standing stocks and rates of herbivory and bacterivory in relation to the physical environment off East Antarctica during the Baseline Research on Oceanography, Krill and the Environment: West (BROKE-West) survey, which covered waters from the Polar Front to the coast between 30 and 80 degrees E. Concentrations of heterotrophic nanoflagellates (HNF) (similar to 2 to 20 pm), microzooplankton (similar to 20 to 200 mu m), bacteria, and chlorophyll a (Chl a) were determined and the growth and grazing mortality of phytoplankton and bacteria were estimated using the grazing dilution technique at 22 sites along the survey. Results showed that microzooplankton and HNF consumed on average 52% of bacterial production d(-1) and 62% primary production d(-1) but consumed &gt; 100% d(-1) at the western ice-edge sites. Rates of bacterivory ranged from 0.4 - 2.6 d(-1) and were correlated with bacterial concentrations, bacterial growth rates and longitude. Rates were highest in the eastern-most part of the survey, which was sampled last, reflecting the transition along the successional continuum toward a respiration-based, senescent, microbial community. Rates of herbivory ranged from 0.3 to 2.4 d(-1) and were correlated with concentrations of microzooplankton and HNF combined, rates of phytoplankton growth, and latitude. Rates were highest at southern ice edge sites where concentrations of prey (as represented by Chl a) and microzooplankton were also highest. Cluster analysis of the concentrations of marine microbes and their rates of growth and grazing mortality identified 5 groups of sample sites that conveniently summarised the variability in the composition and function of the microbial community. Cluster groups differentiated between low Chl a (similar to 0.3 mu g l(-1)) open ocean Antarctic Circumpolar Current (ACC) communities: and high Chl a (similar to 2.4 mu g l(-1)) ice-associated coastal blooms at various stages between bloom formation and senescence. This partitioning of cluster groups can be used to determine spatial and temporal patterns of carbon transfer by the microbial loop within the BROKE-West survey area. (C) 2010 Published by Elsevier Ltd.</t>
  </si>
  <si>
    <t>[Pearce, Imojen; Davidson, Andrew T.; Thomson, Paul G.; Wright, Simon; van den Enden, Rick] Australian Antarctic Div, Kingston, Tas 7050, Australia; [Pearce, Imojen; Davidson, Andrew T.; Thomson, Paul G.; Wright, Simon; van den Enden, Rick] Antarctic Climate &amp; Ecosyst Cooperat Res Ctr, Hobart, Tas 7001, Australia</t>
  </si>
  <si>
    <t>Pearce, I (corresponding author), Australian Antarctic Div, 203 Channel Hwy, Kingston, Tas 7050, Australia.</t>
  </si>
  <si>
    <t>Imojen.Pearce@aad.gov.au</t>
  </si>
  <si>
    <t>We gratefully acknowledge the assistance of Captain Scott Laughlin and the crew of the RSV Aurora Australis. Thanks also to technical support from Tony Veness, Kelvin Cope, Bec Gorton and David Smith. This work was supported by the Australian government's Cooperative Research Centres Programme through the Antarctic Climate and Ecosystems Cooperative Research Centre (ACE CRC).</t>
  </si>
  <si>
    <t>10.1016/j.dsr2.2008.04.039</t>
  </si>
  <si>
    <t>WOS:000278580500010</t>
  </si>
  <si>
    <t>Jones, G; Fortescue, D; King, S; Williams, G; Wright, S</t>
  </si>
  <si>
    <t>Jones, Graham; Fortescue, Darren; King, Stacey; Williams, Guy; Wright, Simon</t>
  </si>
  <si>
    <t>Dimethylsulphide and dimethylsulphoniopropionate in the South-West Indian Ocean sector of East Antarctica from 30° to 80°E during BROKE-West</t>
  </si>
  <si>
    <t>Dimethylsulphide; Dimethylsulphoniopropionate; Water mass formation; Melting sea ice; East Antarctic shelf waters</t>
  </si>
  <si>
    <t>PHYTOPLANKTON COMMUNITY STRUCTURE; ICE-ZONE; SEA-ICE; SULFIDE PRODUCTION; CHEMTAX ANALYSIS; ALGAL PIGMENTS; DISSOLVED DMSP; WATER MASSES; DIMETHYLSULFONIOPROPIONATE; SURFACE</t>
  </si>
  <si>
    <t>We investigated the spatial and vertical variations of dimethylsulphide (DMS), dissolved, particulate, and total dimethylsulphoniopropionate (DMSPd, DMSPp and DMSPt) in the south-west Indian Ocean sector of East Antarctica between 30 degrees-80 degrees E and south of 62 degrees S from January to March 2006. Twenty seven sites were examined and mean concentrations in the upper 150 m of the water column were for DMS 8 nM (range nd-63 nM); DMSPd 5 nM (nd-36 nM); DMSPp 11 nM (nd-38 nM), and DMSPt 16 nM (nd-54 nM). The highest concentrations of the sulphur compounds occurred in the western sector of the study area on the Antarctic shelf and across the Antarctic Slope Front region (ASF) of the eastern Weddell Gyre (EWG) in the Cosmonaut Sea. Concentrations were lower north of the ASF region of the EWG and in the eastern sector of the Antarctic Circumpolar Current (ACC) and the greater Prydz Bay Gyre (PBG) circulation in the Cooperation Sea. The influence of melting pack ice on DMS and DMSPd concentrations was apparent in this study but was predominantly restricted to a few stations in the Cosmonaut Sea early in the voyage. DMS concentrations were extremely high at stations in the western sector of the Marginal Ice Zone (MIZ) in the early part of the study (mean 25 nM), reaching concentrations as high as 63 nM at station 42, decreasing to a mean concentration of 5.5 nM in the reduced MIZ to the east. In the Seasonal Mixed-Layer (SML) water (4-50 m) from the ACC and EWG, mean DMS concentrations were 5 nM, whilst very low concentrations of DMS occurred under forming sea ice (0.5 nM). Mean DMSPp concentrations in the top 50 m of the MIZ stations across the survey were closely similar (18-20 nM) and slightly higher than SML waters (13-14 nM), whilst mean DMSPd concentrations were 275 and 100% higher in samples from the MIZ stations (8-15 nM), compared with SML waters (4 nM). In the eastern sector, the coastal region across the shelf break and ASF region was largely free of ice and there was generally no elevation of DMSPd (mean 4 nM). This suggests that biological processes associated with the pack or fast ice in the ASP region of the western sector of the survey, in conjunction with the oceanography of the region, may have caused the high concentrations of DMS and DMSPd observed at latitudes &gt;67 degrees S. Whilst filtration affects did influence DMSPd concentrations at a few sites, it was clear that elevated DMS and DMSPd concentrations occurred in the top 50 m and Winter Water (WW) layers of MIZ stations, and in High-Salinity Shelf Water (HSSW) at specific locations on the Antarctic Shelf, and likely reflected melting sea ice. DMS and DMSPp were also detected below the euphotic zone in Modified Circumpolar Deep Water (MCDW) on the Antarctic slope, with DMSPp possibly transported there in sedimenting detritus and faecal material. The significant concentrations of DMS detected in lower MCDW (0.42-1.1 nM) and Antarctic Bottom Water (AABW, 2.7 nM) were likely to have been transported to these depths in wintertime as dense shelf-water overflows from the Cape Darnley and Prydz Bay source regions. The high concentrations of DMS and DMSPd observed in the surface waters of the MIZ further support the importance of the Antarctic region and the sea-ice zone to the global sulphur cycle. Crown Copyright (C) 2009 Published by Elsevier Ltd. All rights reserved.</t>
  </si>
  <si>
    <t>[Jones, Graham; Fortescue, Darren; King, Stacey] So Cross Univ, Sch Environm Sci &amp; Management, Ctr Reg Climate Change Studies, Lismore, NSW 2480, Australia; [Williams, Guy] Hokkaido Univ, Inst Low Temp Sci, Sapporo, Hokkaido 0600819, Japan; [Williams, Guy; Wright, Simon] Antarctic Climate &amp; Ecosyst Cooperat Res Ctr, Hobart, Tas 7001, Australia; [Wright, Simon] Australian Antarctic Div, Kingston, Tas 7050, Australia</t>
  </si>
  <si>
    <t>Southern Cross University; Hokkaido University; Antarctic Climate &amp; Ecosystems Cooperative Research Centre (ACE CRC); Australian Antarctic Division</t>
  </si>
  <si>
    <t>Jones, G (corresponding author), So Cross Univ, Sch Environm Sci &amp; Management, Ctr Reg Climate Change Studies, Lismore, NSW 2480, Australia.</t>
  </si>
  <si>
    <t>gjones@scu.edu.au</t>
  </si>
  <si>
    <t>Jones, Graham/0000-0002-2815-6395</t>
  </si>
  <si>
    <t>Centre for Regional Climate Change Studies at Southern Cross University; Australian Government's Cooperative Research Centres programme through the Antarctic Climate and Ecosystems Cooperative Research Centre (ARC CRC)</t>
  </si>
  <si>
    <t>Centre for Regional Climate Change Studies at Southern Cross University; Australian Government's Cooperative Research Centres programme through the Antarctic Climate and Ecosystems Cooperative Research Centre (ARC CRC)(Australian Research CouncilAustralian GovernmentDepartment of Industry, Innovation and ScienceCooperative Research Centres (CRC) Programme)</t>
  </si>
  <si>
    <t>The opportunity for DF and SK to participate in the Baseline Research on Oceanography, Krill and the Environment (BROKE) West project conducted during voyage AU603 on Aurora Australis from 2 January to 12 March 2006 was provided by the Australian Antarctic Division. GBJ thanks the Antarctic Scientific Advisory Committee for support of Project 2100, DMS in the Southern Ocean. This research was supported by the Centre for Regional Climate Change Studies at Southern Cross University and the Australian Government's Cooperative Research Centres programme through the Antarctic Climate and Ecosystems Cooperative Research Centre (ARC CRC).</t>
  </si>
  <si>
    <t>10.1016/j.dsr2.2009.01.003</t>
  </si>
  <si>
    <t>WOS:000278580500011</t>
  </si>
  <si>
    <t>Seuront, L; Leterme, SC; Seymour, JR; Mitchell, JG; Ashcroft, D; Noble, W; Thomson, PG; Davidson, AT; van den Enden, R; Scott, FJ; Wright, SW; Schapira, M; Chapperon, C; Cribb, N</t>
  </si>
  <si>
    <t>Seuront, Laurent; Leterme, Sophie C.; Seymour, Justin R.; Mitchell, James G.; Ashcroft, Daniel; Noble, Warwick; Thomson, Paul G.; Davidson, Andrew T.; van den Enden, Rick; Scott, Fiona J.; Wright, Simon W.; Schapira, Mathilde; Chapperon, Coraline; Cribb, Nardi</t>
  </si>
  <si>
    <t>Role of microbial and phytoplanktonic communities in the control of seawater viscosity off East Antarctica (30-80°E)</t>
  </si>
  <si>
    <t>Phytoplankton; Bacteria; Seawater viscosity; Biologically increased seawater viscosity; Southern Ocean; East Antarctica</t>
  </si>
  <si>
    <t>TRANSPARENT EXOPOLYMER PARTICLES; PHASE VISCOELASTIC PROPERTIES; PHAEOCYSTIS-GLOBOSA; WATER TEMPERATURE; SOUTHERN-OCEAN; BACTERIAL-COLONIZATION; COASTAL WATERS; TEP; LARVAE; ABUNDANCE</t>
  </si>
  <si>
    <t>Despite the long-standing belief that seawater viscosity is driven by temperature and salinity, biologically increased seawater viscosity has repeatedly been reported in relation to phytoplankton exudates in shallow, productive coastal waters. Here, seawater viscosity was investigated in relation to microbial and phytoplanktonic communities off the coast of East Antarctica along latitudinal transects located between 30 degrees E and 80 degrees E in sub-surface waters and at the deep chlorophyll maximum (DCM). The physical component of seawater viscosity observed along each transects ranged from 1.80 to 1.95 cP, while the actual seawater viscosity ranged from 1.85 to 3.69 cP. This resulted in biologically increased seawater viscosity reaching up to 84.9% in sub-surface waters and 77.6% at the DCM. Significant positive correlations were found between elevated seawater viscosity and (i) bacterial abundance in sub-surface waters and (ii) chlorophyll a concentration and the abundance of flow cytometrically-defined auto- and heterotrophic protists at the DCM. Among the 12 groups and 108 species of protists identified under light microscopy, dinoflagellates and more specifically Alexandrium tamarense and Prorocentrum sp. were the main contributors to the patterns observed for elevated seawater viscosity. Our observations, which generalised the link previously identified between seawater viscosity and phytoplankton composition and standing stock to the Southern Ocean, are the first demonstration of increases in seawater viscosity linked to marine bacterial communities, and suggest that the microbially-increased viscosity might quantitatively be at least as important as the one related to phytoplankton secretion. (C) 2009 Elsevier Ltd. All rights reserved.</t>
  </si>
  <si>
    <t>[Seuront, Laurent; Leterme, Sophie C.; Seymour, Justin R.; Mitchell, James G.; Ashcroft, Daniel; Noble, Warwick; Schapira, Mathilde; Chapperon, Coraline; Cribb, Nardi] Flinders Univ S Australia, Sch Biol Sci, Adelaide, SA 5001, Australia; [Seuront, Laurent; Leterme, Sophie C.] S Australian Res &amp; Dev Inst, W Beach, SA 5022, Australia; [Thomson, Paul G.; Davidson, Andrew T.; van den Enden, Rick; Scott, Fiona J.; Wright, Simon W.] Australian Antarctic Div, Kingston, Tas 7050, Australia; [Seymour, Justin R.] MIT, Dept Civil &amp; Environm Engn, Cambridge, MA 02139 USA; [Thomson, Paul G.; Davidson, Andrew T.; van den Enden, Rick; Scott, Fiona J.; Wright, Simon W.] Antarctic Climate &amp; Ecosyst Cooperat Res Ctr, Hobart, Tas 7001, Australia</t>
  </si>
  <si>
    <t>Flinders University South Australia; Australian Antarctic Division; Massachusetts Institute of Technology (MIT); Antarctic Climate &amp; Ecosystems Cooperative Research Centre (ACE CRC)</t>
  </si>
  <si>
    <t>Seuront, L (corresponding author), Flinders Univ S Australia, Sch Biol Sci, GPO Box 2100, Adelaide, SA 5001, Australia.</t>
  </si>
  <si>
    <t>Laurent.Seuront@flinders.edu.au</t>
  </si>
  <si>
    <t>; Leterme, Sophie C./A-5013-2013</t>
  </si>
  <si>
    <t>Mitchell, Jim/0000-0002-8445-0935; Schapira, Mathilde/0000-0002-0130-9398; Leterme, Sophie C./0000-0001-8455-7049; Seuront, Laurent/0000-0002-0051-5202; Seymour, Justin/0000-0002-3745-6541</t>
  </si>
  <si>
    <t>Australian Government's Cooperative Research Centres Programme through the Antarctic Climate and Ecosystems Cooperative Research Centre (ACE CRC); Australian Antarctic Division [2382, 2596]; Flinders University; Australian Research Council [DP0664681, DP0666420, DP0772186]; Australian Professorial Fellowship [DP0988554]; Australian Research Council [DP0666420, DP0772186] Funding Source: Australian Research Council</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</si>
  <si>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Division; Flinders University; Australian Research Council(Australian Research Council); Australian Professorial Fellowship(Australian Research Council); Australian Research Council(Australian Research Council)</t>
  </si>
  <si>
    <t>The authors thank the captain and crew of the RSV Aurora Australis for their expertise and cooperation throughout the duration of the cruise, and the team of CTD operators and samplers for their assistance in collecting the water samples. This research was supported by the Australian Government's Cooperative Research Centres Programme through the Antarctic Climate and Ecosystems Cooperative Research Centre (ACE CRC). This work was funded by the Australian Antarctic Division (Projects #2382 to J.G. Mitchell and #2596 to L Seuront), the Flinders University and the Australian Research Council. (Discovery Projects DP0664681, DP0666420 and DP0772186). Professor Seuront is the recipient of an Australian Professorial Fellowship (project number DP0988554). We are very grateful to Klaus Meiners and Karen Westwood for their constructive comments on an earlier version of this work.</t>
  </si>
  <si>
    <t>10.1016/j.dsr2.2008.09.018</t>
  </si>
  <si>
    <t>WOS:000278580500012</t>
  </si>
  <si>
    <t>Swadling, KM; Kawaguchi, S; Hosie, GW</t>
  </si>
  <si>
    <t>Swadling, Kerrie M.; Kawaguchi, So; Hosie, Graham W.</t>
  </si>
  <si>
    <t>Antarctic mesozooplankton community structure during BROKE-West (30°E-80°E), January-February 2006</t>
  </si>
  <si>
    <t>Zooplankton; Sea ice; Multivariate analyses; Environment; Species associations</t>
  </si>
  <si>
    <t>DISTRIBUTION PATTERNS; MACROZOOPLANKTON COMMUNITIES; MESOSCALE DISTRIBUTION; SOUTHERN-OCEAN; MCMURDO SOUND; MARCH 1996; PRYDZ BAY; SEA-ICE; ZOOPLANKTON; 80-150-DEGREES-E</t>
  </si>
  <si>
    <t>The distribution of mesozooplankton, based on the catch by a RMT1 net, in the upper 200 m of the South Western Indian Ocean sector (30 degrees E-80 degrees E) of the Southern Ocean was examined during the large-scale BROKE-West survey in summer 2006. Multivariate analyses revealed four groups of zooplankton that could be broadly linked to oceanographic features. The first group, occurring south of the southern boundary of the Antarctic Circumpolar Current (sbACC) and west of 40 degrees E, was associated with waters from the eastern limb of the Weddell Gyre. The group was typified by moderate abundance (mean: 11,251 ind. 1000 m(-3)) and included foraminiferans, appendicularians and small copepods. Group 2 was composed of stations found in the deeper, warmer waters lying between the sbACC and the southern ACC front (sACCf), along with a few stations north of the sACCf. Sites in this group exhibited the highest mean zooplankton abundance (81,750 ind. 1000 m(-3)) and comprised large numbers of small copepods and appendicularians. Sites in group 3 fell south of the sbACC, were situated east of 50 degrees E, and generally located near the Antarctic slope current (ASC), a strong and narrow jet of westward flowing water. Typical species for this group included Euphausia aystallorophias, Fritillaria spp. and Metridia gerlachei. Finally, group 4 represented neritic sites in the far southwestern corner of the survey region. Abundances were lowest (mean: 2588 ind. 1000 m(-3)) and the assemblage was dominated by E. crystallorophias, Neogloboquadrina pachyderma and Fritillaria spp. The four groups differed more by abundance than by composition. The suite of environmental variables that best correlated with patterns in the species data included chlorophyll a concentration, proximity to the ASC and length of time without an ice cover, all features which indicated that large scale oceanographic processes were underpinning the patterns in mesozooplankton distribution. (C) 2009 Elsevier Ltd. All rights reserved.</t>
  </si>
  <si>
    <t>[Swadling, Kerrie M.] Univ Tasmania, Marine Res Labs, Tasmanian Aquaculture &amp; Fisheries Inst, Hobart, Tas 7001, Australia; [Swadling, Kerrie M.] Univ Tasmania, Sch Zool, Tasmanian Aquaculture &amp; Fisheries Inst, Hobart, Tas 7001, Australia; [Kawaguchi, So; Hosie, Graham W.] Australian Antarctic Div, Dept Environm Water Heritage &amp; Arts, Kingston, Tas 7050, Australia</t>
  </si>
  <si>
    <t>Swadling, KM (corresponding author), Univ Tasmania, Marine Res Labs, Tasmanian Aquaculture &amp; Fisheries Inst, Private Bag 49, Hobart, Tas 7001, Australia.</t>
  </si>
  <si>
    <t>Kerrie.Swadling@utas.edu.au</t>
  </si>
  <si>
    <t>Kawaguchi, So/N-1795-2017</t>
  </si>
  <si>
    <t>Swadling, Kerrie/0000-0002-7620-841X; Kawaguchi, So/0000-0002-2042-5095</t>
  </si>
  <si>
    <t>10.1016/j.dsr2.2008.10.041</t>
  </si>
  <si>
    <t>WOS:000278580500013</t>
  </si>
  <si>
    <t>Lindsay, MCM; Williams, GD</t>
  </si>
  <si>
    <t>Lindsay, M. C. M.; Williams, G. D.</t>
  </si>
  <si>
    <t>Distribution and abundance of Larvaceans in the Southern Ocean between 30 and 80°E</t>
  </si>
  <si>
    <t>Larvaceans; Southern Ocean; East Antarctica; BROKE-West; Oikopleura spp; Fritilaria spp</t>
  </si>
  <si>
    <t>BROKE-WEST; SEASONAL SUCCESSION; OIKOPLEURA-DIOICA; ZOOPLANKTON; 30-DEGREES-E-80-DEGREES-E; CIRCULATION; COMMUNITY; AUSTRALIA</t>
  </si>
  <si>
    <t>Larvaceans are gelatinous zooplankton that inhabit most oceans, coastal waters and estuaries, and are thought to be important grazers of the ocean's primary production. To date there is little known about larvaceans in the Southern Ocean and their ecological role. This paper details a Larvacean survey conducted during the BROKE-West voyage (Jan-Mar 2006) to the southwest Indian Ocean sector of the East Antarctic margin between 30 and 80 degrees E and 60 and 70 degrees S. Larvacean abundances were quantified from three sampling devices: a ring net with 150-mu m mesh and cross-sectional area of 0.8 m(2); a Rectangular Mid-Water Trawl (RMT1) with 300-mu m mesh and a nominal cross-sectional area of 1 m(2); and a Continuous Plankton Recorder (CPR) with a 270-mu m mesh and a 1.6-cm(2) cross-sectional area. The samples collected from the ring net were identified to the species level using stereo dissecting microscopes and scanning electron microscopy (SEM). The survey revealed two species: Oikopleura gaussica and Fritillaria drygalski. The abundance of both species increased from &lt;1 ind. m(-3) to 5.8 ind. m(-3) as the survey progressed from west to east and decreased from 5.8 ind. m(-3) in the north to 2 ind. m(-3) in the south until the shelf region and marginal sea-ice zone where abundances increased to 4 ind. m(-3). Statistically significant relationships were identified between abundance and latitude in samples from the RMT1 and Ring net. There was also a relationship between the larvacean abundance from the RMT1 and longitude. Although larvacean distribution and abundance patterns appeared to agree with the large-scale oceanographic boundaries of the survey area, there were no statistically significant relationships between larvacean abundance and any physical oceanography parameters. (C) 2010 Elsevier Ltd. All rights reserved.</t>
  </si>
  <si>
    <t>[Lindsay, M. C. M.] Australian Antarctic Div, Kingston, Tas 7050, Australia; [Lindsay, M. C. M.] Univ Tasmania, Inst Antarctic &amp; So Ocean Studies, Hobart, Tas 7001, Australia; [Lindsay, M. C. M.; Williams, G. D.] Antarctic Climate &amp; Ecosyst Cooperat Res Ctr, Hobart, Tas, Australia; [Williams, G. D.] Hokkaido Univ, Inst Low Temp Sci, Sapporo, Hokkaido 060, Japan</t>
  </si>
  <si>
    <t>Australian Antarctic Division; University of Tasmania; Antarctic Climate &amp; Ecosystems Cooperative Research Centre (ACE CRC); Hokkaido University</t>
  </si>
  <si>
    <t>Lindsay, MCM (corresponding author), Australian Antarctic Div, 203 Channel Highway, Kingston, Tas 7050, Australia.</t>
  </si>
  <si>
    <t>margaret.lindsay@aad.gov.au</t>
  </si>
  <si>
    <t>Australian government's Cooperative Research Centres Programme through the Antarctic Climate and Ecosystem Cooperative Research Centre</t>
  </si>
  <si>
    <t>Australian government's Cooperative Research Centres Programme through the Antarctic Climate and Ecosystem Cooperative Research Centre(Australian GovernmentDepartment of Industry, Innovation and ScienceCooperative Research Centres (CRC) Programme)</t>
  </si>
  <si>
    <t>This work was supported by the Australian government's Cooperative Research Centres Programme through the Antarctic Climate and Ecosystem Cooperative Research Centre. The authors thank: the officers and crew of the R.V. Aurora Australis with the Marine Science: support staff from the Australian Antarctic Division and fellow expeditioners for assistance in collection of samples; the Australian Antarctic Data Centre for producing Figs. 4, 5 and 6. Some or all of the data used within this paper was obtained from the Australian Antarctic Data Centre (IDN Node AMD/AU), a part of the Australian Antarctic Division (Commonwealth of Australia). The data is described in the metadata record Underway voyage data collected from Australian Antarctic Division chartered ships Reeve, J. (2008). Gerry Nash for SEM assistance; So Kawaguchi, Steve Nicol, John Kitchener, Kerrie Swaddling and David Mc Cloud for data processing and Graham Hosie, Simon Wright and Tom Trull. This paper is contribution #9 to the Census of Antarctic Marine Life (CAML).</t>
  </si>
  <si>
    <t>10.1016/j.dsr2.2009.04.021</t>
  </si>
  <si>
    <t>WOS:000278580500014</t>
  </si>
  <si>
    <t>Jarvis, T; Kelly, N; Kawaguchi, S; van Wijk, E; Nicol, S</t>
  </si>
  <si>
    <t>Jarvis, Toby; Kelly, Natalie; Kawaguchi, So; van Wijk, Esmee; Nicol, Stephen</t>
  </si>
  <si>
    <t>Acoustic characterisation of the broad-scale distribution and abundance of Antarctic krill (Euphausia superba) off East Antarctica (30-80°E) in January-March 2006</t>
  </si>
  <si>
    <t>Krill; Acoustics; Biomass; Ecology; CCAMLR; Southern Ocean; East Antarctica; Enderby Land; Kemp Land; MacRobertson Land; Princess Elizabeth Land; 30-80 degrees E; 60-70 degrees S</t>
  </si>
  <si>
    <t>SOUTH SHETLAND ISLANDS; AUSTRAL SUMMER; SEA-ICE; ECOSYSTEM APPROACH; TARGET STRENGTHS; SOUND-SPEED; PRYDZ BAY; FISHERIES; BIOMASS; OCEAN</t>
  </si>
  <si>
    <t>A large-scale oceanographic survey (BROKE-West) was undertaken off East Antarctica in the austral summer of 2005/06. Throughout the survey, multi-frequency echosounder data and ancillary environmental data were collected to determine the distribution and abundance of Antarctic krill (Euphausia superba) and to explore its broad relationship with the bio-physical environment. The acoustic data were analysed using three different methods to provide measurements of krill abundance that can be set in context with previous studies. Based on the most recently developed acoustic method, the mean biomass-density of krill across the survey area (1.3 million km(2)) was estimated to be 24 g m(-2). Total biomass was estimated to be 28.75 million tonnes (Mt) with a coefficient of variation (CV) of 16.18%. This biomass estimate has been used by the Commission for the Conservation of Antarctic Marine Living Resources (CCAMLR) to update the precautionary catch limit for krill in this area (CCAMLR Division 58.4.2) from 0.450 to 2.645 Mt. Overall, krill were widely distributed at relatively low densities: 25% of the 2-km along-track echo-integration intervals were devoid of krill, 50% registered densities of 1 g m(-2) of krill or less and 75% registered densities of 12 g m(-2) or less. Mean densities were highest in the waters to the south of the Southern Boundary (SB) of the Antarctic Circumpolar Current (ACC), while the waters to the north of the Southern ACC Front (SACCF) were almost devoid of krill. Half of the cumulative krill density across the survey was found within 80 km of the 1000 m isobath (the shelf break), and 40% within 40 km. This was mostly due to particularly high densities (up to 4400 g m(-2)) around the shelf break on 3 of the 11 transects surveyed. The majority of acoustic krill detections were in the top 100 m of the water column, centred around 50 m depth. (C) 2010 Published by Elsevier Ltd.</t>
  </si>
  <si>
    <t>[Jarvis, Toby; Kelly, Natalie; Kawaguchi, So; van Wijk, Esmee; Nicol, Stephen] Australian Antarctic Div, Kingston, Tas 7050, Australia</t>
  </si>
  <si>
    <t>Jarvis, T (corresponding author), Myriax Software, 110 Murray St, Hobart, Tas 7000, Australia.</t>
  </si>
  <si>
    <t>toby.jarvis@echoview.com; natalie.kelly@aad.gov.au; so.kawaguchi@aad.gov.au; esmee.vanwijk@acecrc.org.au; steve.nicol@aad.gov.au</t>
  </si>
  <si>
    <t>Jarvis, Toby/JCP-5041-2023; van Wijk, Esmee/AAB-2451-2020; Kelly, Natalie/B-3481-2010; Kawaguchi, So/N-1795-2017</t>
  </si>
  <si>
    <t>Jarvis, Toby/0000-0002-3363-614X; van Wijk, Esmee/0000-0002-9375-4383; Kelly, Nat/0000-0002-9664-354X; Kawaguchi, So/0000-0002-2042-5095</t>
  </si>
  <si>
    <t>10.1016/j.dsr2.2008.06.013</t>
  </si>
  <si>
    <t>WOS:000278580500015</t>
  </si>
  <si>
    <t>Kawaguchi, S; Nicol, S; Virtue, P; Davenport, SR; Casper, R; Swadling, KM; Hosie, GW</t>
  </si>
  <si>
    <t>Kawaguchi, So; Nicol, Stephen; Virtue, Patti; Davenport, Stevie R.; Casper, Ruth; Swadling, Kerrie M.; Hosie, Graham W.</t>
  </si>
  <si>
    <t>Krill demography and large-scale distribution in the Western Indian Ocean sector of the Southern Ocean (CCAMLR Division 58.4.2) in Austral summer of 2006</t>
  </si>
  <si>
    <t>Antarctic krill; Recruitment; Density; Distribution; Sexual maturity; Southern Ocean, Indian Ocean sector; (30 degrees E to 80 degrees E)</t>
  </si>
  <si>
    <t>EUPHAUSIA-SUPERBA DANA; EAST ANTARCTICA 80-150-DEGREES-E; PRYDZ BAY REGION; WEDDELL SEA; POPULATION-STRUCTURE; MODELING GROWTH; ABUNDANCE; ICE; MACROZOOPLANKTON; CIRCULATION</t>
  </si>
  <si>
    <t>Krill demography was studied during a large-scale survey of the South Western Indian sector of the Southern Ocean conducted in late January to late February 2006 (BROKE-West). The survey progressed from 30 degrees E in late January to 80 degrees E in late February and was bounded in the North by 62 degrees S. The average krill density calculated from the catches of the RMT 8 net for four geographical strata ranged from 0.84-68 individuals per 1000 m(-3), with overall mean of 6.7 individuals per 1000 m(-3). Krill distribution and its population structure were analysed using cluster and mixture analysis of the length frequency distribution, showing small sized krill (modal size of 25-30 mm) broadly distributed in the centre of the western area whereas middle and large sized krill (modal size of 35-45 mm and 45-55 mm, respectively) mainly distributed in the middle and eastern half of the survey area. These findings are discussed in the context of the observed geographic and oceanographic structures; the continental slope area, fronts, currents and gyres. Proportional recruitment indices ranged 0.089-0.226 for R1 (age 1+ recruitment) and 0.204-0.440 for R2 (age 2+ recruitment) in the four strata. Recruitment analysis revealed differences between western and eastern halves of the surveyed area, suggesting the possible existence of separate self-sustaining populations linked to the Weddell Gyre and Prydz Bay Gyre systems. Krill larvae were mainly observed along the shelf break, implying the early onset of spawning in mid-November. The series of coastal polynyas developing in the early spring may be one of the important habitats allowing use of early season phytoplankton growth for early maturation and spawning, and those larvae would be transported westwards by the coastal current along the shelf slope. Crown Copyright (C) 2009 Published by Elsevier Ltd. All rights reserved.</t>
  </si>
  <si>
    <t>[Kawaguchi, So; Nicol, Stephen; Hosie, Graham W.] Australian Antarctic Div, Kingston, Tas 7050, Australia; [Virtue, Patti; Casper, Ruth] Univ Tasmania, IASOS, Hobart, Tas 7001, Australia; [Davenport, Stevie R.] Beachcomber Res, Swansea, Tas 7190, Australia; [Swadling, Kerrie M.] Univ Tasmania, Marine Res Labs, Tasmanian Aquaculture &amp; Fisheries Inst, Hobart, Tas 7001, Australia; [Swadling, Kerrie M.] Univ Tasmania, Sch Zool, Tasmanian Aquaculture &amp; Fisheries Inst, Hobart, Tas 7001, Australia</t>
  </si>
  <si>
    <t>Australian Antarctic Division; University of Tasmania; University of Tasmania; University of Tasmania</t>
  </si>
  <si>
    <t>Kawaguchi, S (corresponding author), Australian Antarctic Div, Channel Highway, Kingston, Tas 7050, Australia.</t>
  </si>
  <si>
    <t>So.Kawaguchi@aad.gov.au</t>
  </si>
  <si>
    <t>Virtue, Patti/0000-0002-9870-1256; Kawaguchi, So/0000-0002-2042-5095; Swadling, Kerrie/0000-0002-7620-841X</t>
  </si>
  <si>
    <t>Australian government's Cooperative Research Centres Programme</t>
  </si>
  <si>
    <t>Australian government's Cooperative Research Centres Programme(Australian GovernmentDepartment of Industry, Innovation and ScienceCooperative Research Centres (CRC) Programme)</t>
  </si>
  <si>
    <t>The authors acknowledge the efforts and support of the colleagues on board, in particular J. Kitchener, L. Finley, J. Foster, M. Brown, T. Yoshiki, A. Van de Putte, T. Yoshida, and the officers and crew of the Aurora Australis. Thanks are extended to K. Meiners and B. Pasquer for their constructive comments on the manuscript. D. Smith and A. Bender are appreciated for generating maps. This work forms part of Australian Antarctic Science Project 2655 and is also a contribution towards the output of the Antarctic Marine Ecosystems Program of the Antarctic Climate and Ecosystems Cooperative Research Centre funded by the Australian government's Cooperative Research Centres Programme.</t>
  </si>
  <si>
    <t>10.1016/j.dsr2.2008.06.014</t>
  </si>
  <si>
    <t>WOS:000278580500016</t>
  </si>
  <si>
    <t>Virtue, P; Kawaguchi, S; McIvor, J; Nicol, S; Wotherspoon, S; Brown, M; Casper, R; Davenport, S; Finley, L; Foster, J; Yoshida, T; Yoshiki, T</t>
  </si>
  <si>
    <t>Virtue, P.; Kawaguchi, S.; McIvor, J.; Nicol, S.; Wotherspoon, S.; Brown, M.; Casper, R.; Davenport, S.; Finley, L.; Foster, J.; Yoshida, T.; Yoshiki, T.</t>
  </si>
  <si>
    <t>Krill growth and condition in Western Indian Ocean sector of the Southern Ocean 30-80°E in austral summer 2006</t>
  </si>
  <si>
    <t>Krill; Growth; Digestive Gland; Phytoplankton; Sea Surface Temperature; Southern Ocean</t>
  </si>
  <si>
    <t>EUPHAUSIA-SUPERBA; ANTARCTIC KRILL; EAST ANTARCTICA; POPULATION-STRUCTURE; MODELING GROWTH; FOOD; ECOSYSTEM; GEORGIA; COPEPOD; REGION</t>
  </si>
  <si>
    <t>Krill growth and physiological condition were measured during the Baseline Research on Oceanography, Krill and the Environment - West (BROKE-West) large-scale survey of the Western Indian Ocean sector (30-80 degrees E) of the Southern Ocean. Krill growth and condition were related to sea-surface temperature (SST) and Chlorophyll a levels. Estimates of Antarctic krill growth were obtained using the Instantaneous Growth Rate (IGR) technique, which reflects in situ growth of krill during the intermoult period prior to capture. A total of 10,362 krill were incubated in the IGR experiments conducted on board the research vessel. The average growth rate ranged between 1.8-9.6% of body length throughout the study area (n=1557). Juvenile and sub-adult krill showed higher growth rates compared to adults. Growth decreased with size for krill of all maturity classes, with the largest krill (total length &gt;50 mm) expressing negative growth. On average, mean growth was higher (6.5%) in the western section (30-55 degrees E) of the study area compared to the east (56-80 degrees E) (4.2%). In the western section significantly higher growth rates were recorded for krill sampled close to the ice-edge (8.4%) compared to the open ocean (4.2%), which may be due to the presence of phytoplankton blooms associated with the retreating sea ice. However, in the eastern sector higher growth rates occurred in krill from the open ocean compared to the krill caught in areas closer to the coast (5.4% and 2.6% respectively). Krill condition was measured in terms of digestive gland size as a percentage of carapace length. The size of krill digestive gland relative to carapace length ranged from 0.46 to 0.66 (n=2403). A significant positive correlation was found between growth rate and size of the digestive gland (r(2)=0.7), indicating that growth is related to feeding events. Both digestive gland size and krill growth significantly increased with increasing Chlorophyll a levels and declining SST. Crown Copyright (C) 2009 Published by Elsevier Ltd. All rights reserved.</t>
  </si>
  <si>
    <t>[Virtue, P.; McIvor, J.; Brown, M.; Foster, J.; Yoshida, T.] Univ Tasmania, IASOS, Hobart, Tas, Australia; [Kawaguchi, S.; Nicol, S.; Brown, M.; Davenport, S.; Finley, L.; Foster, J.; Yoshida, T.] Australian Antarctic Div, Dept Environm &amp; Heritage, Hobart, Tas, Australia; [Kawaguchi, S.; Nicol, S.; Brown, M.; Davenport, S.; Finley, L.; Foster, J.; Yoshida, T.] Antarctic Climate &amp; Ecosyst Cooperat Res Ctr, Hobart, Tas, Australia; [Wotherspoon, S.] Univ Tasmania, Dept Maths &amp; Phys, Hobart, Tas, Australia; [Casper, R.] Univ Tasmania, Dept Zool, Hobart, Tas 7001, Australia; [Yoshiki, T.] Soka Univ, Fac Engn, Dept Environm Engn Symbiosis, Tokyo, Japan</t>
  </si>
  <si>
    <t>University of Tasmania; Australian Antarctic Division; Antarctic Climate &amp; Ecosystems Cooperative Research Centre (ACE CRC); University of Tasmania; University of Tasmania; Soka University</t>
  </si>
  <si>
    <t>Virtue, P (corresponding author), Univ Tasmania, IASOS, Private Bag 77, Hobart, Tas, Australia.</t>
  </si>
  <si>
    <t>virtue@utas.edu.au</t>
  </si>
  <si>
    <t>Kawaguchi, So/N-1795-2017; Wotherspoon, Simon J/B-2390-2013</t>
  </si>
  <si>
    <t>Wotherspoon, Simon J/0000-0002-6947-4445; Virtue, Patti/0000-0002-9870-1256; Kawaguchi, So/0000-0002-2042-5095</t>
  </si>
  <si>
    <t>Australian Government's Cooperative Research Centres Program through the Antarctic Climate and Ecosystem Cooperative Research Centre and through the Australian Antarctic Division [2655]</t>
  </si>
  <si>
    <t>Australian Government's Cooperative Research Centres Program through the Antarctic Climate and Ecosystem Cooperative Research Centre and through the Australian Antarctic Division(Australian GovernmentDepartment of Industry, Innovation and ScienceCooperative Research Centres (CRC) Programme)</t>
  </si>
  <si>
    <t>Thanks to the Captain Scott Laughlin and crew of RSV Aurora Australis during the BROKE-West voyage. We gratefully acknowledge Tony Veness, Kelvin Cope and Bec Gorton for their wonderful assistance throughout the voyage. This research was supported by the Australian Government's Cooperative Research Centres Program through the Antarctic Climate and Ecosystem Cooperative Research Centre and through the Australian Antarctic Division (AAS Project No. 2655). Two anonymous reviewers are gratefully acknowledged for their helpful comments on this manuscript.</t>
  </si>
  <si>
    <t>10.1016/j.dsr2.2008.11.035</t>
  </si>
  <si>
    <t>WOS:000278580500017</t>
  </si>
  <si>
    <t>Van de Putte, AP; Jackson, GD; Pakhomov, E; Flores, H; Volckaert, FAM</t>
  </si>
  <si>
    <t>Van de Putte, Anton P.; Jackson, George D.; Pakhomov, Evgeny; Flores, Hauke; Volckaert, Filip A. M.</t>
  </si>
  <si>
    <t>Distribution of squid and fish in the pelagic zone of the Cosmonaut Sea and Prydz Bay region during the BROKE-West campaign</t>
  </si>
  <si>
    <t>ANTARCTIC MESOPELAGIC FISHES; SILVERFISH PLEURAGRAMMA-ANTARCTICUM; MIDWATER FOOD WEB; SOUTHERN-OCEAN; EAST ANTARCTICA; WEDDELL SEA; MACROZOOPLANKTON COMMUNITY; GALITEUTHIS-GLACIALIS; PENINSULA; MYCTOPHIDAE</t>
  </si>
  <si>
    <t>The composition and distribution of squid and fish collected by Rectangular Midwater Trawls in the upper 200 m were investigated during the BROKE-West (Baseline Research on Oceanography, Krill and the Environment-West) survey (January-March 2006) in CCAMLR Subdivision 58.4.2 of the Southern Ocean. A total of 332 individuals were collected, with the most abundant fish species being Pleuragramma antarcticum (34%), Notolepis coatsi (27%) and Electrona antarctica (26%); and the most abundant squid being Galiteuthis glacialis (64%). Abundances of all species were among the lowest recorded using this type of gear. Cluster analysis revealed two distinct communities: a notothenioid-dominated coastal community and an oceanic community dominated by mesopelagic fish and squid. Environmental factors related to this segregation were explored using Redundancy Analysis (RDA). The notothenioid P. antarcticum was associated with shallow areas with high chlorophyll a concentrations. Larval stages of E. antarctica, N. coatsi and G. glacialis were found over deeper water and were positively correlated with higher temperatures and a deeper-reaching mixed layer. Postmetamorphic stages of E. antarctica were caught mostly after sunset and were negatively correlated with solar elevation. The observation of higher densities in the eastern part of the sampling area reflects a temporal rather than a geographical effect. Samples of the three most abundant fishes, E. antarctica, P. antarcticum and N. coatsi, were analysed for gut content. All species fed on a variety of mesozooplankton including copepods, amphipods and euphausiids, which is consistent with previous reports on similar life stages. Mean body energy density was highest for E. antarctica (27 kJ g(-1)), while it was similar for P. antarcticum and N. coatsi (22 kJ g(-1)). The high energy content emphasizing the importance as a food resource for top predators in the Southern Ocean. (C) 2009 Elsevier Ltd. All rights reserved.</t>
  </si>
  <si>
    <t>[Van de Putte, Anton P.; Volckaert, Filip A. M.] Katholieke Univ Leuven, Lab Anim Divers &amp; Systemat, B-3000 Louvain, Belgium; [Jackson, George D.] Univ Tasmania, Inst Antarctic &amp; So Ocean Studies, Hobart, Tas 7001, Australia; [Pakhomov, Evgeny] Univ British Columbia, Dept Earth &amp; Ocean Sci, Vancouver, BC V6T 1Z4, Canada; [Pakhomov, Evgeny] Univ Ft Hare, Dept Zool, ZA-5700 Alice, South Africa; [Flores, Hauke] Wageningen IMARES, NL-1790 AD Den Burg, Texel, Netherlands; [Flores, Hauke] Univ Groningen, Ctr Ecol &amp; Evolutionary Studies, NL-9700 AA Haren, Netherlands</t>
  </si>
  <si>
    <t>KU Leuven; University of Tasmania; University of British Columbia; University of Fort Hare; Wageningen University &amp; Research; University of Groningen</t>
  </si>
  <si>
    <t>Van de Putte, AP (corresponding author), Katholieke Univ Leuven, Lab Anim Divers &amp; Systemat, Ch Deberiotstr 32, B-3000 Louvain, Belgium.</t>
  </si>
  <si>
    <t>Anton.Vandeputte@bio.kuleuven.be</t>
  </si>
  <si>
    <t>Jackson, George D/AAI-7315-2021; Van de Putte, Anton/S-3729-2019; Van de Putte, Anton P/F-6877-2012; Volckaert, Filip/AAC-7691-2019; Flores, Hauke/ABD-1888-2020</t>
  </si>
  <si>
    <t>Van de Putte, Anton/0000-0003-1336-5554; Flores, Hauke/0000-0003-1617-5449</t>
  </si>
  <si>
    <t>Belgian Science Policy [SD/BA/851]; Netherlands Ant Arctic Programme (NAAP) [851.20.011]; Netherlands Ministry of Agriculture, Nature and Food Quality (LNV)</t>
  </si>
  <si>
    <t>Belgian Science Policy(Belgian Federal Science Policy Office); Netherlands Ant Arctic Programme (NAAP); Netherlands Ministry of Agriculture, Nature and Food Quality (LNV)</t>
  </si>
  <si>
    <t>We thank the officers, crew and scientists of the RV Aurora Australis for their support in collecting these data. We owe special thanks to the krill team led by S. Kawaguchi and R. Casper as well as G.D. Williams and the rest of the oceanography group for making the ocean more understandable. We thank J. Maes for al the inspiring advice, and two anonymous reviewers for their helpful comments on this paper. Some of the data used within this paper were obtained from the Australian Antarctic Data Centre (IDN Node AMD/AU), a part of the Australian Government Antarctic Division (Commonwealth of Australia). The data is described in the metadata record CID Data from the Rectangular Midwater Trawl for the BROKE-West Survey Gorton, R. (2006). Logistical support was provided by the Australian Antarctic Division and Belgian Science Policy (PELAGANT project, #EV/01130B). A.VdP. is supported by Belgian Science Policy (PELAGANT project and the PADI project no. SD/BA/851). H.F. is supported by the Netherlands Ant Arctic Programme (NAAP, Proj. nr. 851.20.011) and the Netherlands Ministry of Agriculture, Nature and Food Quality (LNV).</t>
  </si>
  <si>
    <t>10.1016/j.dsr2.2008.02.015</t>
  </si>
  <si>
    <t>WOS:000278580500018</t>
  </si>
  <si>
    <t>Gedamke, J; Robinson, SM</t>
  </si>
  <si>
    <t>Gedamke, Jason; Robinson, Sarah M.</t>
  </si>
  <si>
    <t>Acoustic survey for marine mammal occurrence and distribution off East Antarctica (30-80°E) in January-February 2006</t>
  </si>
  <si>
    <t>Acoustic survey; Whale; Seal; Vocalization; Distribution; Southern Ocean; East Antarctica; 30-80 degrees E; 60-70 degrees S</t>
  </si>
  <si>
    <t>SEAL OMMATOPHOCA-ROSSII; BALAENOPTERA-MUSCULUS; HYDRURGA-LEPTONYX; EUPHAUSIA-SUPERBA; BALEEN WHALES; INDIAN-OCEAN; LEOPARD SEAL; SPERM-WHALES; BLUE WHALES; PACK ICE</t>
  </si>
  <si>
    <t>A large scale, systematic, acoustic survey for whales and seals in eastern Antarctic waters was conducted in January-February 2006. During the BROKE-West survey of Southern Ocean waters between 30 and 80 degrees E longitude, an acoustic survey was conducted to complement a traditional visual survey for marine mammal occurrence and distribution. As part of the survey, 145 DIFAR sonobuoys were deployed every 30' of latitude on north-south transects, and prior to CTD stations on the initial east-west transect. Underwater sound was analyzed for 70 minute samples from each sonobuoy. Blue whales were the most commonly recorded species, identified at 55 of the sonobuoy deployment sites. Other species recorded include: sperm (46 sites), fin (14), humpback (2), and sei (3) whales, and leopard (11) and Ross (17) seals. Large numbers of blue and sperm whales, and all Ross seals were detected on the westernmost two transects, which were the only transects of the survey with relatively extensive sea ice remaining off the continental shelf. Large numbers of blue whales were also detected in the more eastern waters of the survey off the Prydz Bay region, while two detections of pygmy blue whales represent the farthest south these whales have been recorded. Of the relatively few fin whale detections, most occurred in more northerly waters. Fin whale vocalizations from this region were distinctly different than those recorded elsewhere around Antarctica suggesting acoustic recordings may be useful to delineate regional or stock boundaries of this species. Previously undescribed sounds were attributed to Ross seals. Acoustic detections of these and leopard seal sounds indicate these animals venture further from their traditionally described distributions, with vocalizing leopard seals occurring much further north than might be expected. Overall, the results of the sonobuoy survey provide a measure of each species' relative spatial distribution over the survey area based on acoustic detections, and when combined with the results of the visual survey, will provide a comprehensive view of marine mammal distribution throughout the region during the BROKE-West survey. Crown Copyright (C) 2009 Published by Elsevier Ltd. All rights reserved.</t>
  </si>
  <si>
    <t>[Gedamke, Jason; Robinson, Sarah M.] Australian Antarctic Div, Dept Environm Water Heritage &amp; Arts, Australian Marine Mammal Ctr, Kingston, Tas 7050, Australia</t>
  </si>
  <si>
    <t>Gedamke, J (corresponding author), Australian Antarctic Div, Dept Environm Water Heritage &amp; Arts, Australian Marine Mammal Ctr, 203 Channel Highway, Kingston, Tas 7050, Australia.</t>
  </si>
  <si>
    <t>jason.gedamke@aad.gov.au</t>
  </si>
  <si>
    <t>10.1016/j.dsr2.2008.10.042</t>
  </si>
  <si>
    <t>WOS:000278580500019</t>
  </si>
  <si>
    <t>Woehler, EJ; Raymond, B; Boyle, A; Stafford, A</t>
  </si>
  <si>
    <t>Woehler, Eric J.; Raymond, Ben; Boyle, Adrian; Stafford, Andrew</t>
  </si>
  <si>
    <t>Seabird assemblages observed during the BROKE-West survey of the Antarctic coastline (30°E-80°E), January-March 2006</t>
  </si>
  <si>
    <t>Seabirds; Biological surveys; Biological oceanography; Antarctica; Southern Ocean; Communities; Marine ecology</t>
  </si>
  <si>
    <t>GENERALIZED ADDITIVE-MODELS; WEDDELL CONFLUENCE REGION; SHORT-TAILED SHEARWATERS; SOUTHERN DRAKE PASSAGE; PRYDZ BAY; ECOLOGICAL STRUCTURE; COMMUNITY STRUCTURE; BRANSFIELD STRAIT; EUPHAUSIA-SUPERBA; TROPHIC STRUCTURE</t>
  </si>
  <si>
    <t>Seabird surveys in January - March 2006 of a poorly known area of the Southern Ocean adjacent to the East Antarctic coast identified six seabird communities, several of which were comparable to seabird communities identified both in adjacent sectors of the Antarctic, and elsewhere in the Southern Ocean. These results support previous proposals that the Southern Ocean seabird community is characterised by an ice-associated assemblage and an open-water assemblage, with the species composition of the assemblages reflecting local (Antarctic-resident) breeding species, and the migratory routes and feeding areas of distant-breeding taxa, respectively. Physical environmental covariates such as sea-ice cover, distance to continental shelf and time of year influenced the distribution and abundance of seabirds observed, but the roles of these factors in the observed spatial and temporal patterns in seabird assemblages was confounded by the duration of the survey. Occurrence of a number of seabird taxa exhibited significant correlations with krill densities at one or two spatial scales, but only three taxa (Arctic tern, snow petrel and dark shearwaters, i.e. sooty and short-tailed shearwaters) showed significant correlations at a range of spatial scales. Dark shearwater abundances showed correlations with krill densities across the range of spatial scales examined. (C) 2010 Published by Elsevier Ltd.</t>
  </si>
  <si>
    <t>[Woehler, Eric J.; Boyle, Adrian; Stafford, Andrew] Univ Tasmania, Sch Zool, Sandy Bay, Tas 7005, Australia; [Woehler, Eric J.; Raymond, Ben] Australian Antarctic Div, Kingston, Tas 7050, Australia; [Raymond, Ben] Univ Tasmania, Antarctic Climate &amp; Ecosyst Cooperat Res Ctr, Hobart, Tas 7001, Australia</t>
  </si>
  <si>
    <t>University of Tasmania; Australian Antarctic Division; Antarctic Climate &amp; Ecosystems Cooperative Research Centre (ACE CRC); University of Tasmania</t>
  </si>
  <si>
    <t>Woehler, EJ (corresponding author), Univ Tasmania, Sch Zool, Sandy Bay, Tas 7005, Australia.</t>
  </si>
  <si>
    <t>Australian Government Co-operative Research Centres Program through the Antarctic Climate &amp; Ecosystems Co-operative Research Centre (ACE-CRC)</t>
  </si>
  <si>
    <t>Australian Government Co-operative Research Centres Program through the Antarctic Climate &amp; Ecosystems Co-operative Research Centre (ACE-CRC)(Australian GovernmentDepartment of Industry, Innovation and ScienceCooperative Research Centres (CRC) Programme)</t>
  </si>
  <si>
    <t>We thank the Captain and crew of the RSV Aurora Australis for their support and assistance during the BROKE-West survey. The surveys were conducted under AAS Projects 2208 and 2655: Variability in the distribution and abundance of seabirds in the Southern Indian Ocean, and An integrated survey of the waters between 30 and 80 degrees East (CCAMLR Division 58.4.2), respectively. This research was supported by the Australian Government Co-operative Research Centres Program through the Antarctic Climate &amp; Ecosystems Co-operative Research Centre (ACE-CRC). We thank K Swadling, G Hosie, and T Jarvis for the zooplankton and krill density data. Comments from David Ain ley, Mark Hindell and S Nicol improved an earlier draft.</t>
  </si>
  <si>
    <t>10.1016/j.dsr2.2008.12.041</t>
  </si>
  <si>
    <t>WOS:000278580500020</t>
  </si>
  <si>
    <t>Mangini, A; Godoy, JM; Godoy, ML; Kowsmann, R; Santos, GM; Ruckelshausen, M; Schroeder-Ritzrau, A; Wacker, L</t>
  </si>
  <si>
    <t>Mangini, A.; Godoy, J. M.; Godoy, M. L.; Kowsmann, R.; Santos, G. M.; Ruckelshausen, M.; Schroeder-Ritzrau, A.; Wacker, L.</t>
  </si>
  <si>
    <t>Deep sea corals off Brazil verify a poorly ventilated Southern Pacific Ocean during H2, H1 and the Younger Dryas</t>
  </si>
  <si>
    <t>deep sea corals; Delta C-14; Heinrich events; Mystery Interval; ocean circulation; ocean ventilation</t>
  </si>
  <si>
    <t>UNIVERSITY-OF-CALIFORNIA; NORTH-ATLANTIC; SAMPLE PREPARATION; HEINRICH EVENTS; WATER; CIRCULATION; AMS; URANIUM; C-14; CONSTRAINTS</t>
  </si>
  <si>
    <t>Simultaneous C-14 and Th/U dating of deep sea corals are useful for reconstructing the intensity of deep ocean circulation in the past, as they deliver the time between the gas exchange of the water with the atmosphere and the incorporation of the C-14 in the carbonates (Adkins and Boyle, 1997; Adkins et al., 1998; Mangini et al., 1998). Th/U ages of deep sea corals sampled in sediment cores from locations off the coast of Brazil bathed by Antarctic Intermediate Water at depths between 600 and 800 m group close to Heinrich events H2, H1 and the Younger Dryas. The Delta C-14 of the water bathing the corals starts to decrease approximately 2 kyr before the Heinrich events and decreases to values 400% lower than the corresponding back tracked atmospheric values. The timing and the magnitude of the decrease is similar to that observed in intermediate water in the N. Pacific off Baja California (Marchitto et al., 2007) and in the Eastern Pacific (Stott et al., 2009). High ventilation ages, partly exceeding 4000 years, are an unambiguous indication for a reduction of North Atlantic deep water formation during H2, H1 and the YD, as deduced from higher Pa-231/Th-230 activity ratios and from epsilon Nd in N. Atlantic Ocean sediments (McManus et al., 2004; Pahnke et al., 2008; Yu et al., 1996). They also could indicate a poorly oxygenated Southern Pacific Ocean at the end of the Heinrich events. (C) 2010 Elsevier B.V. All rights reserved.</t>
  </si>
  <si>
    <t>[Mangini, A.; Ruckelshausen, M.; Schroeder-Ritzrau, A.] Heidelberger Akad Wissensch, D-69120 Heidelberg, Germany; [Godoy, J. M.; Godoy, M. L.] Inst Radioprotecao &amp; Dosimetria, BR-22643970 Rio De Janeiro, Brazil; [Kowsmann, R.] Petrobras CENPES, BR-21949900 Rio De Janeiro, Brazil; [Santos, G. M.] Univ Calif Irvine, Keck CCAMS Facil, Irvine, CA 92697 USA; [Wacker, L.] ETH, Lab Ion Beam Phys, HPK ETH Hoenggerberg G23, CH-8093 Zurich, Switzerland</t>
  </si>
  <si>
    <t>Ruprecht Karls University Heidelberg; Comissao Nacional de Energia Nuclear (CNEN); Instituto de Radioprotecao e Dosimetria; University of California System; University of California Irvine; Swiss Federal Institutes of Technology Domain; ETH Zurich</t>
  </si>
  <si>
    <t>Mangini, A (corresponding author), Heidelberger Akad Wissensch, Neuenheimer Feld 229, D-69120 Heidelberg, Germany.</t>
  </si>
  <si>
    <t>amangini@iup.uni-heidelberg.de</t>
  </si>
  <si>
    <t>Godoy, Jose Marcus/B-2579-2014; Tmcocean, Inct/J-8735-2013; Godoy, María/GSM-7519-2022; Santos, Guaciara/C-1581-2016</t>
  </si>
  <si>
    <t>Godoy, Jose Marcus/0000-0001-6135-090X; Schroder-Ritzrau, Andrea/0000-0002-8900-2445; Santos, Guaciara/0000-0003-1755-6390</t>
  </si>
  <si>
    <t>MAY 1</t>
  </si>
  <si>
    <t>10.1016/j.epsl.2010.02.041</t>
  </si>
  <si>
    <t>598ES</t>
  </si>
  <si>
    <t>WOS:000277816900005</t>
  </si>
  <si>
    <t>Suavet, C; Alexandre, A; Franchi, IA; Gattacceca, J; Sonzogni, C; Greenwood, RC; Folco, L; Rochette, P</t>
  </si>
  <si>
    <t>Suavet, Clement; Alexandre, Anne; Franchi, Ian A.; Gattacceca, Jerome; Sonzogni, Corinne; Greenwood, Richard C.; Folco, Luigi; Rochette, Pierre</t>
  </si>
  <si>
    <t>Identification of the parent bodies of micrometeorites with high-precision oxygen isotope ratios</t>
  </si>
  <si>
    <t>micrometeorites; cosmic spherules; laser fluorination; parent bodies; carbonaceous chondrites; ordinary chondrites</t>
  </si>
  <si>
    <t>LASER-EXTRACTION TECHNIQUE; COSMIC SPHERULES; ANTARCTIC ICE; CHEMICAL-COMPOSITIONS; ORDINARY CHONDRITES; GRAINS; IRON</t>
  </si>
  <si>
    <t>Oxygen isotopic compositions allow identification of potential parent bodies of extraterrestrial materials. We measured oxygen isotope ratios of 33 large (diameter &gt;500 mu m) silicate melted micrometeorites (cosmic spherules) from Antarctica, using IR-laser fluorination coupled with mass spectrometry. It is the first time that this high-precision method is used on individual micrometeorites. The selected micrometeorites are representative of the influx of extraterrestrial materials to the Earth. Our results show that most micrometeorites are related to carbonaceous chondrites, which is consistent with previous studies. However, 20-50% of them seem to be related to CO/CV carbonaceous chondrites, whereas CM/CR carbonaceous chondrites were thought to be the main source for micrometeorites. Furthermore, similar to 30% of measured samples have oxygen isotope ratios lying above the terrestrial fractionation line, which relates them to ordinary chondrites or other, as yet, unsampled parent bodies. (C) 2010 Elsevier B.V. All rights reserved.</t>
  </si>
  <si>
    <t>[Suavet, Clement; Alexandre, Anne; Gattacceca, Jerome; Sonzogni, Corinne; Rochette, Pierre] Aix Marseille Univ, CEREGE, CNRS, Europole Mediterraneen Arbois, F-13545 Aix En Provence 04, France; [Franchi, Ian A.; Greenwood, Richard C.] Open Univ, PSSRI, Milton Keynes MK7 6AA, Bucks, England; [Folco, Luigi] Univ Siena, Museo Nazl Antartide, I-53100 Siena, Italy</t>
  </si>
  <si>
    <t>Aix-Marseille Universite; Centre National de la Recherche Scientifique (CNRS); Open University - UK; University of Siena</t>
  </si>
  <si>
    <t>Suavet, C (corresponding author), Aix Marseille Univ, CEREGE, CNRS, Europole Mediterraneen Arbois, PB 80, F-13545 Aix En Provence 04, France.</t>
  </si>
  <si>
    <t>suavet@cerege.fr</t>
  </si>
  <si>
    <t>Alexandre, Ana/L-3121-2013; Folco, Luigi/AAB-8586-2021; Gattacceca, Jerome/AAG-5651-2019; Rochette, Pierre/O-4612-2019; Sonzogni, Corinne/AAG-5816-2019; Folco, Luigi/AAA-6351-2020</t>
  </si>
  <si>
    <t>Alexandre, Ana/0000-0001-7164-1487; Gattacceca, Jerome/0000-0002-1639-7140; Rochette, Pierre/0000-0002-7362-0660; Greenwood, Richard/0000-0002-5544-8027; Alexandre, Anne/0000-0003-0696-4022; Folco, Luigi/0000-0002-7276-3483; Suavet, Clement/0000-0001-9970-0864</t>
  </si>
  <si>
    <t>Italian Programma Nazionale delle Ricerche in Antartide; French Institut Polaire Paul Emile Victor; French Institut National des Sciences de l'Univers - Centre National d'Etudes Spatiales Planetology; European Union [35519]; French Agence Nationale de la Recherche [ID: ANR-05-JCJC-0133]; STFC; STFC [ST/F003102/1] Funding Source: UKRI; Science and Technology Facilities Council [ST/F003102/1] Funding Source: researchfish</t>
  </si>
  <si>
    <t>Italian Programma Nazionale delle Ricerche in Antartide; French Institut Polaire Paul Emile Victor; French Institut National des Sciences de l'Univers - Centre National d'Etudes Spatiales Planetology(Centre National D'etudes Spatiales); European Union(European Union (EU)); French Agence Nationale de la Recherche(Agence Nationale de la Recherche (ANR)); 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</si>
  <si>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This work was supported by the Italian Programma Nazionale delle Ricerche in Antartide, the French Institut Polaire Paul Emile Victor, the French Institut National des Sciences de l'Univers - Centre National d'Etudes Spatiales Planetology program, the European Union through the Marie Curie Actions - RTNs ORIGINS (project ID: 35519), and by the French Agence Nationale de la Recherche (project ID: ANR-05-JCJC-0133). Ian A. Franchi and Richard C. Greenwood were supported by STFC rolling grant. We thank Florence Sylvestre (CEREGE) for additional measurements on small masses of quartz standard; Matthieu Gounelle, Philippe Claeys and Benjamin P. Weiss for their comments during the preparation of this manuscript; and Rick Carlson, Matt Genge and an anonymous reviewer for reviewing this work.</t>
  </si>
  <si>
    <t>10.1016/j.epsl.2010.02.046</t>
  </si>
  <si>
    <t>WOS:000277816900009</t>
  </si>
  <si>
    <t>Abakumov, EV</t>
  </si>
  <si>
    <t>Abakumov, E. V.</t>
  </si>
  <si>
    <t>The Sources and Composition of Humus in Some Soils of West Antarctica</t>
  </si>
  <si>
    <t>EURASIAN SOIL SCIENCE</t>
  </si>
  <si>
    <t>KING-GEORGE-ISLAND; PERMAFROST; CRYOSOLS</t>
  </si>
  <si>
    <t>Original data on humus-forming substances and their elemental and biochemical compositions in Antarctic soils are discussed. Mosses, lichens, algae, remains of higher vascular plants, and penguin guano of two types differ considerably in their chemical compositions. This leads to significant differences in the formation of humic substances in plant materials themselves in the course of their transformation. However, no significant differences in the composition of humus in the fine earth of soils developing under different humus-forming materials have been revealed, which may be related to the extremely low rates of humification. Significant differences between the soils of Antarctic landscapes proper and the soils of the Subantarctic King George Island are only observed in the humus enrichment with nitrogen. The soils of Antarctica are low-humus soils with the humate-fulvate or fulvate types of humus.</t>
  </si>
  <si>
    <t>St Petersburg State Univ, St Petersburg 199178, Russia</t>
  </si>
  <si>
    <t>Saint Petersburg State University</t>
  </si>
  <si>
    <t>Abakumov, EV (corresponding author), St Petersburg State Univ, Shestnadtsataya Liniya 29, St Petersburg 199178, Russia.</t>
  </si>
  <si>
    <t>Abakumov, e_abakumov@mail.ru/ADJ-1297-2022; Abakumov, Evgeny/AAO-8580-2020</t>
  </si>
  <si>
    <t>Abakumov, e_abakumov@mail.ru/0000-0002-5248-9018; Abakumov, Evgeny/0000-0002-5248-9018</t>
  </si>
  <si>
    <t>1064-2293</t>
  </si>
  <si>
    <t>1556-195X</t>
  </si>
  <si>
    <t>EURASIAN SOIL SCI+</t>
  </si>
  <si>
    <t>Eurasian Soil Sci.</t>
  </si>
  <si>
    <t>10.1134/S1064229310050030</t>
  </si>
  <si>
    <t>616NL</t>
  </si>
  <si>
    <t>WOS:000279216000003</t>
  </si>
  <si>
    <t>Chown, SL; Gaston, KJ; van Kleunen, M; Clusella-Trullas, S</t>
  </si>
  <si>
    <t>Chown, Steven L.; Gaston, Kevin J.; van Kleunen, Mark; Clusella-Trullas, Susana</t>
  </si>
  <si>
    <t>Population responses within a landscape matrix: a macrophysiological approach to understanding climate change impacts</t>
  </si>
  <si>
    <t>Bioclimatic modelling; Mechanistic models; Performance curves; Phenotypic plasticity; r x c matrices</t>
  </si>
  <si>
    <t>PLANT-SPECIES DISTRIBUTIONS; SUB-ANTARCTIC WEEVILS; PHENOTYPIC PLASTICITY; GLOBAL-CHANGE; PHYSIOLOGICAL VARIATION; BENEFICIAL ACCLIMATION; EVOLUTIONARY RESPONSES; TEMPERATURE EXTREMES; GEOGRAPHICAL RANGE; DENSITY-DEPENDENCE</t>
  </si>
  <si>
    <t>Global environmental change (GEC) is a significant concern. However, forecasting the outcomes of this change for species and ecosystems remains a major challenge. In particular, predicting specific changes in systems where initial conditions, instabilities, and model errors have large impacts on the outcome is problematic. Indeed, predictive community ecology has been deemed unworthy of pursuit or an unreachable goal. However, new developments in large-scale biology provide ways of thinking that might substantially improve forecasts of local and regional impacts of climate change. Most notably, these are the explicit recognition of the regional and landscape contexts within which populations reside, the matrix approach that can be used to investigate the consequences of population variation across space and within assemblages, and the development of macrophysiology, which explicitly seeks to understand the ecological implications of physiological variation across large spatial and temporal scales. Here we explore how a combination of these approaches might promote further understanding and forecasting of the effects of global climate change and perhaps other GEC drivers on biodiversity. We focus on the population level, examining the ways in which environmental variation might be translated through performance and its plasticity to variation in demography.</t>
  </si>
  <si>
    <t>[Chown, Steven L.; Clusella-Trullas, Susana] Univ Stellenbosch, Dept Bot &amp; Zool, Ctr Invas Biol, ZA-7602 Matieland, South Africa; [Gaston, Kevin J.] Univ Sheffield, Dept Anim &amp; Plant Sci, Biodivers &amp; Macroecol Grp, Sheffield S10 2TN, S Yorkshire, England; [van Kleunen, Mark] Univ Bern, Inst Plant Sci, CH-3013 Bern, Switzerland; [van Kleunen, Mark] Univ Bern, Oeschger Ctr, CH-3013 Bern, Switzerland</t>
  </si>
  <si>
    <t>Stellenbosch University; University of Sheffield; University of Bern; University of Bern</t>
  </si>
  <si>
    <t>Chown, SL (corresponding author), Univ Stellenbosch, Dept Bot &amp; Zool, Ctr Invas Biol, Private Bag X1, ZA-7602 Matieland, South Africa.</t>
  </si>
  <si>
    <t>slchown@sun.ac.za</t>
  </si>
  <si>
    <t>Chown, Steven/ABD-7646-2021; van Kleunen, Mark/B-3769-2009; Chown, Steven/H-3347-2011</t>
  </si>
  <si>
    <t>van Kleunen, Mark/0000-0002-2861-3701; Gaston, Kevin J./0000-0002-7235-7928; Chown, Steven/0000-0001-6069-5105</t>
  </si>
  <si>
    <t>NRF [IFR2008071500012]; Stellenbosch University</t>
  </si>
  <si>
    <t>NRF; Stellenbosch University</t>
  </si>
  <si>
    <t>We thank Mike Angilletta, Jen Lee, John Terblanche and an anonymous referee for comments on a previous version of this manuscript. This work was partially supported by NRF Grant IFR2008071500012 to SLC and partially by a Stellenbosch University Overarching Strategic Plan grant.</t>
  </si>
  <si>
    <t>10.1007/s10682-009-9329-x</t>
  </si>
  <si>
    <t>582OQ</t>
  </si>
  <si>
    <t>WOS:000276607700007</t>
  </si>
  <si>
    <t>Liu, SH; Zhang, PY; Cong, BL; Liu, CL; Lin, XZ; Shen, JH; Huang, XH</t>
  </si>
  <si>
    <t>Liu, Shenghao; Zhang, Pengying; Cong, Bailin; Liu, Chenlin; Lin, Xuezheng; Shen, Jihong; Huang, Xiaohang</t>
  </si>
  <si>
    <t>Molecular cloning and expression analysis of a cytosolic Hsp70 gene from Antarctic ice algae Chlamydomonas sp ICE-L</t>
  </si>
  <si>
    <t>Antarctic ice algae; Chlamydomonas sp ICE-L; Heat shock protein; Hsp70; Psychrophile; Stress</t>
  </si>
  <si>
    <t>HEAT-SHOCK PROTEINS; SEA-ICE; STRESS; HEAT-SHOCK-PROTEIN-70; OVEREXPRESSION; EVOLUTIONARY; CHAPERONES; LIGHT; SALT</t>
  </si>
  <si>
    <t>A cDNA encoding heat shock protein 70 of Antarctic ice algae Chlamydomonas sp. ICE-L (designated as CiHsp70) was identified by RT-PCR and rapid amplification of cDNA ends approaches. The full-length cDNA of CiHsp70 was 2,232 bp, consisting of a 5'-terminal untranslated region (UTR) of 76 bp, a 3'-terminal UTR of 203 bp with a poly (A) tail, and an open reading frame of 1,953 bp. The CiHsp70 cDNA encoded a polypeptide of 651 amino acids with an ATPase domain of 388 amino acids, the substrate peptide binding domain of 246 amino acids and a C-terminus domain of 17 amino acids. The inducible CiHsp70 cDNA was highly homologous to other plant cytosolic Hsp70 genes and clustered together with green algae and higher plant rather than brown algae, diatom and Cryptophyta. Antarctic ice algae were treated with different stress conditions and messenger RNA (mRNA) expression levels of CiHsp70 were quantified by quantitative RT-PCR. The results showed that both cold and heat shock treatments could stimulate CiHsp70 mRNA expression. Meanwhile, CiHsp70 mRNA expression level increased 2.9-fold in response to UV-B radiation for 6 h, while the expression levels of CiHsp70 were remarkably increased after removing the UV-B radiation and immediately providing additional 6 h visible light. Furthermore, treating with 62 or 93aEuro degrees NaCl for 2 h, CiHsp70 mRNA expression level increased 3.0- and 2.1-fold, respectively. Together, our observations revealed that CiHsp70 as a molecular chaperone might play an important role in Antarctic ice algae Chlamydomonas sp. ICE-L acclimatizing to polar environment.</t>
  </si>
  <si>
    <t>[Liu, Shenghao; Cong, Bailin; Liu, Chenlin; Lin, Xuezheng; Shen, Jihong; Huang, Xiaohang] State Ocean Adm, Inst Oceanog 1, Key Lab Marine Bioact Subst, Qingdao 266061, Shandong, Peoples R China; [Zhang, Pengying] Shandong Univ, Natl Glycoengn Res Ctr, Jinan 250100, Peoples R China; [Zhang, Pengying] Shandong Univ, Coll Life Sci, Jinan 250100, Peoples R China</t>
  </si>
  <si>
    <t>First Institute of Oceanography, Ministry of Natural Resources; Shandong University; Shandong University</t>
  </si>
  <si>
    <t>Huang, XH (corresponding author), State Ocean Adm, Inst Oceanog 1, Key Lab Marine Bioact Subst, 6 Xianxialing Rd,Hightech Pk, Qingdao 266061, Shandong, Peoples R China.</t>
  </si>
  <si>
    <t>xiaohanghuang@yahoo.ca</t>
  </si>
  <si>
    <t>liu, chen/ISV-2093-2023; Liu, Shenghao/ISU-3076-2023</t>
  </si>
  <si>
    <t>Liu, Shenghao/0000-0002-1449-3526</t>
  </si>
  <si>
    <t>China National Natural Science Foundation [40906103, 40606001, 40876106]; China Polar Strategic Research Foundation [20070223]; Basic Scientific Research Foundation of FIO [2007T11]; China 863 High-technology Key Projects [2007AA091905]</t>
  </si>
  <si>
    <t>China National Natural Science Foundation(National Natural Science Foundation of China (NSFC)); China Polar Strategic Research Foundation; Basic Scientific Research Foundation of FIO; China 863 High-technology Key Projects(National High Technology Research and Development Program of China)</t>
  </si>
  <si>
    <t>This work was financially supported by China National Natural Science Foundation (40906103, 40606001 and 40876106), China Polar Strategic Research Foundation Project (20070223), Basic Scientific Research Foundation of FIO (2007T11) and China 863 High-technology Key Projects (2007AA091905).</t>
  </si>
  <si>
    <t>10.1007/s00792-010-0313-8</t>
  </si>
  <si>
    <t>587WA</t>
  </si>
  <si>
    <t>WOS:000277024500010</t>
  </si>
  <si>
    <t>Jordan, TA; Ferraccioli, F; Vaughan, DG; Holt, JW; Corr, H; Blankenship, DD; Diehl, TM</t>
  </si>
  <si>
    <t>Jordan, T. A.; Ferraccioli, F.; Vaughan, D. G.; Holt, J. W.; Corr, H.; Blankenship, D. D.; Diehl, T. M.</t>
  </si>
  <si>
    <t>Aerogravity evidence for major crustal thinning under the Pine Island Glacier region (West Antarctica)</t>
  </si>
  <si>
    <t>MARIE-BYRD-LAND; RIFT SYSTEM; ROSS SEA; GRAVITY-ANOMALIES; FLEXURAL RIGIDITY; AIRBORNE GRAVITY; SUBGLACIAL BASIN; ICE STREAM; HEAT-FLOW; EAST</t>
  </si>
  <si>
    <t>The West Antarctic Rift System provides critical geological boundary conditions for the overlying West Antarctic Ice Sheet. Previous geophysical surveys have traced the West Antarctic Rift System and addressed the controls that it exerts on the West Antarctic Ice Sheet in the Ross Sea Embayment. However, much less is known about the rift system under the Amundsen Sea Embayment, a key sector of the West Antarctic Ice Sheet, which is thinning significantly today. New aerogravity data over the Pine Island Glacier region, one of the fastest flowing glaciers within the Amundsen Sea Embayment, sheds new light into the crustal structure under this dynamic part of the West Antarctic Ice Sheet. Three-dimensional (3-D) inversion of terrain-decorrelated free-air and Bouguer gravity anomaly data reveal significant crustal thinning beneath the catchment of Pine Island Glacier. Under the Byrd Subglacial Basin and the newly identified Pine Island Rift, Moho depth is estimated to be 19 +/- 1 km. This is the thinnest crust observed beneath the West Antarctic Ice Sheet. Estimates of lithosphere rigidity (T-e), based on isostatic models, yield a T-e of 5 +/- 5 km, which is comparable to values from modern rift systems such as the Basin and Range Province. Major crustal thinning, coupled with low lithosphere rigidity, attest to the considerable impact of continental rifting beneath this part of the West Antarctic Ice Sheet. In analogy with the better known Ross Sea segment of the West Antarctic Rift System we suggest that the Amundsen Sea Embayment was affected by distributed Cretaceous rifting, followed by Cenozoic narrow-mode rifting. Narrow-mode rifting within the Pine Island Rift is particularly important as it may serve as a geological template for enhanced glacial flow associated with Pine Island Glacier.</t>
  </si>
  <si>
    <t>[Jordan, T. A.; Ferraccioli, F.; Vaughan, D. G.; Corr, H.] British Antarctic Survey, Cambridge CB3 0ET, England; [Holt, J. W.; Blankenship, D. D.; Diehl, T. M.] Univ Texas Austin, Inst Geophys, Austin, TX 78758 USA</t>
  </si>
  <si>
    <t>UK Research &amp; Innovation (UKRI); Natural Environment Research Council (NERC); NERC British Antarctic Survey; University of Texas System; University of Texas Austin</t>
  </si>
  <si>
    <t>Jordan, TA (corresponding author), British Antarctic Survey, High Cross,Madingley Rd, Cambridge CB3 0ET, England.</t>
  </si>
  <si>
    <t>Diehl, Theresa/K-2821-2012; Vaughan, David/C-8348-2011; Corr, Hugh/C-5398-2011; Blankenship, Donald D./G-5935-2010; Holt, John W/C-4896-2009</t>
  </si>
  <si>
    <t>Diehl, Theresa/0000-0002-3784-435X; Vaughan, David/0000-0002-9065-0570; Jordan, Tom/0000-0003-2780-1986; Ferraccioli, Fausto/0000-0002-9347-4736</t>
  </si>
  <si>
    <t>Geological Sciences Division (BAS); National Science Foundation [OPP-0230197]; Natural Environment Research Council [bas0100027] Funding Source: researchfish; NERC [bas0100027] Funding Source: UKRI</t>
  </si>
  <si>
    <t>Geological Sciences Division (BAS); National Science Foundation(National Science Foundation (NSF)); Natural Environment Research Council(UK Research &amp; Innovation (UKRI)Natural Environment Research Council (NERC)); NERC(UK Research &amp; Innovation (UKRI)Natural Environment Research Council (NERC))</t>
  </si>
  <si>
    <t>We acknowledge support and funding from the Long-Term Survey and Monitoring Programme of the Geological Sciences Division (BAS). We gratefully acknowledge reviewers Wesley LeMasurier and an anonymous reviewer for their constructive advice and their corrections that helped improve the paper significantly. We also thank the associate editor for further suggestions. This paper is a contribution to IPY project (ID No: 107) Geodynamics of the West Antarctic Rift System (WARS) in Remote Ellsworth Land and its implications for the stability of the West Antarctic Ice Sheet. We also wish to acknowledge National Science Foundation grant OPP-0230197 for supporting the fieldwork. We also wish to thank P.T. Leat (BAS) for his advice and comments, which improved upon a draft manuscript.</t>
  </si>
  <si>
    <t>5-6</t>
  </si>
  <si>
    <t>10.1130/B26417.1</t>
  </si>
  <si>
    <t>605MD</t>
  </si>
  <si>
    <t>WOS:000278350800006</t>
  </si>
  <si>
    <t>Smith, RT; Anderson, JB</t>
  </si>
  <si>
    <t>Smith, R. Tyler; Anderson, John B.</t>
  </si>
  <si>
    <t>Ice-sheet evolution in James Ross Basin, Weddell Sea margin of the Antarctic Peninsula: The seismic stratigraphic record</t>
  </si>
  <si>
    <t>EARLIEST OLIGOCENE; CONTINENTAL-SHELF; PACIFIC MARGIN; SEYMOUR ISLAND; TRANSITION; SEQUENCES; CLIMATE; SYSTEM; VOLUME; MA</t>
  </si>
  <si>
    <t>The stratigraphic architecture of the James Ross Basin, NW Weddell Sea continental shelf, shows three major phases of deposition: preglacial, ice-sheet growth, and ice-sheet dominated. The preglacial phase shows stratigraphic sequences that are similar to low-latitude margins. During the ice-sheet growth phase, there is evidence for initial ice-sheet grounding in the southern part of the basin, which migrated in steps northward. Sediment supply was also high during the ice-sheet growth phase. During the ice sheet-dominated phase, both north and south parts of the basin inherited all the classic features indicative of glacial strata: large glacial troughs hundreds of meters deep and tens of kilometers wide, truncation of sequences overlain by chaotic seismic facies and topped with coherent laminated reflections, and an oversteepened continental slope. The James Ross Basin strata are divided into five units (S5-S1). Each unit is characterized based upon seismic facies and stratigraphic architecture, and the age of each unit is inferred from a seismic stratigraphic age model. End-member strata (S5 and S1) were drilled and dated during SHALDRIL and help to constrain this age model. In total, 34 grounding events of the Antarctic Peninsula Ice Sheet (APIS) are recorded on the continental shelf. This is similar to the 31 grounding events imaged on the Pacific side of the peninsula. Ice grounding on the continental shelf is shown to have occurred as early as late middle Miocene to early late Miocene in the southern part of the basin. The ice sheet advanced northward to encompass the northern peninsula by late Miocene time. The seven oldest glacial unconformities are believed to predate all previously identified unconformities on the peninsula continental shelf. An expanded section of late Pliocene-Pleistocene deposits shows a minimum of 10 grounding events; this record more closely matches the deep-sea oxygen isotope record than previous seismic studies of Antarctic margins have shown.</t>
  </si>
  <si>
    <t>[Smith, R. Tyler; Anderson, John B.] Rice Univ, Dept Earth Sci, Houston, TX 77005 USA</t>
  </si>
  <si>
    <t>Rice University</t>
  </si>
  <si>
    <t>Smith, RT (corresponding author), Rice Univ, Dept Earth Sci, 6100 Main St,MS 126, Houston, TX 77005 USA.</t>
  </si>
  <si>
    <t>rtsmith@rice.edu; johna@rice.edu</t>
  </si>
  <si>
    <t>National Science Foundation [0125922]</t>
  </si>
  <si>
    <t>This work was made possible through the National Science Foundation grant 0125922. We acknowledge Dr. Larry Lawver and the University of Texas for the use of seismic records that they collected and processed. Special thanks are due to the reviewers Laura De Santis and Marc De Batist, as well as Associate Editor David Eaton, whose comments and suggestions have greatly improved this paper. We would like to thank the crews of the R/V Polar Duke, and R/V Nathaniel B. Palmer for their work during data collection.</t>
  </si>
  <si>
    <t>10.1130/B26486.1</t>
  </si>
  <si>
    <t>WOS:000278350800013</t>
  </si>
  <si>
    <t>Jiang, HC; Ding, ZL</t>
  </si>
  <si>
    <t>Jiang, Hanchao; Ding, Zhongli</t>
  </si>
  <si>
    <t>Eolian grain-size signature of the Sikouzi lacustrine sediments (Chinese Loess Plateau): Implications for Neogene evolution of the East Asian winter monsoon</t>
  </si>
  <si>
    <t>NORTHEASTERN TIBETAN PLATEAU; DRIVEN CLIMATE-CHANGE; NORTH-CENTRAL CHINA; RED CLAY FORMATION; PALEOCLIMATIC IMPLICATIONS; CONTINENTAL SEQUENCES; POLARITY TIMESCALE; INNER-MONGOLIA; GUIDE BASIN; DAIHAI LAKE</t>
  </si>
  <si>
    <t>In order to explore the Neogene evolution of East Asian winter monsoon circulation, grain-size analysis was conducted on the Neogene Sikouzi section, Guyuan, Ningxia, China, a relatively monsoon-sensitive region. The results show that most of the particles are fine, the sand-bearing samples (median grain size [Md] &gt;63 mu m) are less than 6.4%, and that all the grain-size distribution curves of representative samples have a similar pattern to those of eolian dust sediments on the Chinese Loess Plateau. Rare earth element (REE) patterns of eight samples from the Sikouzi section are all characterized by light (L) REE enrichments, relatively flat heavy (H) REE patterns, and slight negative Eu anomalies, similar to those of loess and the average upper continental crust. These lines of evidence point to a windblown origin of the Sikouzi fine sediments. Based on previous studies, the 10-70 mu m fraction of the Sikouzi sediments is mainly transported by the East Asian winter monsoon, and an increase in content of the 10-70 mu m fraction reflects strengthening of the winter monsoon. In contrast, sand grains in samples of Md &gt;63 mu m are probably brought into the study area by rivers and streams linked with precipitation enhancement. According to stratigraphic variations in content of various fractions of the Sikouzi grain-size record, the Neogene evolution of the East Asian monsoon circulation can be divided into three stages. During the period 20.1-12.0 Ma, the 10-70 mu m fraction holds the lowest values, whereas sand content usually shows high percent-ages, denoting a weak winter monsoon and a strong summer monsoon. After 12.0 Ma, the 10-70 mu m fraction increased substantially and remained at high values, while sand content showed a marked decline, indicating that the winter monsoon strengthened dramatically and the summer monsoon declined significantly. From 4.3 to 0.07 Ma, the winter monsoon strengthened further, as evidenced by the gradual increase in content of the 10-70 mu m fraction. This inference agrees well with the timing of glaciation development in the Northern Hemisphere. During the early to middle Miocene, the high values of both Md and sand content are mainly distribute in five intervals, 19.8-18.8 Ma, 18.0-17.5 Ma, 16.7-15.6 Ma, 14.3-13.7 Ma, and 13.0-12.0 Ma, corresponding to five periods of intense precipitation. The interval from 16.7 to 15.6 Ma is well correlated with the middle Miocene climatic optimum determined by the well-known Miocene Shanwang biota from eastern China. As for the other four periods, it is speculated that episodic growth of the East Antarctic Ice Sheet possibly shifted atmospheric fronts such as the Intertropical Convergence Zone (ITCZ) and thus carried water vapor further northward, leading to increases in regional precipitation on the northern midlatitude continent, including North China.</t>
  </si>
  <si>
    <t>[Jiang, Hanchao] China Earthquake Adm, Inst Geol, State Key Lab Earthquake Dynam, Beijing 100029, Peoples R China; [Ding, Zhongli] Chinese Acad Sci, Inst Geol &amp; Geophys, Key Lab Cenozo Geol &amp; Environm, Beijing 100029, Peoples R China</t>
  </si>
  <si>
    <t>China Earthquake Administration; Chinese Academy of Sciences; Institute of Geology &amp; Geophysics, CAS</t>
  </si>
  <si>
    <t>Jiang, HC (corresponding author), China Earthquake Adm, Inst Geol, State Key Lab Earthquake Dynam, POB 9803, Beijing 100029, Peoples R China.</t>
  </si>
  <si>
    <t>hcjiang@ies.ac.cn</t>
  </si>
  <si>
    <t>Jiang, Hanchao/ABG-2653-2020</t>
  </si>
  <si>
    <t>Jiang, Hanchao/0000-0003-3391-4477</t>
  </si>
  <si>
    <t>State Key Laboratory of Earthquake Dynamics [LED2008A02, LED2008A07]; Institute of Geology, China Earthquake Administration [IGCEA0901]; International Science and Technology Cooperation Program of China [2008DFA20860]; National Natural Science Foundation of China [40730208, 40502017]</t>
  </si>
  <si>
    <t>State Key Laboratory of Earthquake Dynamics; Institute of Geology, China Earthquake Administration; International Science and Technology Cooperation Program of China; National Natural Science Foundation of China(National Natural Science Foundation of China (NSFC))</t>
  </si>
  <si>
    <t>We are indebted to Editor Karl E. Karlstrom, Associate Editor Daniel Larsen, Professor Randel Cox, and one anonymous referee for valuable comments and suggestions resulting from their detailed review of the manuscript. This work was financially supported by the State Key Laboratory of Earthquake Dynamics (Projects LED2008A02 and LED2008A07), the Special Project of Fundamental Scientific Research of the Institute of Geology, China Earthquake Administration (IGCEA0901), International Science and Technology Cooperation Program of China (2008DFA20860), and the National Natural Science Foundation of China (grants 40730208, 40502017).</t>
  </si>
  <si>
    <t>10.1130/B26583.1</t>
  </si>
  <si>
    <t>WOS:000278350800014</t>
  </si>
  <si>
    <t>Bentley, MJ; Fogwill, CJ; Le Brocq, AM; Hubbard, AL; Sugden, DE; Dunai, TJ; Freeman, SPHT</t>
  </si>
  <si>
    <t>Bentley, Michael J.; Fogwill, Christopher J.; Le Brocq, Anne M.; Hubbard, Alun L.; Sugden, David E.; Dunai, Tibor J.; Freeman, Stewart P. H. T.</t>
  </si>
  <si>
    <t>Deglacial history of the West Antarctic Ice Sheet in the Weddell Sea embayment: Constraints on past ice volume change</t>
  </si>
  <si>
    <t>LAST GLACIAL MAXIMUM; MELTWATER-PULSE-IA; EAST ANTARCTICA; EXPOSURE AGES; LEVEL; RETREAT; THICKNESS; CLIMATE; REGION; NORTH</t>
  </si>
  <si>
    <t>The retreat history of the West Antarctic Ice Sheet (WAIS) since the Last Glacial Maximum is important for understanding the process of rapid deglaciation, constraining models that seek to predict the future trajectory of the ice sheet, and for estimating rates of sea-level change. Here we report new glacial geologic data from the southwestern Weddell Sea embayment that demonstrate that this part of the WAIS was thinner than previously suggested, and that there was progressive thinning of the ice sheet by 230-480 m since ca. 15 ka. We use geomorphological data and a numerical ice sheet model to reconstruct the ice sheet in the Weddell Sea at the Last Glacial Maximum. The volume of this ice would have added between 1.4 and 2.0 m to postglacial sea-level rise and would not have been sufficient to contribute significantly to meltwater pulse 1A, a rapid rise in sea level similar to 14,200 yr ago.</t>
  </si>
  <si>
    <t>[Bentley, Michael J.; Le Brocq, Anne M.] Univ Durham, Dept Geog, Durham DH1 3LE, England; [Fogwill, Christopher J.] Univ Exeter, Sch Geog, Exeter EX4 4RJ, Devon, England; [Hubbard, Alun L.] Aberystwyth Univ, Inst Geog &amp; Earth Sci, Aberystwyth SY23 3DB, Ceredigion, Wales; [Sugden, David E.; Dunai, Tibor J.] Univ Edinburgh, Sch Geosci, Edinburgh EH9 8XP, Midlothian, Scotland; [Freeman, Stewart P. H. T.] Scottish Univ Environm Res Ctr, E Kilbride G75 0QF, Lanark, Scotland</t>
  </si>
  <si>
    <t>Durham University; University of Exeter; Aberystwyth University; University of Edinburgh; Scottish Universities Research &amp; Reactor Center</t>
  </si>
  <si>
    <t>Bentley, MJ (corresponding author), Univ Durham, Dept Geog, South Rd, Durham DH1 3LE, England.</t>
  </si>
  <si>
    <t>Dunai, Tibor J/E-9558-2012; Fogwill, Chris/AAW-3502-2021; Freeman, Stewart/AAA-6544-2020; Bentley, Michael J/F-7386-2011; Fogwill, Christopher/HPF-1150-2023; Hubbard, Alun/R-5085-2017</t>
  </si>
  <si>
    <t>Fogwill, Chris/0000-0002-6471-1106; Freeman, Stewart/0000-0001-6148-3171; Bentley, Michael J/0000-0002-2048-0019; Hubbard, Alun/0000-0002-0503-3915; Dunai, Tibor Janos/0000-0001-8858-2401</t>
  </si>
  <si>
    <t>Natural Environment Research Council Antarctic Funding Initiative; University of Canterbury, New Zealand; Natural Environment Research Council [NER/G/S/2003/00141, NER/G/S/2003/00020] Funding Source: researchfish</t>
  </si>
  <si>
    <t>Natural Environment Research Council Antarctic Funding Initiative(UK Research &amp; Innovation (UKRI)Natural Environment Research Council (NERC)); University of Canterbury, New Zealand; Natural Environment Research Council(UK Research &amp; Innovation (UKRI)Natural Environment Research Council (NERC))</t>
  </si>
  <si>
    <t>This work was funded by the Natural Environment Research Council Antarctic Funding Initiative. We thank British Antarctic Survey Field Operations Staff for logistic support, and R. Smith and T. Marshall for field assistance. Elaine McDougall assisted with the preparation of cosmogenic samples. Bentley thanks the University of Canterbury, New Zealand, for an Erskine Fellowship.</t>
  </si>
  <si>
    <t>10.1130/G30754.1</t>
  </si>
  <si>
    <t>590JE</t>
  </si>
  <si>
    <t>WOS:000277220900009</t>
  </si>
  <si>
    <t>Pushcharovsky, YM</t>
  </si>
  <si>
    <t>Pushcharovsky, Yu. M.</t>
  </si>
  <si>
    <t>Tectonic structure and geodynamics of the divide between the Atlantic and Arctic oceans</t>
  </si>
  <si>
    <t>GEOTECTONICS</t>
  </si>
  <si>
    <t>Tectonic analysis of the divide between the Atlantic and Arctic oceans, where Greenland and Eurasia are located close to each other, is accompanied by description of the main structural units of this region, including the Lena Trough, continental Yermak Block (Plateau), Molloy and Spitsbergen fracture zones, and Molloy interfault tectonic complex. The tectonic features of these structural units allow us to combine them into a single domain of the interoceanic tectonic divide, which separates the spreading zones of the North Atlantic and the Gakkel Ridge of the Arctic Ocean. This dividing domain is compared with other interoceanic divides of the Earth, the classification of which is proposed in my previous publications. Their common feature is the development of fault systems particularly pronounced in the Australian-Antarctic and African-Antarctic oceanic domains. The morphology, crustal structure, and magmatism of the considered region show that it is currently undergoing rifting, which probably predates oceanic spreading.</t>
  </si>
  <si>
    <t>Russian Acad Sci, Inst Geol, Moscow 119017, Russia</t>
  </si>
  <si>
    <t>Geological Institute, Russian Academy of Sciences; Russian Academy of Sciences</t>
  </si>
  <si>
    <t>Pushcharovsky, YM (corresponding author), Russian Acad Sci, Inst Geol, 7 Pyzhevskii Per, Moscow 119017, Russia.</t>
  </si>
  <si>
    <t>m-shupletsova@yandex.ru</t>
  </si>
  <si>
    <t>Presidium of the Russian Academy of Sciences [17]; Russian Foundation for Basic Research [09-05-00150]; Russian Federation for Support of Leading Scientific Schools</t>
  </si>
  <si>
    <t>Presidium of the Russian Academy of Sciences(Russian Academy of Sciences); Russian Foundation for Basic Research(Russian Foundation for Basic Research (RFBR)Spanish Government); Russian Federation for Support of Leading Scientific Schools(Leading Scientific Schools Program)</t>
  </si>
  <si>
    <t>I am grateful to N.N. Turko, A. A. Peyve, and A. E. Eskin for their assistance in preparing this article. This study was supported by the Presidium of the Russian Academy of Sciences (program no. 17 The World Ocean), the Russian Foundation for Basic Research (project no. 09-05-00150), and the Council for Grants of the President of the Russian Federation for Support of Leading Scientific Schools.</t>
  </si>
  <si>
    <t>0016-8521</t>
  </si>
  <si>
    <t>1556-1976</t>
  </si>
  <si>
    <t>GEOTECTONICS+</t>
  </si>
  <si>
    <t>Geotectonics</t>
  </si>
  <si>
    <t>10.1134/S0016852110030027</t>
  </si>
  <si>
    <t>614TX</t>
  </si>
  <si>
    <t>WOS:000279083800002</t>
  </si>
  <si>
    <t>Kong, P; Huang, FX; Liu, XH; Fink, D; Ding, L; Lai, QZ</t>
  </si>
  <si>
    <t>Kong, Ping; Huang, Feixin; Liu, Xiaohan; Fink, David; Ding, Lin; Lai, Qingzhou</t>
  </si>
  <si>
    <t>Late Miocene ice sheet elevation in the Grove Mountains, East Antarctica, inferred from cosmogenic 21Ne-10Be-26Al</t>
  </si>
  <si>
    <t>exposure age; cosmogenic nuclide; Grove Mountains; Antarctica; Late Miocene</t>
  </si>
  <si>
    <t>NUCLIDE APPROACH; SOUTHERN-OCEAN; HALF-LIFE; BE-10; EROSION; AL-26; AGE; PLIOCENE; HISTORY; GLACIATION</t>
  </si>
  <si>
    <t>The Grove Mountains, lying in the interior of East Antarctica, consist of 64 nunataks. Geomorphic characteristics of the nunataks suggest that past ice sheet elevations have overtopped the summits of the Grove Mountains. Cosmogenic Ne-21, Be-10 and Al-26 dating yields surface exposure ages of five bedrock samples taken from the crest of Mount Harding, a typical nunatak in the Grove Mountains. Using multi-nuclide fitting, we have calculated the time that the ice sheet retreated below the crest of Mount Harding; all data point to the late Miocene, similar to 6.3 Ma ago. The results provide the first land-based evidence of the elevation of the East Antarctic Ice Sheet in the Grove Mountains in Late Miocene, which reached 2300 m, 200 m higher than the current ice sheet level. The higher than current ice sheet elevations during the late Miocene together with contemporaneously higher temperatures in the Southern Ocean suggest that moisture transport plays an important role in ice sheet expansion in the interior of East Antarctica. (C) 2010 Elsevier B.V. All rights reserved.</t>
  </si>
  <si>
    <t>[Kong, Ping] Chinese Acad Sci, Inst Geol &amp; Geophys, Key Lab Earths Deep Interior, Beijing 100029, Peoples R China; [Kong, Ping; Liu, Xiaohan; Ding, Lin; Lai, Qingzhou] Chinese Acad Sci, Inst Tibetan Plateau Res, Beijing 100085, Peoples R China; [Huang, Feixin] China Met Geol Bur, Inst Mineral Resources Res, Beijing 100025, Peoples R China; [Fink, David] Australian Nucl Sci &amp; Technol Org, Inst Environm Res, Menai, NSW 2234, Australia</t>
  </si>
  <si>
    <t>Chinese Academy of Sciences; Institute of Geology &amp; Geophysics, CAS; Chinese Academy of Sciences; Institute of Tibetan Plateau Research, CAS; Australian Nuclear Science &amp; Technology Organisation</t>
  </si>
  <si>
    <t>Kong, P (corresponding author), Chinese Acad Sci, Inst Geol &amp; Geophys, Key Lab Earths Deep Interior, POB 9825, Beijing 100029, Peoples R China.</t>
  </si>
  <si>
    <t>pingkong@mail.igcas.ac.cn</t>
  </si>
  <si>
    <t>fink, David/A-9518-2012</t>
  </si>
  <si>
    <t>fink, David/0000-0001-7156-4602</t>
  </si>
  <si>
    <t>National Science Foundation of China [40631004]</t>
  </si>
  <si>
    <t>National Science Foundation of China(National Natural Science Foundation of China (NSFC))</t>
  </si>
  <si>
    <t>We thank the Chinese Polar Research Administration for field logistic supports during 1998-2003. We thank Samuel Niedermann and an anonymous reviewer for their constructive suggestions. This work is supported by the National Science Foundation of China (No. 40631004).</t>
  </si>
  <si>
    <t>10.1016/j.gloplacha.2010.03.005</t>
  </si>
  <si>
    <t>625IV</t>
  </si>
  <si>
    <t>WOS:000279889600006</t>
  </si>
  <si>
    <t>Raes, M; Rose, A; Vanreusel, A</t>
  </si>
  <si>
    <t>Raes, M.; Rose, A.; Vanreusel, A.</t>
  </si>
  <si>
    <t>Response of nematode communities after large-scale ice-shelf collapse events in the Antarctic Larsen area</t>
  </si>
  <si>
    <t>Antarctica; benthos; ice-shelf collapse; Larsen; nematodes</t>
  </si>
  <si>
    <t>FREE-LIVING NEMATODES; WEDDELL SEA; MEIOFAUNA COMMUNITIES; BENTHIC COMMUNITIES; SIGNY ISLAND; BIODIVERSITY; PENINSULA; DIVERSITY; OCEAN; FOOD</t>
  </si>
  <si>
    <t>Owing to large-scale ice-shelf disintegration events, the Antarctic Larsen A and B areas recently became ice-free. During the ANT-XXIII/8 Polarstern campaign, this region was sampled for the first time. Our study is the first to investigate benthic communities in this area and their response to the collapse of ice shelves in the Antarctic. The nematofauna appears to be strongly influenced by the sudden ice-cover removal, although its response differs from that of the macro- and megabenthos. Our results indicate that precollapse, sub-ice communities were impoverished and characterized by low densities, low diversity and high dominance of a few taxa. This might still be visible at a station located deep inside the Larsen B embayment, where Halomonhystera was dominant. Post-collapse recolonization of the 'inner' stations, i.e. those located furthermost from the former ice-shelf edge, is believed to be a long-time process. At the time of sampling, community structure at the inner stations was not or only slightly influenced by colonization, and might be structured by local environmental conditions. Our results indicate that a locally increased food supply after ice-cover removal could provoke a faster, local response of the nematode assemblages compared with the response due to recolonization. Thalassomonhystera is recognized as an opportunist, taking advantage of increased food supply at inner stations A_South and B_North. Communities living close to the former ice-shelf edge are believed to be at an intermediate or late stage of succession, with a dominance of Microlaimus, a common Antarctic genus and quick colonizer. Densities here were comparable with those at other Antarctic stations, whereas they were considerably decreased at the inner stations. In general, the collapse of the Larsen ice shelves initially has a positive effect on the shelf nematode fauna in the area, both in terms of abundance and diversity.</t>
  </si>
  <si>
    <t>[Raes, M.; Vanreusel, A.] Univ Ghent, Dept Biol, Marine Biol Sect, B-9000 Ghent, Belgium; [Rose, A.] Res Inst Senckenberg FIS, Dept DZMB, D-26382 Wilhelmshaven, Germany</t>
  </si>
  <si>
    <t>Ghent University; Senckenberg Gesellschaft fur Naturforschung (SGN)</t>
  </si>
  <si>
    <t>Vanreusel, A (corresponding author), Univ Ghent, Dept Biol, Marine Biol Sect, Sterre Complex S8,Krijgslaan 281, B-9000 Ghent, Belgium.</t>
  </si>
  <si>
    <t>ann.vanreusel@ugent.be</t>
  </si>
  <si>
    <t>Belgian Science Policy; Deutsche Forschungsgemeinschaft (DFG) [RO 3004/2-1]</t>
  </si>
  <si>
    <t>Belgian Science Policy(Belgian Federal Science Policy Office); Deutsche Forschungsgemeinschaft (DFG)(German Research Foundation (DFG))</t>
  </si>
  <si>
    <t>The authors wish to thank Bart Beuselinck, Dirk Van Gansbeke and Danielle Schram for their laboratory analyses on the nematofauna and sediment properties. The officers and crew of the research vessel Polarstern are acknowledged for their valuable support in MUC deployment on board. Special thanks go to the subject editor and two anonymous reviewers for their constructive remarks. This research was conducted within the framework of the BIANZO II project, financed by the Belgian Science Policy (Scientific Research Program on Antarctica). Support by the Deutsche Forschungsgemeinschaft (DFG: project RO 3004/2-1) is gratefully acknowledged by A. Rose.</t>
  </si>
  <si>
    <t>10.1111/j.1365-2486.2009.02137.x</t>
  </si>
  <si>
    <t>583RG</t>
  </si>
  <si>
    <t>WOS:000276696100016</t>
  </si>
  <si>
    <t>Goodall-Copestake, WP; Pérez-Espona, S; Clark, MS; Murphy, EJ; Seear, PJ; Tarling, GA</t>
  </si>
  <si>
    <t>Goodall-Copestake, W. P.; Perez-Espona, S.; Clark, M. S.; Murphy, E. J.; Seear, P. J.; Tarling, G. A.</t>
  </si>
  <si>
    <t>Swarms of diversity at the gene cox1 in Antarctic krill</t>
  </si>
  <si>
    <t>HEREDITY</t>
  </si>
  <si>
    <t>COI; Euphausia superba; haplotype diversity; population genetics; Southern Ocean; stock management</t>
  </si>
  <si>
    <t>EUPHAUSIA-SUPERBA DANA; POPULATION-GROWTH; TESTS; MODEL; OCEAN; HOMOGENEITY; NEUTRALITY; AMPHIPODA; SEQUENCES; CRUSTACEA</t>
  </si>
  <si>
    <t>The Antarctic krill, Euphausia superba, is an abundant and key species found in the Southern Ocean that forms dense, discrete swarms. Despite over three decades of research on Antarctic krill, the genetics of individual swarms is yet to be specifically investigated. In this study, we address the genetic diversity, population structure and demographic history of nine Antarctic krill swarms by sequencing 1173 bases of the gene cytochrome c oxidase subunit I (cox1, COI) from 504 individuals. Both haplotype diversity (h = 0.9974-1.0000) and nucleotide diversity (pi = 0.010275-0.011537) of Antarctic krill swarm samples was consistently high compared with populations of other species reported in the literature. Analysis of molecular variance did not show any significant genetic structure, thus implying that the sampled swarms do not appear to reflect discrete genetic units. Fu's Fs and Bayesian Skyride analyses provided strong evidence for a large increase in the population size of Antarctic krill, or selection favouring a particular mitochondrial lineage, within the last few 100 000 years (Pleistocene). The swarm-level results presented in this study not only further our understanding of Antarctic krill biology but, because of the economical importance of this species, also provide data to consider for future krill stock management. Heredity (2010) 104, 513-518; doi:10.1038/hdy.2009.188; published online 20 January 2010</t>
  </si>
  <si>
    <t>[Goodall-Copestake, W. P.; Clark, M. S.; Murphy, E. J.; Seear, P. J.; Tarling, G. A.] British Antarctic Survey, NERC, Cambridge CB3 0ET, England; [Perez-Espona, S.] Univ Bristol, Sch Biol Sci, Bristol, Avon, England</t>
  </si>
  <si>
    <t>UK Research &amp; Innovation (UKRI); Natural Environment Research Council (NERC); NERC British Antarctic Survey; University of Bristol</t>
  </si>
  <si>
    <t>Goodall-Copestake, WP (corresponding author), British Antarctic Survey, NERC, Madingley Rd, Cambridge CB3 0ET, England.</t>
  </si>
  <si>
    <t>wgco@bas.ac.uk</t>
  </si>
  <si>
    <t>Goodall-Copestake, William/CAF-6866-2022; Goodall-Copestake, William P/C-1061-2011; Perez-Espona, Silvia/G-2294-2010; murphy, eugene/GZL-1620-2022; Pérez-Espona, Sílvia/AAB-1433-2019; Clark, Melody/D-7371-2014</t>
  </si>
  <si>
    <t>Clark, Melody/0000-0002-3442-3824; Goodall-Copestake, Will/0000-0003-3586-9091</t>
  </si>
  <si>
    <t>BAS Q4 BIOREACH/BIOFLAME; Discovery 2010 core science programmes; NERC [bas0100025, NE/D008719/1] Funding Source: UKRI; Natural Environment Research Council [bas0100025, NE/D008719/1] Funding Source: researchfish</t>
  </si>
  <si>
    <t>BAS Q4 BIOREACH/BIOFLAME; Discovery 2010 core science programmes; NERC(UK Research &amp; Innovation (UKRI)Natural Environment Research Council (NERC)); Natural Environment Research Council(UK Research &amp; Innovation (UKRI)Natural Environment Research Council (NERC))</t>
  </si>
  <si>
    <t>We thank the crew and scientists responsible for sampling Antarctic krill swarms on cruise JR82, Katrin Schmidt and Paul Giessler for their help in obtaining frozen krill samples, Chester Sands for comments on the sampling design, Laurent Excoffier and Erik Bloomquist for their advice with data analysis and Jon Seger and three anonymous reviewers for their comments on this paper. This study was supported by the BAS Q4 BIOREACH/BIOFLAME and Discovery 2010 core science programmes.</t>
  </si>
  <si>
    <t>0018-067X</t>
  </si>
  <si>
    <t>Heredity</t>
  </si>
  <si>
    <t>10.1038/hdy.2009.188</t>
  </si>
  <si>
    <t>586YN</t>
  </si>
  <si>
    <t>WOS:000276952000012</t>
  </si>
  <si>
    <t>Lee, JI; Bak, YS; Yoo, KC; Lim, HS; Yoon, HI; Yoon, SH</t>
  </si>
  <si>
    <t>Lee, Jae Il; Bak, Young-Suk; Yoo, Kyu-Cheul; Lim, Hyoun Soo; Yoon, Ho Il; Yoon, Suk Hee</t>
  </si>
  <si>
    <t>Climate changes in the South Orkney Plateau during the last 8600 years</t>
  </si>
  <si>
    <t>Antarctic; climate change; Holocene; palaeoclimate; palaeoceanography; South Orkney Plateau</t>
  </si>
  <si>
    <t>SEA-ICE; ANTARCTIC PENINSULA; MARINE-SEDIMENTS; ATLANTIC SECTOR; PALMER DEEP; PHYTOPLANKTON; CONFLUENCE; HISTORY; DIATOM; MATTER</t>
  </si>
  <si>
    <t>Climatic and oceanographic changes in the South Orkney Plateau, western Antarctica, during the last 8600 years are reconstructed from a 525 cm long gravity core based on sedimentological, geochemical and diatom analyses. The core sediments are composed mostly of light greyish olive diatomaceous silt and mud with a few diatom ooze laminae in the basal part. The core can be divided at 350 cm into two units (4800 cal. yr BP): the lower unit is characterized by variable total organic carbon (TOC) content and higher CaCO3 content, and the upper unit is characterized by higher TOC and lower CaCO3. The content of biogenic silica varies similar to TOC content in the lower unit but does not increase in the upper unit despite increased TOC. The variations in the organic matter composition and the amount of carbonate suggest that Scotia Sea water had been dominant in the study area prior to 4800 cal. yr BP. Warmer conditions during the middle Holocene are also supported by the fewer sea-ice diatom taxa and a more sub-polar form of Eucampia antarctica in the lower unit. The increased sea ice and decreased influence of Scotia Sea water in the upper unit reflect climate cooling occurred at 4800 cal. yr BP.</t>
  </si>
  <si>
    <t>[Lee, Jae Il; Yoo, Kyu-Cheul; Lim, Hyoun Soo; Yoon, Ho Il] KORDI, Korea Polar Res Inst, Get Pearl Tower,7-50 Songdo Dong, Inchon 406840, South Korea; [Bak, Young-Suk] Chonbuk Natl Univ, Chonju, South Korea; [Yoon, Suk Hee] Hanyang Univ, Seoul, South Korea</t>
  </si>
  <si>
    <t>Korea Institute of Ocean Science &amp; Technology (KIOST); Korea Polar Research Institute (KOPRI); Jeonbuk National University; Hanyang University</t>
  </si>
  <si>
    <t>Lee, JI (corresponding author), KORDI, Korea Polar Res Inst, Get Pearl Tower,7-50 Songdo Dong, Inchon 406840, South Korea.</t>
  </si>
  <si>
    <t>leeji@kopri.re.kr</t>
  </si>
  <si>
    <t>Korea Polar Research Institute [PE09010]</t>
  </si>
  <si>
    <t>We would like to thank H. S. Moon, S. M. Jeong and other staff of KOPRI for their assistance in the laboratory. We are also grateful to the crew of the R/V Yuzhmorgeologiya. We acknowledge the comments from anonymous reviewers. This work was supported by a Korea Polar Research Institute project (PE09010).</t>
  </si>
  <si>
    <t>10.1177/0959683609353430</t>
  </si>
  <si>
    <t>585RN</t>
  </si>
  <si>
    <t>WOS:000276846700007</t>
  </si>
  <si>
    <t>Zirizzotti, A; Cafarella, L; Baskaradas, JA; Tabacco, IE; Urbini, S; Mangialetti, M; Bianchi, C</t>
  </si>
  <si>
    <t>Zirizzotti, Achille; Cafarella, Lili; Baskaradas, James Arokasami; Tabacco, Ignazio Ezio; Urbini, Stefano; Mangialetti, Morena; Bianchi, Cesidio</t>
  </si>
  <si>
    <t>Dry-Wet Bedrock Interface Detection by Radio Echo Sounding Measurements</t>
  </si>
  <si>
    <t>Bedrock reflectivity; ice absorption; internal ice layers; radio echo sounding (RES) systems</t>
  </si>
  <si>
    <t>ANTARCTIC ICE; SUBGLACIAL LAKES; EAST ANTARCTICA; SHEET; CORE</t>
  </si>
  <si>
    <t>In this paper, a method to distinguish a wet or dry bedrock-ice interface is proposed. It is based on the analysis of radio echo sounding (RES) measurements, a widely employed method for determining bedrock topography in Antarctica. In particular, the RES system has played an important role in subglacial lake exploration and hydrogeological studies at the bedrock-ice interface. Recently, bedrock characterization has been improved through the analysis of the power of radar echoes. Signal power depends on bedrock reflectivity and its specific physical condition. In this paper, a linear model describing the loss term (internal ice absorption) is proposed. This model, together with other known quantities, contributes toward an assessment of power variation of bedrock reflectivity in order to determinate wet and dry bedrock interfaces in the Dome C region in Antarctica.</t>
  </si>
  <si>
    <t>[Zirizzotti, Achille; Cafarella, Lili; Baskaradas, James Arokasami; Urbini, Stefano; Bianchi, Cesidio] Ist Nazl Geofis &amp; Vulcanol, I-00143 Rome, Italy; [Tabacco, Ignazio Ezio; Mangialetti, Morena] Univ Milan, Sez Geofis, I-20129 Milan, Italy</t>
  </si>
  <si>
    <t>Istituto Nazionale Geofisica e Vulcanologia (INGV); University of Milan</t>
  </si>
  <si>
    <t>Zirizzotti, A (corresponding author), Ist Nazl Geofis &amp; Vulcanol, I-00143 Rome, Italy.</t>
  </si>
  <si>
    <t>achille.zirizzotti@ingv.it</t>
  </si>
  <si>
    <t>Zirizzotti, Achille/HKE-0592-2023; Cafarella, Lili/HTO-5890-2023; Baskaradas, James A/C-2616-2012; cafarella, lili/G-4160-2011</t>
  </si>
  <si>
    <t>BASKARADAS, James Arokiasamy/0000-0001-8596-1377; Zirizzotti, Achille/0000-0001-7586-9219; cafarella, lili/0000-0003-2005-8923; urbini, stefano/0000-0002-8053-4197</t>
  </si>
  <si>
    <t>10.1109/TGRS.2009.2038900</t>
  </si>
  <si>
    <t>585GY</t>
  </si>
  <si>
    <t>WOS:000276814300015</t>
  </si>
  <si>
    <t>Jana, PK; Sarkar, D; Saha, I</t>
  </si>
  <si>
    <t>Jana, P. K.; Sarkar, D.; Saha, I.</t>
  </si>
  <si>
    <t>Percentage contribution of ozone depleting substances on Antarctic ozone decline</t>
  </si>
  <si>
    <t>INDIAN JOURNAL OF PHYSICS</t>
  </si>
  <si>
    <t>Ozone depleting substances; ozone decline; ozone destruction process; Antarctica</t>
  </si>
  <si>
    <t>STRATOSPHERIC OZONE; METHYL-BROMIDE</t>
  </si>
  <si>
    <t>A critical analysis has been made on contribution on ozone depleting substances (ODS) on the decline of ozone concentration at Antarctica. The nature of yearly variation of concentrations of ODS as well as of ozone has been presented. Possible mechanisms of ozone destruction processes catalyzed by ODS have also been offered.</t>
  </si>
  <si>
    <t>[Jana, P. K.] Govt Coll Educ, Dept Chem, Parganas 743233, W Bengal, India; [Sarkar, D.] Howrah Zilla Sch, Dept Chem, Howrah 711101, W Bengal, India; [Saha, I.] Metia High Sch HS, Dept Chem, Parganas 743437, W Bengal, India</t>
  </si>
  <si>
    <t>Jana, PK (corresponding author), Govt Coll Educ, Dept Chem, North 24, Parganas 743233, W Bengal, India.</t>
  </si>
  <si>
    <t>pkjjngl@yahoo.co.in</t>
  </si>
  <si>
    <t>INDIAN ASSOC CULTIVATION SCIENCE</t>
  </si>
  <si>
    <t>KOLKATA</t>
  </si>
  <si>
    <t>INDIAN J PHYSICS, JADAVPUR, KOLKATA 700 032, INDIA</t>
  </si>
  <si>
    <t>0973-1458</t>
  </si>
  <si>
    <t>INDIAN J PHYS</t>
  </si>
  <si>
    <t>Indian J. Phys.</t>
  </si>
  <si>
    <t>10.1007/s12648-010-0046-7</t>
  </si>
  <si>
    <t>619KV</t>
  </si>
  <si>
    <t>WOS:000279430000004</t>
  </si>
  <si>
    <t>Clarke, A; Rothery, P; Isaac, NJB</t>
  </si>
  <si>
    <t>Clarke, Andrew; Rothery, Peter; Isaac, Nick J. B.</t>
  </si>
  <si>
    <t>Scaling of basal metabolic rate with body mass and temperature in mammals</t>
  </si>
  <si>
    <t>JOURNAL OF ANIMAL ECOLOGY</t>
  </si>
  <si>
    <t>allometry; bird; diet; energetics; phylogeny; thermal ecology</t>
  </si>
  <si>
    <t>SIZE; EXPONENTS</t>
  </si>
  <si>
    <t>P&gt;1. We present a statistical analysis of the scaling of resting (basal) metabolic rate, BMR, with body mass, B-m and body temperature, T-b, in mammals. 2. Whilst the majority of the variance in ln BMR is explained by ln B-m, the T-b term is statistically significant. The best fit model was quadratic, indicating that the scaling of ln BMR with ln B-m varies with body size; the value of any scaling exponent estimated for a sample of mammals will therefore depend on the size distribution of species in the study. This effect can account for much of the variation in scaling exponents reported in the literature for mammals. 3. In all models, inclusion of T-b reduced the strength of scaling with ln B-m. The model including T-b suggests that birds and mammals have a similar underlying thermal dependence of BMR, equivalent to a Q(10) of 2 center dot 9 across the range of T-b values 32-42 degrees C. 4. There was significant heterogeneity in both the mass scaling exponent and mean BMR across mammalian orders, with a tendency for orders dominated by larger taxa to have steeper scaling exponents. This heterogeneity was particularly marked across orders with smaller mean B-m and the taxonomic composition of the sample will thus also affect the observed scaling exponent. After correcting for the effects of ln B-m and T-b, Soricomorpha, Didelphimorphia and Artiodactyla had the highest BMR of those orders represented by more than 10 species in the data set. 5. Inclusion of T-b in the model removed the effect of diet category evident from a model in ln B-m alone and widely reported in the literature; this was caused by a strong interaction between diet category and T-b in mammals. 6. Inclusion of mean ambient temperature, T-a, in the model indicated a significant inverse relationship between ln BMR and T-a, complicated by an interaction between T-a and T-b. All other things being equal, a polar mammal living at -10 degrees C has a body temperature similar to 2 center dot 7 degrees C warmer and a BMR higher by similar to 40% than a tropical mammal of similar size living at 25 degrees C.</t>
  </si>
  <si>
    <t>[Clarke, Andrew] British Antarctic Survey, Cambridge CB3 0ET, England; [Rothery, Peter; Isaac, Nick J. B.] Ctr Ecol &amp; Hydrol, Wallingford OX10 8BB, Oxon, England</t>
  </si>
  <si>
    <t>UK Research &amp; Innovation (UKRI); Natural Environment Research Council (NERC); NERC British Antarctic Survey; UK Centre for Ecology &amp; Hydrology (UKCEH)</t>
  </si>
  <si>
    <t>Clarke, A (corresponding author), British Antarctic Survey, Madingley Rd, Cambridge CB3 0ET, England.</t>
  </si>
  <si>
    <t>Isaac, Nick/C-2716-2011</t>
  </si>
  <si>
    <t>Isaac, Nick/0000-0002-4869-8052</t>
  </si>
  <si>
    <t>NERC [bas0100025, NE/D009448/2] Funding Source: UKRI; Natural Environment Research Council [CEH010021, bas0100025, NE/D009448/2] Funding Source: researchfish</t>
  </si>
  <si>
    <t>0021-8790</t>
  </si>
  <si>
    <t>1365-2656</t>
  </si>
  <si>
    <t>J ANIM ECOL</t>
  </si>
  <si>
    <t>J. Anim. Ecol.</t>
  </si>
  <si>
    <t>10.1111/j.1365-2656.2010.01672.x</t>
  </si>
  <si>
    <t>Ecology; Zoology</t>
  </si>
  <si>
    <t>Environmental Sciences &amp; Ecology; Zoology</t>
  </si>
  <si>
    <t>573CQ</t>
  </si>
  <si>
    <t>WOS:000275886400013</t>
  </si>
  <si>
    <t>de Artigas, MZ; de Campra, PF</t>
  </si>
  <si>
    <t>Zossi de Artigas, Marta; Fernandez de Campra, Patricia</t>
  </si>
  <si>
    <t>Trends in total ozone and the effect of the equatorial zonal wind QBO</t>
  </si>
  <si>
    <t>Total column ozone; Long term trends; Quasi-biennial oscillation; Brewer-Dobson circulation</t>
  </si>
  <si>
    <t>QUASI-BIENNIAL OSCILLATION; INTERANNUAL VARIABILITY; ANTARCTIC OZONE; NIMBUS 7; CIRCULATION; MODEL; MODULATION; DEPENDENCE; LATITUDE; ORIGIN</t>
  </si>
  <si>
    <t>Trends in total column ozone have been analyzed in terms of the equatorial zonal wind. We used zonal monthly mean total ozone from Total Ozone Mapping Spectrometer (TOMS) and monthly mean zonal wind in the equatorial stratosphere at 30 hPa to define the phases of the quasi-biennial oscillation (QBO). Total column ozone trends have been assessed during the period 1979-2004, for both Hemispheres, and for each month, under three conditions considering, all the ozone dataset, ozone values during easterly phase and ozone values during westerly phase of the QBO. When the whole dataset is considered, negative trends are observed. From low to midlatitudes a zonal pattern is noticed with increasing negative values toward higher latitudes. When the data is filtered according to the QBO phase, statistically significant positive trends appear in the westerly case during January to May at low latitudes The trend pattern in the case of the easterly phase presents more negative values. (C) 2010 Elsevier Ltd. All rights reserved.</t>
  </si>
  <si>
    <t>[Zossi de Artigas, Marta] Univ Nacl Tucuman, Dept Fis, Fac Ciencias Exactas &amp; Tecnol, San Miguel De Tucuman, Argentina; [Zossi de Artigas, Marta] Consejo Nacl Invest Cient &amp; Tecn, Consejo Nacl Invest Cient &amp; Tecn, RA-1033 Buenos Aires, DF, Argentina; [Fernandez de Campra, Patricia] Univ Nacl Tucuman, Dept Ciencias Computac, Fac Ciencias Exactas &amp; Tecnol, San Miguel De Tucuman, Argentina</t>
  </si>
  <si>
    <t>Universidad Nacional de Tucuman; Consejo Nacional de Investigaciones Cientificas y Tecnicas (CONICET); Universidad Nacional de Tucuman</t>
  </si>
  <si>
    <t>de Artigas, MZ (corresponding author), Univ Nacl Tucuman, Dept Fis, Fac Ciencias Exactas &amp; Tecnol, Av Independencia 1800-4000, San Miguel De Tucuman, Argentina.</t>
  </si>
  <si>
    <t>martazossi@yahoo.com.ar</t>
  </si>
  <si>
    <t>10.1016/j.jastp.2010.02.002</t>
  </si>
  <si>
    <t>596IB</t>
  </si>
  <si>
    <t>WOS:000277677300001</t>
  </si>
  <si>
    <t>Hu, ZJ; Yang, H; Liang, J; Han, D; Huang, D; Hu, H; Zhang, B; Liu, R; Chen, Z</t>
  </si>
  <si>
    <t>Hu, Ze-Jun; Yang, H.; Liang, J.; Han, D.; Huang, D.; Hu, H.; Zhang, B.; Liu, R.; Chen, Z.</t>
  </si>
  <si>
    <t>The 4-emission-core structure of dayside aurora oval observed by all-sky imager at 557.7 nm in Ny-Alesund, Svalbard</t>
  </si>
  <si>
    <t>Dayside auroral oval; Auroral emissions; Particle precipitation; Magnetospheric dynamic processes</t>
  </si>
  <si>
    <t>SOLAR-WIND; MAGNETIC-FIELD; BRIGHT SPOTS; MAGNETOSPHERE; CONVECTION; CURRENTS; ACCELERATION; RECONNECTION; POLEWARD; 5577A</t>
  </si>
  <si>
    <t>A survey of dayside aurora excitation at 557.7 nm, which was acquired from an all-sky imager at Yellow River Station in Ny-Alesund, Svalbard, shows that there are 4 intense emission maxima in the dayside oval, centered near 0630/76, 0830/76, 1400/75, and 1600/75 (unit: MLT/MLAT), respectively. Tracing the magnetospheric sources of these cores along geomagnetic field lines, the 0830- and 1400-MLT cores correspond with the prenoon and postnoon magnetospheric boundary layers (MBLs), and the 0630- and 1600-MLT cores are located at the dusk and dawn MBLs, respectively. The potential solar wind-magnetosphere dynamic processes resulting in these auroral features are discussed. (C) 2010 Elsevier Ltd. All rights reserved.</t>
  </si>
  <si>
    <t>[Hu, Ze-Jun; Yang, H.; Han, D.; Huang, D.; Hu, H.; Zhang, B.; Liu, R.; Chen, Z.] Polar Res Inst China, SOA Key Lab Polar Sci, Shanghai 200136, Peoples R China; [Hu, Ze-Jun; Liang, J.] Xidian Univ, Life Sci Res Ctr, Xian 710071, Peoples R China</t>
  </si>
  <si>
    <t>Polar Research Institute of China; Xidian University</t>
  </si>
  <si>
    <t>Hu, ZJ (corresponding author), Polar Res Inst China, SOA Key Lab Polar Sci, Shanghai 200136, Peoples R China.</t>
  </si>
  <si>
    <t>huzejun@pric.gov.cn; yanghuigen@pric.gov.cn; jimleung@mail.xidian.edu.cn; handesheng@pric.gov.cn; huang@pric.gov.cn; hhq@pric.gov.cn; bczhang@pric.gov.cn; ryliu@pric.gov.cn; chenzhuotian@pric.gov.cn</t>
  </si>
  <si>
    <t>Han, Desheng/P-2663-2017; Liang, Jimin/B-5394-2014; Life, FP/M-9555-2013; Hu, Ze-Jun/X-8090-2019; Han, Desheng/H-6971-2018</t>
  </si>
  <si>
    <t>Liang, Jimin/0000-0003-1428-5804; Hu, Ze-Jun/0000-0003-2448-2094; Han, Desheng/0000-0002-6635-9214; Zhang, Beichen/0000-0002-0927-9568</t>
  </si>
  <si>
    <t>National Natural Science Foundation of China [40904041, 40974103, 60872154, 40974083, 40604020, 40890164, 40874082]; Ministry of Science and Technology of the People's Republic of China [2006BAB181306, 2008AA121703]; China Meteorological Administration [GYHY200706043]; Science and Technology Commission of Shanghai Municipality [09R21421800]; State Oceanic Administration People's Republic of China [2010613]</t>
  </si>
  <si>
    <t>National Natural Science Foundation of China(National Natural Science Foundation of China (NSFC)); Ministry of Science and Technology of the People's Republic of China(Ministry of Science and Technology, China); China Meteorological Administration; Science and Technology Commission of Shanghai Municipality(Science &amp; Technology Commission of Shanghai Municipality (STCSM)); State Oceanic Administration People's Republic of China</t>
  </si>
  <si>
    <t>This work was supported by the National Natural Science Foundation of China (40904041, 40974103, 60872154, 40974083, 40604020, 40890164, 40874082), the projects of Ministry of Science and Technology of the People's Republic of China (2006BAB181306, 2008AA121703), the fund of China Meteorological Administration (GYHY200706043), the fund of Science and Technology Commission of Shanghai Municipality (09R21421800), and the fund of State Oceanic Administration People's Republic of China (2010613). We thank Chinese Arctic and Antarctic Administration for the supporting funds, and National Institute of Polar Research, Japan for technical support.</t>
  </si>
  <si>
    <t>10.1016/j.jastp.2010.03.005</t>
  </si>
  <si>
    <t>WOS:000277677300010</t>
  </si>
  <si>
    <t>Fulton, TL; Strobeck, C</t>
  </si>
  <si>
    <t>Fulton, Tara L.; Strobeck, Curtis</t>
  </si>
  <si>
    <t>Multiple fossil calibrations, nuclear loci and mitochondrial genomes provide new insight into biogeography and divergence timing for true seals (Phocidae, Pinnipedia)</t>
  </si>
  <si>
    <t>Carnivora; fossil calibration; historical biogeography; molecular clock; Phocidae; phylogeny; phylogeography; Pinnipedia; seals</t>
  </si>
  <si>
    <t>PHYLOGENETIC-RELATIONSHIPS; MOLECULAR PHYLOGENY; DNA-SEQUENCES; CARNIVORA; ORIGIN; MIOCENE; MAMMALIA; BAIKAL; GEOGRAPHY; DEPOSITS</t>
  </si>
  <si>
    <t>Aim To better understand the historical biogeography of the true seals, Phocidae, by combining nuclear DNA (nDNA) and mitochondrial DNA (mtDNA) in a divergence time analysis using multiple fossil calibrations. Location Arctic, Antarctic, Pacific and Atlantic Oceans, Lake Baikal, Caspian Sea. Methods Fifteen nuclear genes totalling 8935 bp plus near-complete mitochondrial genome sequences were used in a Bayesian divergence time analysis, incorporating eight soft-bound fossil calibrations across the phylogeny. All species of true seals were included, plus the walrus, three otariids and seven carnivore outgroups. The majority of the nuclear sequences and four phocid mitochondrial genomes (plus three non-phocid mitochondrial genomes) were newly generated for this study using DNA extracted from tissue samples; other sequences were obtained from GenBank. Results Using multiple nuclear genes and multiple fossil calibrations resulted in most divergence time estimations within Phocidae being much more recent than predicted by other molecular studies incorporating only mtDNA and using a single calibration point. A new phylogenetic hypothesis was recovered for the Antarctic seals. Main conclusions Incorporating multiple nuclear genes and fossil calibrations had a profound effect on the estimated divergence times. Most estimated divergences within Phocinae (Arctic seals) correspond to Arctic oceanic events and all occur within the last 12 Myr, a time when the Arctic and Atlantic oceans were freely exchanging and perennial Arctic sea ice existed, indicating that the Arctic seals may have had a longer association with ice than previously thought. The Monachinae ('southern' seals) split from the Phocinae c. 15 Ma on the eastern US coast. Several early trans-Atlantic dispersals possibly occurred, leaving no living descendants, as divergence estimates suggest that the Monachus (monk seal) species divergences occurred in the western Atlantic c. 6 Ma, with the Mediterranean monk seal ancestor dispersing afterwards. The tribes Lobodontini (Antarctic seals) and Miroungini (elephant seals) are also estimated to have diverged in the eastern Atlantic c. 7 Ma and a single Lobodontini dispersal to Antarctica occurred shortly afterwards. Many of the newly estimated dates are used to infer how extinct lineages/taxa are allied with their living relatives.</t>
  </si>
  <si>
    <t>[Fulton, Tara L.; Strobeck, Curtis] Univ Alberta, Edmonton, AB T6G 2E9, Canada</t>
  </si>
  <si>
    <t>University of Alberta</t>
  </si>
  <si>
    <t>Fulton, TL (corresponding author), Penn State Univ, Mueller Lab 320, University Pk, PA 16802 USA.</t>
  </si>
  <si>
    <t>taralynnfulton@gmail.com</t>
  </si>
  <si>
    <t>Fulton, Tara L/F-5200-2011; Strobeck, Curtis/E-9998-2011</t>
  </si>
  <si>
    <t>Fulton, Tara L/0000-0001-5548-555X;</t>
  </si>
  <si>
    <t>NSERC</t>
  </si>
  <si>
    <t>NSERC(Natural Sciences and Engineering Research Council of Canada (NSERC))</t>
  </si>
  <si>
    <t>T.L.F. was supported by a NSERC doctoral scholarship. Research was funded by a NSERC research grant to C.S. We are grateful to W. Murphy, D. Coltman, I. Delisle and R. Norris who provided feedback and to reviewers Jeff Higdon and Peter J. Adam and the editor, Alistair Crame, for their suggestions that improved this manuscript. Thank you to I. Stirling for providing access to a personal collection of articles translated from Russian. This study was made possible by the many individuals and institutions who generously provided samples: thanks to (in no particular order) G. Stenson, B. Robson, B. Sjare, D. McKinnon, J. Beauschesne, L. Harwood, M. Cameron, W. Amos, U. Arnason, A.S. Blix, I. Boyd, T. Walker, K. Sato, T. Gelatt, B. Stuart, S. Iverson, S. Atkinson, N. Gemmell, B. McClymont, K. Kloecker, J. Nagy, D. Berezanski, Antarctic Pack-ice Seals Program, Canadian Department of Fisheries and Oceans, USGS, Parks Canada.</t>
  </si>
  <si>
    <t>10.1111/j.1365-2699.2010.02271.x</t>
  </si>
  <si>
    <t>585WS</t>
  </si>
  <si>
    <t>WOS:000276861700003</t>
  </si>
  <si>
    <t>Charlier, RH</t>
  </si>
  <si>
    <t>Charlier, Roger H.</t>
  </si>
  <si>
    <t>Philatelic panorama of some Belgian Antarctic marine contributions, 19th-21st centuries (vol 26, pg 359, 2010)</t>
  </si>
  <si>
    <t>[Charlier, Roger H.] Vrije Univ Brussel, Brussels, Belgium; [Charlier, Roger H.] Florida Atlantic Univ, Dept Geosci, Boca Raton, FL 33431 USA</t>
  </si>
  <si>
    <t>Vrije Universiteit Brussel; State University System of Florida; Florida Atlantic University</t>
  </si>
  <si>
    <t>599XH</t>
  </si>
  <si>
    <t>WOS:000277947000023</t>
  </si>
  <si>
    <t>Sanders, CJ; Santos, IR; Patchineelam, SR; Schaefer, C; Silva, EV</t>
  </si>
  <si>
    <t>Sanders, Christian J.; Santos, Isaac R.; Patchineelam, Sambasiva R.; Schaefer, Carlos; Silva-Filho, Emmanoel V.</t>
  </si>
  <si>
    <t>Recent 137Cs deposition in sediments of Admiralty Bay, Antarctica</t>
  </si>
  <si>
    <t>JOURNAL OF ENVIRONMENTAL RADIOACTIVITY</t>
  </si>
  <si>
    <t>Pb-210 Sedimentation rate; Global warming; Melt-water; Soils</t>
  </si>
  <si>
    <t>SOUTH SHETLAND ISLANDS; KING-GEORGE-ISLAND; GEOCHRONOLOGIES; RADIONUCLIDES; RADIOACTIVITY; PB-210; SOILS</t>
  </si>
  <si>
    <t>Cesium-137, radium-226 and lead-210 profiles of a 25 cm sediment core give an indication of recent changes in land ocean interactions at a polar coastal environment (Admiralty Bay, King George Island, Antarctica). The linear sedimentation accumulation rate at the study site calculated from the unsupported Pb-210 profile was 6.7 mm/year from 1965 to 2005. A 3.5-fold increase in Cs-137 concentrations was observed in the top layer of this sediment core. This sharp increase seems to indicate a recent redistribution of fallout radionuclides previously deposited on soil, vegetation and snow. These results imply enhanced land ocean interactions at this site likely as a result of climate change. Because our results are based on a single core, additional investigations are needed to confirm our observations. (C) 2010 Elsevier Ltd. All rights reserved.</t>
  </si>
  <si>
    <t>[Sanders, Christian J.; Patchineelam, Sambasiva R.; Silva-Filho, Emmanoel V.] Univ Fed Fluminense, Dept Geoquim, BR-24020007 Niteroi, RJ, Brazil; [Santos, Isaac R.] So Cross Univ, Sch Environm Sci &amp; Management, Ctr Coastal Biogeochem, Lismore, NSW 2480, Australia; [Schaefer, Carlos] Univ Fed Vicosa, Dept Solos, BR-36570000 Vicosa, MG, Brazil</t>
  </si>
  <si>
    <t>Universidade Federal Fluminense; Southern Cross University; Universidade Federal de Vicosa</t>
  </si>
  <si>
    <t>Sanders, CJ (corresponding author), Univ Fed Fluminense, Dept Geoquim, BR-24020007 Niteroi, RJ, Brazil.</t>
  </si>
  <si>
    <t>zinosanders@yahoo.com</t>
  </si>
  <si>
    <t>Criosfera, Inct/J-8639-2013; da Silva Filho, Emmanoel Vieira/Y-7281-2019; Schaefer, Carlos Ernesto/AAY-4977-2020; Santos, Isaac R./A-3960-2019; Silva-Filho, Emmanoel V/D-4902-2015; Sanders, Christian J/AAM-6906-2021; Tmcocean, Inct/J-8735-2013; Sanders, Christian J/J-6756-2012</t>
  </si>
  <si>
    <t>da Silva Filho, Emmanoel Vieira/0000-0001-6444-6851; Santos, Isaac R./0000-0003-0524-842X; Sanders, Christian J/0000-0003-0090-0896; Ernesto Goncalves Reynaud Schaefer, Carlos/0000-0001-5735-3227; Ernesto Goncalves Reynaud Schaefer, Carlos/0000-0001-7060-1598</t>
  </si>
  <si>
    <t>Brazilian National Research Council (CNPq) [55.0368-2002]; Ministry of Environment; Brazilian Navy; FAPERJ</t>
  </si>
  <si>
    <t>Brazilian National Research Council (CNPq)(Conselho Nacional de Desenvolvimento Cientifico e Tecnologico (CNPQ)); Ministry of Environment(Ministry of Environment (ME), Republic of Korea); Brazilian Navy; FAPERJ(Fundacao Carlos Chagas Filho de Amparo a Pesquisa do Estado do Rio De Janeiro (FAPERJ))</t>
  </si>
  <si>
    <t>Field work was carried out as part of the CRIOSSOLOS project (grant 55.0368-2002) supported by the Brazilian Antarctic Programme through the Brazilian National Research Council (CNPq), Ministry of Environment, the Brazilian Navy and FAPERJ support to C.J.S. Many thanks to GEAMB research group for giving us a sub-sample collected with their Mini Box Corer.</t>
  </si>
  <si>
    <t>0265-931X</t>
  </si>
  <si>
    <t>1879-1700</t>
  </si>
  <si>
    <t>J ENVIRON RADIOACTIV</t>
  </si>
  <si>
    <t>J. Environ. Radioact.</t>
  </si>
  <si>
    <t>10.1016/j.jenvrad.2010.02.006</t>
  </si>
  <si>
    <t>594IP</t>
  </si>
  <si>
    <t>WOS:000277530800013</t>
  </si>
  <si>
    <t>Simon, KM; James, TS; Ivins, ER</t>
  </si>
  <si>
    <t>Simon, Karen M.; James, Thomas S.; Ivins, Erik R.</t>
  </si>
  <si>
    <t>Ocean loading effects on the prediction of Antarctic glacial isostatic uplift and gravity rates</t>
  </si>
  <si>
    <t>JOURNAL OF GEODESY</t>
  </si>
  <si>
    <t>Glacial isostatic adjustment; Antarctica; GRACE; Gravity change; Crustal movement; GPS</t>
  </si>
  <si>
    <t>POSTGLACIAL SEA-LEVEL; GREENLAND ICE SHEETS; MANTLE VISCOSITY; VICTORIA LAND; MASS-BALANCE; CRUSTAL MOTIONS; WEST ANTARCTICA; GRACE; GPS; DEFORMATION</t>
  </si>
  <si>
    <t>The effect of regional ocean loading on predicted rates of crustal uplift and gravitational change due to glacial isostatic adjustment (GIA) is determined for Antarctica. The effect is found to be significant for the ICE-3G and ICE-5G loading histories (up to -8 mm/year and -3 mm/year change in uplift rate and -3 cm/year and -1 cm/year equivalent water height change (EWHC) of surface mass, respectively). The effect is smaller (+1 mm/year; +0.25 cm/year) for the IJ05 loading history. The impact of ocean loading on the rate of change of the long-wavelength zonal harmonics of the Earth's gravitational field is also significantly smaller for IJ05 than ICE-3G. A simple analytical formula is derived that is accurate to about 3% in a root-mean-square sense that relates predicted or observed gravitational change at the surface of the Earth (r = a) to the EWHC. A fundamental difference in the definition of the load histories accounts for the differing sensitivities to ocean loading. IJ05 defines its surface load history relative to the present-day surface load, rather than specifying an absolute loading history, and thus implicitly approximates the temporal and spatial mass exchange between grounded ice and open ocean. In contrast, ICE-3G and ICE-5G specify an absolute load history and explicit regional ocean loading substantially perturbs predicted GIA rates. Conclusions of previous studies that used IJ05 predictions without ocean loading are relatively robust.</t>
  </si>
  <si>
    <t>[Simon, Karen M.; James, Thomas S.] Geol Survey Canada, Sidney, BC V8L 4B2, Canada; [Simon, Karen M.; James, Thomas S.] Univ Victoria, Sch Earth &amp; Ocean Sci, Victoria, BC V8W 3V6, Canada; [Ivins, Erik R.] CALTECH, Jet Prop Lab, Pasadena, CA 91109 USA</t>
  </si>
  <si>
    <t>Natural Resources Canada; Lands &amp; Minerals Sector - Natural Resources Canada; Geological Survey of Canada; University of Victoria; National Aeronautics &amp; Space Administration (NASA); NASA Jet Propulsion Laboratory (JPL); California Institute of Technology</t>
  </si>
  <si>
    <t>Simon, KM (corresponding author), Geol Survey Canada, Sidney, BC V8L 4B2, Canada.</t>
  </si>
  <si>
    <t>ksimon@nrcan.gc.ca</t>
  </si>
  <si>
    <t>Ivins, Erik R/C-2416-2011; James, Thomas/D-9301-2013</t>
  </si>
  <si>
    <t>James, Thomas/0000-0001-7321-047X; Simon, Karen/0000-0002-5696-9174</t>
  </si>
  <si>
    <t>0949-7714</t>
  </si>
  <si>
    <t>1432-1394</t>
  </si>
  <si>
    <t>J GEODESY</t>
  </si>
  <si>
    <t>J. Geodesy</t>
  </si>
  <si>
    <t>10.1007/s00190-010-0368-4</t>
  </si>
  <si>
    <t>Geochemistry &amp; Geophysics; Remote Sensing</t>
  </si>
  <si>
    <t>583GE</t>
  </si>
  <si>
    <t>WOS:000276660700003</t>
  </si>
  <si>
    <t>Godfrey, JS; Dunn, JR</t>
  </si>
  <si>
    <t>Godfrey, J. Stuart; Dunn, Jeff R.</t>
  </si>
  <si>
    <t>Depth-integrated steric height as a tool for detecting non-Sverdrup behavior in the global ocean</t>
  </si>
  <si>
    <t>JOURNAL OF MARINE RESEARCH</t>
  </si>
  <si>
    <t>ANTARCTIC CIRCUMPOLAR CURRENT; WIND STRESS; SOUTHERN-OCEAN; WORLD OCEAN; HEAT-FLUX; CIRCULATION; SEA; FLOW; VARIABILITY; ISLANDS</t>
  </si>
  <si>
    <t>Godfrey's (1989) (referred to below as G89) calculation of the global field of annual mean Depth-Integrated Steric Height, or Sverdrup et al.'s (1942) Transport Function, (Q) is revisited, using newer products for wind stresses, temperature and salinity. Observed Q and its wind-estimated equivalent Q(w) are compared more extensively along eastern oceanic boundaries than in G89. Q and Q(w) are also compared along the inner edge of the Pacific western boundary, at locations where G89 theory suggests that such a comparison is possible. A similar comparison along the western Atlantic improves after a 16 Sv correction for the supply of North Atlantic Deep Water. The observed circumpolar zero contour of Q is used to define an ACC boundary. South of it, G89 fails grossly as expected. North of the boundary in each ocean basin, a tongue of high Q, about 1000 km wide, extends much farther eastward from its western boundary source than in comparable features in the northern hemisphere. The uninterrupted existence of this tongue across the full width of the Indian Ocean occurs because there is no analog in Q to the strong meridional tip jet west of southern Tasmania, found in Q(w)-i.e. the East Australian Current is weaker in observed Q than predicted by G89. Elsewhere, each MTJ in Q(w) does have an analog in observed Q; but the latter jets tend to follow local Sverdrup flow rather than being zonal. A final section provides qualitative discussion of the possible dynamics of these observed departures of Q from Sverdrup balance, north of the ACC.</t>
  </si>
  <si>
    <t>[Godfrey, J. Stuart; Dunn, Jeff R.] CSIRO Marine &amp; Atmospher Res, Hobart, Tas 7001, Australia</t>
  </si>
  <si>
    <t>Godfrey, JS (corresponding author), CSIRO Marine &amp; Atmospher Res, GPO Box 1538, Hobart, Tas 7001, Australia.</t>
  </si>
  <si>
    <t>stootrish@gmail.com</t>
  </si>
  <si>
    <t>CSIRO</t>
  </si>
  <si>
    <t>CSIRO(Commonwealth Scientific &amp; Industrial Research Organisation (CSIRO))</t>
  </si>
  <si>
    <t>The first author thanks CSIRO for providing him with office facilities for several years of work on this topic, via a CSIRO Post-Retirement Fellowship. Trevor McDougall, Gary Meyers, George Cresswell and David Griffin provided useful comments on earlier drafts, and Steve Rintoul's guidance to ACC literature has been invaluable. Billy Kessler went well beyond the call of duty in improving this paper, as part of the peer review process. George Veronis' encouragement of this project-and his suggestion to publish in the Journal of Marine Research-are also gratefully acknowledged.</t>
  </si>
  <si>
    <t>SEARS FOUNDATION MARINE RESEARCH</t>
  </si>
  <si>
    <t>NEW HAVEN</t>
  </si>
  <si>
    <t>YALE UNIV, KLINE GEOLOGY LAB, 210 WHITNEY AVENUE, NEW HAVEN, CT 06520-8109 USA</t>
  </si>
  <si>
    <t>0022-2402</t>
  </si>
  <si>
    <t>1543-9542</t>
  </si>
  <si>
    <t>J MAR RES</t>
  </si>
  <si>
    <t>J. Mar. Res.</t>
  </si>
  <si>
    <t>MAY-JUL</t>
  </si>
  <si>
    <t>10.1357/002224010794657100</t>
  </si>
  <si>
    <t>724JG</t>
  </si>
  <si>
    <t>WOS:000287571300004</t>
  </si>
  <si>
    <t>Hill, KL; Rintoul, SR; Oke, PR; Ridgway, K</t>
  </si>
  <si>
    <t>Hill, K. L.; Rintoul, S. R.; Oke, P. R.; Ridgway, K.</t>
  </si>
  <si>
    <t>Rapid response of the East Australian Current to remote wind forcing: The role of barotropic-baroclinic interactions</t>
  </si>
  <si>
    <t>KELVIN WAVE INTERACTION; SOUTH-PACIFIC; NORTH PACIFIC; ROSSBY WAVES; SEA-LEVEL; OCEAN; VARIABILITY; MODEL; EXTRATROPICS; PROPAGATION</t>
  </si>
  <si>
    <t>The strength of the East Australian Current (EAC) is observed to vary in response to changes in basin-scale winds in the South Pacific, with a time lag of three years. First mode baroclinic Rossby waves would take 10-15 years to reach the western boundary from the center of the South Pacific, so a faster mechanism is needed to explain this link. We use an ocean general circulation model forced with idealized anomalies of wind stress curl to examine the mechanism responsible for the rapid response of the EAC. A curl perturbation in the central South Pacific produces baroclinic and barotropic Rossby waves. The barotropic waves propagate quickly to the western boundary at New Zealand (NZ), where they scatter into a coastal Kelvin wave that travels anti-cyclonically around the coast of NZ. In the Tasman Sea, the height anomaly associated with the Kelvin wave spawns first mode baroclinic waves that take about three years to propagate across the Tasman Sea to influence the EAC. The model suggests that the rapid response of the EAC to changes in wind forcing can be explained by a combination of barotropic and baroclinic Rossby waves with conversion between modes facilitated by topography.</t>
  </si>
  <si>
    <t>[Hill, K. L.] Univ Tasmania, Quantitat PhD Program, Hobart, Tas 7001, Australia; [Rintoul, S. R.; Oke, P. R.; Ridgway, K.] CSIRO Marine &amp; Atmospher Res, CAWCR, Hobart, Tas 7001, Australia</t>
  </si>
  <si>
    <t>Hill, KL (corresponding author), Univ Tasmania, Quantitat PhD Program, Hobart, Tas 7001, Australia.</t>
  </si>
  <si>
    <t>katy.hill@imos.org.au</t>
  </si>
  <si>
    <t>Rintoul, Stephen R/A-1471-2012; Ridgway, Ken/AAA-4040-2019; Oke, Peter/C-5127-2011</t>
  </si>
  <si>
    <t>Rintoul, Stephen R/0000-0002-7055-9876; Oke, Peter/0000-0002-3163-5610; Ridgway, Ken/0000-0002-5861-1360</t>
  </si>
  <si>
    <t>Department of Climate Change and Energy Efficiency; Australian Government Cooperative Research Centre (CRC)</t>
  </si>
  <si>
    <t>Department of Climate Change and Energy Efficiency; Australian Government Cooperative Research Centre (CRC)(Australian GovernmentDepartment of Industry, Innovation and ScienceCooperative Research Centres (CRC) Programme)</t>
  </si>
  <si>
    <t>The authors would like to thank Paolo Cipolini, Jeff Blundell and three anonymous reviewers for their thoughtful comments, and Russ Fiedler for modeling support. This work was conducted as part of the Quantitative Marine Sciences PhD Program, a joint initiative between the University of Tasmania and CSIRO. This study was supported in part by the Department of Climate Change and Energy Efficiency through the Australian Climate Change Science Program and the Australian Government Cooperative Research Centre (CRC) program through the Antarctic Climate and Ecosystems CRC.</t>
  </si>
  <si>
    <t>10.1357/002224010794657218</t>
  </si>
  <si>
    <t>WOS:000287571300005</t>
  </si>
  <si>
    <t>Lu, JH; Speer, K</t>
  </si>
  <si>
    <t>Lu, Jianhua; Speer, Kevin</t>
  </si>
  <si>
    <t>Topography, jets, and eddy mixing in the Southern Ocean</t>
  </si>
  <si>
    <t>MEAN FLOW; PARTICLE EXCHANGE; DIFFUSIVITY; TRANSPORT; TRAJECTORIES; STATISTICS; VICINITY</t>
  </si>
  <si>
    <t>The relation between topography, and the 3D structure of patchy eddy-induced mixing in the Southern Ocean is analyzed descriptively by applying diagnostic methods to output from the Southern Ocean State Estimate. A localized cumulative probability density function method is developed to verify the use of Nakamura's (2001) mixing efficiency in the ocean. Both methods reveal enhanced eddy mixing at mid-depths. The spatial pattern of the mid-depth enhancement of eddy mixing is primarily linked to the merging of multiple jets embedded in the Antarctic Circumpolar Current over topography. We suggest that enhanced eddy mixing over topography is due to locally enhanced baroclinicity and instability within the wake itself, partly due to the convergence of eddies in merging branches of the ACC. Interaction of barotropic and baroclinic eddies may be important to setting the strength and vertical structure of eddy mixing associated with topography.</t>
  </si>
  <si>
    <t>[Lu, Jianhua; Speer, Kevin] Florida State Univ, Inst Geophys Fluid Dynam, Tallahassee, FL 32306 USA; [Speer, Kevin] Florida State Univ, Dept Earth Ocean &amp; Atmospher Sci, Tallahassee, FL 32306 USA</t>
  </si>
  <si>
    <t>State University System of Florida; Florida State University; State University System of Florida; Florida State University</t>
  </si>
  <si>
    <t>Lu, JH (corresponding author), Florida State Univ, Inst Geophys Fluid Dynam, Tallahassee, FL 32306 USA.</t>
  </si>
  <si>
    <t>lu@gfdi.fsu.edu</t>
  </si>
  <si>
    <t>Lu, Jianhua/B-8923-2008; Lu, Jianhua/F-5734-2016</t>
  </si>
  <si>
    <t>Lu, Jianhua/0000-0002-8241-3356</t>
  </si>
  <si>
    <t>National Science Foundation [MCA06N007, OCE 0927583]; Directorate For Geosciences; Division Of Ocean Sciences [0822075, 0927583] Funding Source: National Science Foundation</t>
  </si>
  <si>
    <t>National Science Foundation(National Science Foundation (NSF)); Directorate For Geosciences; Division Of Ocean Sciences(National Science Foundation (NSF)NSF - Directorate for Geosciences (GEO))</t>
  </si>
  <si>
    <t>The authors thank Matt Mazloff at SIO at UC San Diego for providing the SOSE data and assistance in using the data. SOSE was supported by the National Science Foundation through TeraGrid resources provided by Texas Advanced Computing Center under grant number MCA06N007. We are also grateful to two anonymous reviewers and the editor for constructive and insightful comments. The research is supported by NSF grant OCE 0927583. This is Geophysical Fluid Dynamics Institute contribution no. 464.</t>
  </si>
  <si>
    <t>10.1357/002224010794657227</t>
  </si>
  <si>
    <t>WOS:000287571300008</t>
  </si>
  <si>
    <t>Jullion, L; Heywood, KJ; Garabato, ACN; Stevens, DP</t>
  </si>
  <si>
    <t>Jullion, Loic; Heywood, Karen J.; Garabato, Alberto C. Naveira; Stevens, David P.</t>
  </si>
  <si>
    <t>Circulation and Water Mass Modification in the Brazil-Malvinas Confluence</t>
  </si>
  <si>
    <t>ANTARCTIC INTERMEDIATE WATER; SOUTH-ATLANTIC; CIRCUMPOLAR CURRENT; OCEAN CIRCULATION; WESTERN BOUNDARY; WORLD OCEAN; LAGRANGIAN CIRCULATION; DEEP WATERS; VARIABILITY; FLUXES</t>
  </si>
  <si>
    <t>The confluence between the Brazil Current and the Malvinas Current [the Brazil-Malvinas Confluence (BMC)] in the Argentine Basin is characterized by a complicated thermohaline structure favoring the exchanges of mass, heat, and salt between the subtropical gyre and the Antarctic Circumpolar Current (ACC). Analysis of thermohaline properties of hydrographic sections in the BMC reveals strong interactions between the ACC and subtropical fronts. In the Subantarctic Front, Subantarctic Mode Water (SAMW), Antarctic Intermediate Water (AAIW), and Circumpolar Deep Water (CDW) warm (become saltier) by 0.4 degrees (0.08), 0.3 degrees (0.02), and 0.6 degrees C (0.1), respectively. In the subtropical gyre, AAIW and North Atlantic Deep Water have cooled (freshened) by 0.4 degrees (0.07) and 0.7 degrees C (0.11), respectively. To quantify those ACC-subtropical gyre interactions, a box inverse model surrounding the confluence is built. The model diagnoses a subduction of 16 + 4 Sv (1 Sv equivalent to 10(6) m(3) s(-1)) of newly formed SAMW and AAIW under the subtropical gyre corresponding to about half of the total subduction rate of the South Atlantic found in previous studies. Cross-frontal heat (0.06 PW) and salt (2.4 x 10(12) kg s(-1)) gains by the ACC in the BMC contribute to the meridional poleward heat and salt fluxes across the ACC. These estimates correspond to perhaps half of the total cross-ACC poleward heat flux. The authors' results highlight the BMC as a key region in the subtropical-ACC exchanges.</t>
  </si>
  <si>
    <t>[Jullion, Loic; Garabato, Alberto C. Naveira] Natl Oceanog Ctr, Southampton S014 3ZH, Hants, England; [Jullion, Loic; Heywood, Karen J.] Univ E Anglia, Sch Environm Sci, Norwich NR4 7TJ, Norfolk, England; [Stevens, David P.] Univ E Anglia, Sch Math, Norwich NR4 7TJ, Norfolk, England</t>
  </si>
  <si>
    <t>NERC National Oceanography Centre; University of East Anglia; University of East Anglia</t>
  </si>
  <si>
    <t>Jullion, L (corresponding author), Natl Oceanog Ctr, European Way, Southampton S014 3ZH, Hants, England.</t>
  </si>
  <si>
    <t>Garabato, Alberto Naveira/AAQ-1114-2020; Jullion, Loic/B-3304-2011; Stevens, David/F-2509-2010; Heywood, Karen/L-1757-2016</t>
  </si>
  <si>
    <t>Garabato, Alberto Naveira/0000-0001-6071-605X; Jullion, Loic/0000-0001-6269-6750; Stevens, David/0000-0002-7283-4405; Heywood, Karen/0000-0001-9859-0026</t>
  </si>
  <si>
    <t>NERC [NE/C517633/1]; Natural Environment Research Council [NE/C517633/1] Funding Source: researchfish</t>
  </si>
  <si>
    <t>LJ thanks UEA for his Ph.D. studentship. ACNG was supported by a NERC Advanced Research Fellowship (NE/C517633/1). We are grateful to Michel Arhan and Catherine Lagadec for providing the SAVE data. Elaine McDonagh kindly contributed her reference velocities for the A10 section. We thank Simon Josey for his assistance with the NOC climatology. Finally, we thank Lynne Talley and two anonymous reviewers whose comments helped to significantly improve the quality of this paper.</t>
  </si>
  <si>
    <t>10.1175/2009JPO4174.1</t>
  </si>
  <si>
    <t>597BX</t>
  </si>
  <si>
    <t>WOS:000277731900001</t>
  </si>
  <si>
    <t>Mazloff, MR; Heimbach, P; Wunsch, C</t>
  </si>
  <si>
    <t>Mazloff, Matthew R.; Heimbach, Patrick; Wunsch, Carl</t>
  </si>
  <si>
    <t>An Eddy-Permitting Southern Ocean State Estimate</t>
  </si>
  <si>
    <t>ANTARCTIC CIRCUMPOLAR CURRENT; GLOBAL OCEAN; OVERTURNING CIRCULATION; GENERAL-CIRCULATION; DATA ASSIMILATION; DRAKE PASSAGE; DEACON CELL; TRANSPORT; MODEL; VARIABILITY</t>
  </si>
  <si>
    <t>An eddy-permitting general circulation model of the Southern Ocean is fit by constrained least squares to a large observational dataset during 2005-06. Data used include Argo float profiles, CTD synoptic sections, Southern Elephant Seals as Oceanographic Samplers (SEaOS) instrument-mounted seal profiles, XBTs, altimetric observations [Envisat, Geosat, Jason-1, and Ocean Topography Experiment (TOPEX)/Poseidon], and infrared and microwave radiometer observed sea surface temperature. An adjoint model is used to determine descent directions in minimizing a misfit function, each of whose elements has been weighted by an estimate of the observational plus model error. The model is brought into near agreement with the data by adjusting its control vector, here consisting of initial and meteorological boundary conditions. Although total consistency has not yet been achieved, the existing solution is in good agreement with the great majority of the 2005 and 2006 Southern Ocean observations and better represents these data than does the World Ocean Atlas 2001 (WOA01) climatological product. The estimate captures the oceanic temporal variability and in this respect represents a major improvement upon earlier static inverse estimates. During the estimation period, the Drake Passage volume transport is 153 +/- 5 Sv (1Sv equivalent to 10(6) m(3) s(-1)). The Ross and Weddell polar gyre transports are 20 +/- 5 Sv and 40 +/- 8 Sv, respectively. Across 32 degrees S there is a surface meridional overturning cell of 12 +/- 12 Sv, an intermediate cell of 17 +/- 12 Sv, and an abyssal cell of 13 +/- 6 Sv. The northward heat and freshwater anomaly transports across 30 degrees S are -0.3 PW and 0.7 Sv, with estimated uncertainties of 0.5 PW and 0.2 Sv. The net rate of wind work is 2.1 +/- 1.1 TW. Southern Ocean theories involving short temporal-and spatial-scale dynamics may now be tested with a dynamically and thermodynamically realistic general circulation model solution that is known to be compatible with the modern observational datasets.</t>
  </si>
  <si>
    <t>[Mazloff, Matthew R.] Univ Calif San Diego, Scripps Inst Oceanog, La Jolla, CA 92093 USA; [Heimbach, Patrick; Wunsch, Carl] MIT, Cambridge, MA 02139 USA</t>
  </si>
  <si>
    <t>University of California System; University of California San Diego; Scripps Institution of Oceanography; Massachusetts Institute of Technology (MIT)</t>
  </si>
  <si>
    <t>Mazloff, MR (corresponding author), Univ Calif San Diego, Scripps Inst Oceanog, 9500 Gilman Dr, La Jolla, CA 92093 USA.</t>
  </si>
  <si>
    <t>mmazloff@ucsd.edu</t>
  </si>
  <si>
    <t>Mazloff, Matthew/AAG-6463-2019; Heimbach, Patrick/K-3530-2013</t>
  </si>
  <si>
    <t>Mazloff, Matthew/0000-0002-1650-5850; Heimbach, Patrick/0000-0003-3925-6161</t>
  </si>
  <si>
    <t>NASA; NSF [OCE 0327544]; National Science Foundation through TeraGrid [MCA06N007]</t>
  </si>
  <si>
    <t>NASA(National Aeronautics &amp; Space Administration (NASA)); NSF(National Science Foundation (NSF)); National Science Foundation through TeraGrid(National Science Foundation (NSF))</t>
  </si>
  <si>
    <t>We are grateful to the very large group of oceanographers who collected and processed the observations used here, without whom none of this would be possible. The members of the ECCO-GODAE group at MIT and AER were essential to the carrying out of this work. Particular thanks are owed to Gael Forget and Charmaine King for help in carrying out the state estimate. The work was supported through NOPP with main funding from NASA and was made possible through significant computational resources provided by the National Science Foundation through TeraGrid resources provided by San Diego Supercomputer Center under Grant MCA06N007. NCAR computer resources were also helpful. Mazloff would like to thank Teresa Chereskin for postgraduate support under NSF Grant OCE 0327544.</t>
  </si>
  <si>
    <t>10.1175/2009JPO4236.1</t>
  </si>
  <si>
    <t>WOS:000277731900003</t>
  </si>
  <si>
    <t>Ascani, F; Firing, E; Dutrieux, P; McCreary, JP; Ishida, A</t>
  </si>
  <si>
    <t>Ascani, Francois; Firing, Eric; Dutrieux, Pierre; McCreary, Julian P.; Ishida, Akio</t>
  </si>
  <si>
    <t>Deep Equatorial Ocean Circulation Induced by a Forced-Dissipated Yanai Beam</t>
  </si>
  <si>
    <t>TROPICAL INSTABILITY WAVES; LOW-FREQUENCY VARIABILITY; ATLANTIC-OCEAN; PACIFIC-OCEAN; GRAVITY-WAVES; VERTICAL STRUCTURE; PLANETARY-WAVES; NUMERICAL-MODEL; ZONAL CURRENTS; MEAN-FLOW</t>
  </si>
  <si>
    <t>A complex pattern of zonal currents below the thermocline has been observed in the equatorial Pacific and Atlantic Oceans. The currents have typical speeds from 10 to 15 cm s(-1) and extend as deep as 2500 m. Their structure can be divided into two overlapping parts: the equatorial deep jets (EDJs), centered on the equator and alternating in the vertical with a wavelength of several hundred meters, and the Equatorial Intermediate Current system (EICS), composed of currents with large vertical scale and alternating with latitude over several degrees on either side of the equator. The strongest EICS current is a westward flow on the equator flanked by eastward currents at 2 degrees N and 2 degrees S. In the present study, the authors use idealized numerical simulations and analytical solutions to demonstrate that the EICS currents within 2.5 degrees from the equator could result from the self-advection with dissipation of a downward-propagating beam of monthly periodic Yanai (Rossby gravity) waves. The zonally restricted beam is generated in the eastern part of the basin by instabilities of the swift near-surface equatorial currents. For a weak Yanai wave amplitude and no dissipation, mean Eulerian currents resembling the three strongest EICS currents are obtained but only within the beam; in this case, the Eulerian flow is balanced by the waveinduced Stokes drift, yielding a zero-mean Lagrangian flow, and the water parcels conserve their potential vorticity (PV) and are stationary over a wave cycle. For larger amplitudes, the Yanai waves break, losing their energy to small vertical scales where it is dissipated. This dissipation changes the mean (wave averaged) PV of a water parcel within the beam, allowing the parcel to have a persistent equatorward drift across PV contours. This can be viewed as a wave-induced Sverdrup transport; by continuity and by virtue of the westward group velocity of long Rossby waves, this Lagrangian-mean meridional flow requires a Lagrangian-mean zonal flow within and to the west of the beam, with a meridional structure consistent with the three strongest EICS currents. This mechanism of EICS formation is active in some ocean general circulation models; its importance in the ocean remains to be evaluated.</t>
  </si>
  <si>
    <t>[Ascani, Francois; Firing, Eric; McCreary, Julian P.] Univ Hawaii Manoa, Dept Oceanog, Honolulu, HI 96822 USA; [Dutrieux, Pierre] British Antarctic Survey, Div Phys Sci, Cambridge CB3 0ET, England; [McCreary, Julian P.] Univ Hawaii Manoa, Int Pacific Res Ctr, Honolulu, HI 96822 USA; [Ishida, Akio] JAMSTEC, Res Inst Global Change, Yokosuka, Kanagawa, Japan; [Ishida, Akio] JAMSTEC, Inst Observat Res Global Change, Yokosuka, Kanagawa, Japan</t>
  </si>
  <si>
    <t>University of Hawaii System; University of Hawaii Manoa; UK Research &amp; Innovation (UKRI); Natural Environment Research Council (NERC); NERC British Antarctic Survey; University of Hawaii System; University of Hawaii Manoa; Japan Agency for Marine-Earth Science &amp; Technology (JAMSTEC); Japan Agency for Marine-Earth Science &amp; Technology (JAMSTEC)</t>
  </si>
  <si>
    <t>Ascani, F (corresponding author), Univ Hawaii Manoa, Dept Oceanog, 1000 Pope Rd, Honolulu, HI 96822 USA.</t>
  </si>
  <si>
    <t>fascani@hawaii.edu</t>
  </si>
  <si>
    <t>Dutrieux, Pierre/GVS-2890-2022</t>
  </si>
  <si>
    <t>Dutrieux, Pierre/0000-0002-8066-934X; Firing, Eric/0000-0002-7745-6888</t>
  </si>
  <si>
    <t>National Science Foundation (NSF) [OCE0327334, OCE0550857]; Japan Agency for Marine-Earth Science and Technology (JAMSTEC) through International Pacific Research Center (IPRC); NERC [bas0100028] Funding Source: UKRI; Natural Environment Research Council [bas0100028] Funding Source: researchfish</t>
  </si>
  <si>
    <t>National Science Foundation (NSF)(National Science Foundation (NSF)); Japan Agency for Marine-Earth Science and Technology (JAMSTEC) through International Pacific Research Center (IPRC); NERC(UK Research &amp; Innovation (UKRI)Natural Environment Research Council (NERC)); Natural Environment Research Council(UK Research &amp; Innovation (UKRI)Natural Environment Research Council (NERC))</t>
  </si>
  <si>
    <t>F. Ascani and Eric Firing gratefully acknowledge the support of the National Science Foundation (NSF) through Grant OCE0327334. P. Dutrieux also acknowledges the support of NSF through Grant OCE0550857. J.P. McCreary is supported by the Japan Agency for Marine-Earth Science and Technology (JAMSTEC) through its sponsorship of the International Pacific Research Center (IPRC). This study uses the YoMaHa'07 (Lebedev et al. 2007) dataset of velocities derived from ARGO float trajectories provided by APDRC/IPRC. The I98 model simulation was conducted on the NEC SX computer of JAMSTEC. The OFES simulation was conducted on the Earth Simulator under the support of JAMSTEC. We also thank the IPRC for their computer facilities as well as the staff for their technical support. Thanks to R. H. Weisberg and L. Bunge for sharing their deep velocity measurements of the Pacific and Atlantic Oceans. Many thanks also to D. Moore, D. S. Luther, R. Furue, A. Natarov, and R. Lukas for enlightening comments throughout the preparation of this manuscript. Finally, we would like to acknowledge the reviewers for their comments; we are particularly grateful to one reviewer for pointing out the relevance of wave breaking and for clarifying some subtleties of the generalized Lagrangian-mean theory.</t>
  </si>
  <si>
    <t>10.1175/2010JPO4356.1</t>
  </si>
  <si>
    <t>WOS:000277731900017</t>
  </si>
  <si>
    <t>Hibbert, FD; Austin, WEN; Lenc, MJ; Gatliff, RW</t>
  </si>
  <si>
    <t>Hibbert, Fiona D.; Austin, William E. N.; Lenc, Melanie J.; Gatliff, Robert W.</t>
  </si>
  <si>
    <t>British Ice Sheet dynamics inferred from North Atlantic ice-rafted debris records spanning the last 175 000 years</t>
  </si>
  <si>
    <t>British Ice Sheet; ice-rafted debris (IRD); northeast Atlantic; chronostratigraphy; benthic and planktonic foraminifera</t>
  </si>
  <si>
    <t>SEA-LEVEL CHANGE; HEINRICH EVENTS; BARRA-FAN; GLACIAL MAXIMUM; CLIMATE-CHANGE; RAPID CHANGES; THERMOHALINE CIRCULATION; INTERGLACIAL WARMTH; ATMOSPHERIC METHANE; ICEBERG DISCHARGES</t>
  </si>
  <si>
    <t>Sediment core MD04-2822 from the Rockall Trough, northeast Atlantic, provides lithological evidence for the expansion of the British Ice Sheet (BIS) onto the Hebridean margin during both the penultimate (Marine Isotope Stage (MIS) 6/Wolstonian/Saalian) and last glaciation (Devensian/Weichselian). A composite chronology is constructed using: (i) the benthic foraminiferal oxygen isotope record, matched to an orbitally tuned stacked record of global ice volume (SPECMAP); (ii) the synchronisation of the planktonic foraminiferal (Neogloboquadrina pachyderma (sinistral)) and ITRAX XRF Ca records to the Greenland ice core (NGRIP) back to ca. 123 ka; and (iii) the synchronisation of the same N. pachyderma (sinistral)) and ITRAX XRF Ca records to the atmospheric methane record of the Antarctic ice core (EPICA Dome C) beyond 123 ka. The first offshore evidence for the expansion of the last BIS within MIS 4 is presented, suggesting extensive glaciation of northwestern Britain during the Devensian/Weichselian as early as 70 ka. The proximity of this long sediment core to the glaciated margin of northwestern Scotland makes it ideal to capture the ice-rafted debris (IRD) signal of the BIS for the last 175 ka, via a continuous flux record of IRD. British Geological Survey (C) NERC 2009. All rights reserved.</t>
  </si>
  <si>
    <t>[Hibbert, Fiona D.; Austin, William E. N.] Univ St Andrews, Sch Geog &amp; Geosci, St Andrews KY16 9AL, Fife, Scotland; [Lenc, Melanie J.] British Geol Survey, NERC Isotope Geosci Lab, Nottingham NG12 5GG, England; [Gatliff, Robert W.] British Geol Survey, Edinburgh, Midlothian, Scotland</t>
  </si>
  <si>
    <t>University of St Andrews; UK Research &amp; Innovation (UKRI); Natural Environment Research Council (NERC); NERC British Geological Survey; UK Research &amp; Innovation (UKRI); Natural Environment Research Council (NERC); NERC British Geological Survey</t>
  </si>
  <si>
    <t>Hibbert, FD (corresponding author), Univ St Andrews, Sch Geog &amp; Geosci, St Andrews KY16 9AL, Fife, Scotland.</t>
  </si>
  <si>
    <t>fh17@st-andrews.ac.uk</t>
  </si>
  <si>
    <t>Hibbert, Fiona/ABA-8606-2021</t>
  </si>
  <si>
    <t>Hibbert, Fiona/0000-0002-3686-6514; Leng, Melanie/0000-0003-1115-5166</t>
  </si>
  <si>
    <t>British Geological Survey; University of St Andrews; Natural Environment Research Council [bgs05009, bosc01001, nigl010001, NE/D012279/1] Funding Source: researchfish; NERC [NE/D012279/1, bgs05009, nigl010001, bosc01001] Funding Source: UKRI</t>
  </si>
  <si>
    <t>British Geological Survey; University of St Andrews; Natural Environment Research Council(UK Research &amp; Innovation (UKRI)Natural Environment Research Council (NERC)); NERC(UK Research &amp; Innovation (UKRI)Natural Environment Research Council (NERC))</t>
  </si>
  <si>
    <t>FDH acknowledges the financial support of the British Geological Survey and the University of St Andrews. We thank the captain and crew of the RV Marion Dufresne for their assistance in recovering core MD04-2822. We thank NERC for facility support via RCL (allocation numbers 1220.0407 and 1276.0408) and NIGL (IP898/0506). We are also grateful for the valuable contributions of Hilary Sloane at NIGL and Richard Holmes at BGS (Edinburgh). Hans Petter Sejrup and Jonathan Lee are thanked for their constructive reviews of the original manuscript.</t>
  </si>
  <si>
    <t>10.1002/jqs.1331</t>
  </si>
  <si>
    <t>596HB</t>
  </si>
  <si>
    <t>WOS:000277674700006</t>
  </si>
  <si>
    <t>Golledge, NR</t>
  </si>
  <si>
    <t>Golledge, Nicholas R.</t>
  </si>
  <si>
    <t>Glaciation of Scotland during the Younger Dryas stadial: a review</t>
  </si>
  <si>
    <t>Younger Dryas; Loch Lomond stadial; glaciation; palaeoclimate; Scotland</t>
  </si>
  <si>
    <t>LOCH-LOMOND-READVANCE; WESTERN SCOTTISH HIGHLANDS; NORTH-ATLANTIC REGION; ABRUPT CLIMATE-CHANGE; ICE-SHEET; HUMMOCKY MORAINE; COSMOGENIC BE-10; LAKE AGASSIZ; FENNOSCANDIAN GLACIATION; GLACIER RECONSTRUCTION</t>
  </si>
  <si>
    <t>Considerable research effort in recent years has refined our knowledge of the landforms and sedimentary sequences generated by glaciers of the last cold episode in Scotland, the Younger Dryas, and the chronology of their formation. These recent advances have benefited from new technologies such as high-resolution digital terrain models, numerical ice sheet simulations and cosmic ray surface exposure dating. This review presents a summary of recent Younger Dryas research in Scotland, particularly focusing on studies from the last two decades. The findings of these investigations are compared with those of earlier workers and, critically, are appraised in terms of their relevance to five key aspects of Younger Dryas glaciation: growth of the ice cap, its geometry, dynamics, mode of decay and likely stadial climate. Minor differences aside, the consensus view appears to favour a relatively thick but areally restricted central ice cap surrounded by satellite ice fields. At its centre, the ice cap was probably thickest during the first 500 years of the stadial, after which it most likely thinned as the climate became increasingly arid. Outlet glaciers were dynamic only in marginal areas, where they produced abundant moraine sequences during deglaciation, but throughout much of the stadial central areas of the ice cap effected only minimal landscape modification. Deglaciation took place by active retreat under a rapidly warming climate. Overall, the stadial was dominated by much colder and drier conditions than present, and probably experienced greater intra-annual temperature ranges. Copyright (C) 2009 John Wiley &amp; Sons, Ltd.</t>
  </si>
  <si>
    <t>Victoria Univ Wellington, Antarctic Res Ctr, Wellington, New Zealand</t>
  </si>
  <si>
    <t>Victoria University Wellington</t>
  </si>
  <si>
    <t>Golledge, NR (corresponding author), Victoria Univ Wellington, Antarctic Res Ctr, Wellington, New Zealand.</t>
  </si>
  <si>
    <t>Golledge, Nicholas/0000-0001-7676-8970</t>
  </si>
  <si>
    <t>BGS</t>
  </si>
  <si>
    <t>Martin Smith and BGS Training are gratefully acknowledged for supporting the work, which has also benefited significantly from useful discussions with numerous BGS colleagues both in the field and elsewhere. David Sugden provided much valued constructive criticism, and entertained wide-ranging discussions, on many aspects of the research from which this paper derives. Constructive comments from Toni Bradwell, Doug Berm, John Lowe and the Editor significantly improved the paper.</t>
  </si>
  <si>
    <t>10.1002/jqs.1319</t>
  </si>
  <si>
    <t>WOS:000277674700011</t>
  </si>
  <si>
    <t>Xavier, JC; Cherel, Y; Assis, CA; Sendao, J; Borges, TC</t>
  </si>
  <si>
    <t>Xavier, Jose C.; Cherel, Yves; Assis, Carlos A.; Sendao, Joao; Borges, Teresa C.</t>
  </si>
  <si>
    <t>Feeding ecology of conger eels (Conger conger) in north-east Atlantic waters</t>
  </si>
  <si>
    <t>trophic interactions; diet; conger eels; north-east Atlantic; fisheries</t>
  </si>
  <si>
    <t>DIET; FOOD; PORTUGAL; DISCARDS; ALGARVE; FISHERY; HABITS; AZORES</t>
  </si>
  <si>
    <t>In order to understand how marine ecosystems function, it is essential to study the trophic interactions among the community members, particularly from poorly known regions. In this study, the feeding ecology and diet of conger eels, Conger conger, an abundant fish species with commercial interest, was examined in the north-east Atlantic, off Algarve (southern Portugal) between May 2005 and August 2006. The diet was characterized by species composition, size and mass of prey. Conger eels are opportunistic feeders, cannibalistic, feeding on benthopelagic/pelagic prey (67% by mass and 71% by number) but also benthic prey (32% by mass and 29% by number). Fish (67.8 +/- 4.7% in mass) are the main prey of conger eels, followed by cephalopods (16.5 +/- 3.8%) and crustaceans (15.6 +/- 3.7%). The most numerous (identifiable) fish consumed were Capros aper, occurring in 90% of the stomach samples that contained food and representing 1.4% in mass, and Scomber japonicus, the most important fish in mass (21.1%), which occurred in 4.2% of the stomach samples that contained food. The present study shows that octopodids can play a more important role in the diet of conger eels than previously thought. Of the species preyed upon by conger eels, six species (21% of the total prey taxa) are caught commercially (Trachurus trachurus, Scomber japonicus, Micromesistius poutassou, Helicolenus dactylopterus and Conger conger) by local fisheries. As discards by local trawl and longline fisheries do not correspond with the diet of C. conger, it is likely that most prey of C. conger in rocky areas were caught actively in that study region.</t>
  </si>
  <si>
    <t>[Xavier, Jose C.; Sendao, Joao; Borges, Teresa C.] Univ Algarve, Ctr Marine Sci CCMAR, Fac Marine &amp; Environm Sci FCMA, P-8000139 Faro, Portugal; [Xavier, Jose C.; Cherel, Yves] CNRS, Ctr Etudes Biol Chize, UPR 1934, F-79360 Villiers En Bois, France; [Assis, Carlos A.] Univ Lisbon, Fac Sci, Dept Anim Biol, P-1749016 Lisbon, Portugal; [Assis, Carlos A.] Univ Lisbon, Inst Oceanog, P-1749016 Lisbon, Portugal</t>
  </si>
  <si>
    <t>Universidade do Algarve; Centre National de la Recherche Scientifique (CNRS); Universidade de Lisboa; Universidade de Lisboa</t>
  </si>
  <si>
    <t>Xavier, JC (corresponding author), Univ Coimbra, Inst Marine Res, P-3004517 Coimbra, Portugal.</t>
  </si>
  <si>
    <t>JCCX@cantab.net</t>
  </si>
  <si>
    <t>da Silva Assis, Carlos António/J-2302-2012; Xavier, José/KFB-6739-2024; Borges, Teresa Cerveira/M-3388-2013</t>
  </si>
  <si>
    <t>da Silva Assis, Carlos António/0000-0001-5352-2978; /0000-0002-9621-6660; Borges, Teresa Cerveira/0000-0002-6414-0083</t>
  </si>
  <si>
    <t>Foundation for Science and Technology, Portugal</t>
  </si>
  <si>
    <t>Foundation for Science and Technology, Portugal(Fundacao para a Ciencia e a Tecnologia (FCT))</t>
  </si>
  <si>
    <t>The authors extend their warmest thanks to all the fishermen, and the Captains Francisco Diogo and Ilidio Diogo of the fishing vessel 'Branca de Sagres'. Dr Simeon Hill (British Antarctic Survey) and Graham Pilling (Cefas) for discussions and comments on an earlier draft. This research was supported by the Foundation for Science and Technology, Portugal.</t>
  </si>
  <si>
    <t>10.1017/S0025315409990555</t>
  </si>
  <si>
    <t>609GO</t>
  </si>
  <si>
    <t>WOS:000278644200008</t>
  </si>
  <si>
    <t>Kieneke, A</t>
  </si>
  <si>
    <t>Kieneke, Alexander</t>
  </si>
  <si>
    <t>A new species of Thaumastoderma (Gastrotricha: Macrodasyida) from the Antarctic deep sea with a phylogenetic analysis of the whole genus</t>
  </si>
  <si>
    <t>Thaumastoderma antarctica sp nov.; marine Gastrotricha; Andeep 1 cruise; phylogeny</t>
  </si>
  <si>
    <t>MORPHOLOGICAL CHARACTERS; HARPACTICOIDA; ANCORABOLIDAE; ATLANTIC; COPEPODA; OCEAN; COMMUNITIES; SUPPORT; LIMITS</t>
  </si>
  <si>
    <t>A new species of the marine gastrotrich taxon Thaumastoderma is described. A single specimen of this species, Thaumastoderma antarctica sp. nov., was extracted from silty sediment sampled at one station of the Andeep-1 cruise, about 150 km to the north of the South Shetland Islands (Drake Passage, South Atlantic Ocean). This paper provides the first record of this genus from the deep sea and the second description of a macrodasyid gastrotrich living in an abyssal habitat. The new species is characterized by several apomorphic features, among them a caudal pair of strongly elongated dorsal cirrata tubes. A phylogenetic analysis of the genus Thaumastoderma reveals that Th. antarctica is closely related to Th. coronarium and Th. appendiculatum. Furthermore, the analysis offers an evolutionary scenario and a hypothesis for the internal phylogeny of this taxon while supporting its monophyly. It is the first time a cladistic analysis has been conducted for a delimited group of gastrotrichs, i.e. for all known members of a genus.</t>
  </si>
  <si>
    <t>[Kieneke, Alexander] German Ctr Marine Biodivers Res DZMB, Forsch Inst, D-26382 Wilhelmshaven, Germany; [Kieneke, Alexander] German Ctr Marine Biodivers Res DZMB, Nat Museum Senckenberg, D-26382 Wilhelmshaven, Germany</t>
  </si>
  <si>
    <t>Senckenberg Gesellschaft fur Naturforschung (SGN)</t>
  </si>
  <si>
    <t>Kieneke, A (corresponding author), German Ctr Marine Biodivers Res DZMB, Forsch Inst, Sudstrand 44, D-26382 Wilhelmshaven, Germany.</t>
  </si>
  <si>
    <t>akieneke@senckenberg.de</t>
  </si>
  <si>
    <t>10.1017/S002531540900085X</t>
  </si>
  <si>
    <t>WOS:000278644200018</t>
  </si>
  <si>
    <t>Collins, MA; Laptikhovsky, V; Strugnell, JM</t>
  </si>
  <si>
    <t>Collins, Martin A.; Laptikhovsky, Vladimir; Strugnell, Jan M.</t>
  </si>
  <si>
    <t>Expanded description of Opisthoteuthis hardyi based on new specimens from the Patagonian slope</t>
  </si>
  <si>
    <t>cirrate; Cirrata; reproduction; South-western Atlantic; octopod; Octopoda</t>
  </si>
  <si>
    <t>CIRRATE OCTOPODS; ATLANTIC-OCEAN; CEPHALOPODA; MOLLUSCA; SYSTEMATICS; BIOLOGY; REDESCRIPTION; BEHAVIOR; ECOLOGY</t>
  </si>
  <si>
    <t>Opisthoteuthis hardyi was originally described from a single male specimen caught near Shag Rocks (north-west of South Georgia) and no further specimens have been attributed to this species. During research fishing on the Patagonian slope to the south-east of the Falkland Islands 33 specimens of Opisthoteuthis were caught at depths ranging from 630 to 1391 m. Morphological measurements indicated that these specimens were conspecific to the holotype of O. hardyi. The mitochondria! gene 16S rDNA was sequenced from two of these specimens and compared with a published sequence of the holotype and other Opisthoteuthidae to confirm the morphological data. This extends the geographical and bathymetric range of the species, which spans the Antarctic Polar Front. We also expand the original description, providing details of the digestive system and of the female reproductive system, with preliminary estimates of fecundity.</t>
  </si>
  <si>
    <t>[Collins, Martin A.] GSGSSI, Stanley, England; [Laptikhovsky, Vladimir] FIPASS, Falkland Isl Govt Fisheries Dept, Stanley FIQQ 1ZZ, England; [Strugnell, Jan M.] Univ Cambridge, Dept Zool, Cambridge CB2 3EJ, England</t>
  </si>
  <si>
    <t>Collins, MA (corresponding author), GSGSSI, Govt House, Stanley, England.</t>
  </si>
  <si>
    <t>dof@gov.gs</t>
  </si>
  <si>
    <t>Strugnell, Jan M/P-9921-2016; , Martin/ABE-6728-2020; Collins, Martin A/J-8560-2017</t>
  </si>
  <si>
    <t>, Martin/0000-0001-7132-8650; Strugnell, Jan/0000-0003-2994-637X</t>
  </si>
  <si>
    <t>10.1017/S0025315409000988</t>
  </si>
  <si>
    <t>WOS:000278644200021</t>
  </si>
  <si>
    <t>Alderkamp, AC; de Baar, HJW; Visser, RJW; Arrigo, KR</t>
  </si>
  <si>
    <t>Alderkamp, Anne-Carlijn; de Baar, Hein J. W.; Visser, Ronald J. W.; Arrigo, Kevin R.</t>
  </si>
  <si>
    <t>Can photoinhibition control phytoplankton abundance in deeply mixed water columns of the Southern Ocean?</t>
  </si>
  <si>
    <t>UV-B RADIATION; CHLOROPHYLL FLUORESCENCE; PHOTOSYSTEM-II; D1 PROTEIN; PHAEOCYSTIS-ANTARCTICA; ULTRAVIOLET-RADIATION; XANTHOPHYLL CYCLE; IRON LIMITATION; LIGHT; PHOTOPROTECTION</t>
  </si>
  <si>
    <t>To study how natural Southern Ocean phytoplankton communities acclimate to rapid fluctuations in irradiance levels that result from deep wind-driven mixing of the upper water column, we measured their fluorescence properties (Fv : Fm, maximum quantum yield of photosystem II; and qN, non-photochemical quenching) and pigment composition. Values of Fv : Fm were low (&lt;0.46) and qN was high (&gt;0.67) throughout the upper mixed layer (UML). Short-term (20-min) exposure to incident surface irradiance strongly reduced Fv : Fm and recovery was slow under subsequent incubation at low irradiance. This suggests that phytoplankton cells are frequently photodamaged when mixed up to the surface from depth. Recovery of Fv : Fm was suppressed when lincomycin was added, inhibiting synthesis of the photosystem II reaction center D1 protein. This indicates that D1 protein repair is crucial in maintaining photosynthetic performance under fluctuating irradiance levels. Regions within the Antarctic Circumpolar Current (ACC) with a deep UML had lower depth-integrated phytoplankton biomass than regions close to the Antarctic continent with a shallow UML. Surprisingly, the depth-averaged light level within the UML in these latter regions was lower than in the ACC. Thus, it appears that photodamage incurred during the high irradiance portion of the vertical mixing cycle, rather than light limitation, controls phytoplankton growth in regions of the Southern Ocean with a deep UML. This concept represents a shift from the widely accepted paradigm that phytoplankton growth in the open Southern Ocean is limited by low levels of light or inadequate iron supply.</t>
  </si>
  <si>
    <t>[Alderkamp, Anne-Carlijn; Arrigo, Kevin R.] Stanford Univ, Dept Environm Earth Syst Sci, Stanford, CA 94305 USA; [Alderkamp, Anne-Carlijn; de Baar, Hein J. W.; Visser, Ronald J. W.] Univ Groningen, Dept Ocean Ecosyst, Energy &amp; Sustainabil Res Inst Groningen, Haren, Netherlands; [de Baar, Hein J. W.] Royal Netherlands Inst Sea Res, Texel, Netherlands</t>
  </si>
  <si>
    <t>Stanford University; University of Groningen; Utrecht University; Royal Netherlands Institute for Sea Research (NIOZ)</t>
  </si>
  <si>
    <t>Alderkamp, AC (corresponding author), Stanford Univ, Dept Environm Earth Syst Sci, Stanford, CA 94305 USA.</t>
  </si>
  <si>
    <t>Alderkamp@Stanford.edu</t>
  </si>
  <si>
    <t>Arrigo, Kevin/0000-0002-7364-876X</t>
  </si>
  <si>
    <t>National Science Foundation [ANT-0732535]</t>
  </si>
  <si>
    <t>We thank the captain and crew of R/V Polarstern for their support, the cruise leader Eberhard Fahrbach, and all cruise participants for their help and sharing their data. This research was sponsored by the National Science Foundation DynaLiFe program (grant ANT-0732535) in the framework of the United States-International Polar Year program.</t>
  </si>
  <si>
    <t>10.4319/lo.2010.55.3.1248</t>
  </si>
  <si>
    <t>595YS</t>
  </si>
  <si>
    <t>WOS:000277650900023</t>
  </si>
  <si>
    <t>Petrou, K; Hill, R; Brown, CM; Campbell, DA; Doblin, MA; Ralph, PJ</t>
  </si>
  <si>
    <t>Petrou, Katherina; Hill, Ross; Brown, Christopher M.; Campbell, Douglas A.; Doblin, Martina A.; Ralph, Peter J.</t>
  </si>
  <si>
    <t>Rapid photoprotection in sea-ice diatoms from the East Antarctic pack ice</t>
  </si>
  <si>
    <t>PHOTOSYNTHESIS-IRRADIANCE RELATIONSHIPS; PHOTOSYSTEM-II; LOW-TEMPERATURE; ENERGY-DISSIPATION; PHOTOINHIBITION; ACCLIMATION; LIGHT; PHOTODAMAGE; MICROALGAE; DYNAMICS</t>
  </si>
  <si>
    <t>Photoinhibition and D1 protein re-synthesis were investigated in bottom-dwelling sea-ice microalgal communities from the East Antarctic pack ice during early spring. Bottom-dwelling sea-ice microalgal communities were dominated by diatoms that exhibited rapid photoprotection when exposed to a range of different light levels (10 mu mol photons m(-2) s(-1), 50 mu mol photons m(-2) s(-1), 100 mu mol photons m(-2) s(-1), and 200 mu mol photons m(-2) s(-1)). Photosynthetic capacity of photosystem II (PSII) dropped significantly over 3 h under 200 mu mol photons m(-2) s(-1), but largely recovered when placed in a low-light environment (10 mu mol photons m(-2) s(-1)) for an additional 3 h. PSII repair rates increased with increasing irradiance, and the D1-protein pool remained steady even under high light (200 mu mol photons m(-2) s(-1)). Sea-ice diatoms showed a low intrinsic susceptibility to photoinactivation of PSII across all the light treatments, and a strong and irradiance-dependent induction of nonphotochemical quenching, which did not depend upon chloroplast protein synthesis, was also seen. These highly plastic organisms, once thought to be adapted to shade, are in fact well equipped to withstand rapid and relatively large changes in light at low temperatures with minimal long-term effect on their photosynthetic machinery.</t>
  </si>
  <si>
    <t>[Petrou, Katherina; Hill, Ross; Doblin, Martina A.; Ralph, Peter J.] Univ Technol Sydney, Plant Funct Biol &amp; Climate Change Cluster, Sydney, NSW 2007, Australia; [Petrou, Katherina; Hill, Ross; Doblin, Martina A.; Ralph, Peter J.] Univ Technol Sydney, Dept Environm Sci, Sydney, NSW 2007, Australia; [Brown, Christopher M.; Campbell, Douglas A.] Mt Allison Univ, Dept Biol, Sackville, NB E0A 3C0, Canada</t>
  </si>
  <si>
    <t>University of Technology Sydney; University of Technology Sydney; Mount Allison University</t>
  </si>
  <si>
    <t>Hill, R (corresponding author), Univ Technol Sydney, Plant Funct Biol &amp; Climate Change Cluster, Sydney, NSW 2007, Australia.</t>
  </si>
  <si>
    <t>ross.hill@uts.edu.au</t>
  </si>
  <si>
    <t>Doblin, Martina/L-1804-2019; Campbell, Douglas A./B-3768-2010; Hill, Ross/E-6075-2013; Ralph, Peter/L-1527-2019</t>
  </si>
  <si>
    <t>Doblin, Martina/0000-0001-8750-3433; Campbell, Douglas A./0000-0001-8996-5463; Hill, Ross/0000-0002-4623-1563; Ralph, Peter/0000-0002-3103-7346; Petrou, Katherina/0000-0002-2703-0694</t>
  </si>
  <si>
    <t>Australian Antarctic Science [2752]; Australian Research Council [DP0773558]; Aquatic Photosynthesis Group and Department of Environmental Sciences, University of Technology, Sydney; National Research Council of Canada; Australian Postgraduate Award; Commonwealth Scientific and Industrial Research; Australian Research Council [DP0773558] Funding Source: Australian Research Council</t>
  </si>
  <si>
    <t>Australian Antarctic Science; Australian Research Council(Australian Research Council); Aquatic Photosynthesis Group and Department of Environmental Sciences, University of Technology, Sydney; National Research Council of Canada; Australian Postgraduate Award(Australian Government); Commonwealth Scientific and Industrial Research; Australian Research Council(Australian Research Council)</t>
  </si>
  <si>
    <t>This work was supported by an Australian Antarctic Science grant (2752) and Australian Research Council Discovery grant (DP0773558) awarded to Peter Ralph. Additional financial support was provided by the Aquatic Photosynthesis Group and Department of Environmental Sciences, University of Technology, Sydney, and the National Research Council of Canada Discovery supported Douglas Campbell and Christopher Brown. Katherina Petrou was supported by an Australian Postgraduate Award and the Commonwealth Scientific and Industrial Research Organisation top-up scholarship.</t>
  </si>
  <si>
    <t>10.4319/lo.2010.55.3.1400</t>
  </si>
  <si>
    <t>WOS:000277650900034</t>
  </si>
  <si>
    <t>Pauletti, PM; Cintra, LS; Braguine, CG; da Silva, AA; Silva, MLAE; Cunha, WR; Januário, AH</t>
  </si>
  <si>
    <t>Pauletti, Patricia Mendonca; Cintra, Lucas Silva; Braguine, Caio Guedes; da Silva Filho, Ademar Alves; Andrade e Silva, Marcio Luis; Cunha, Wilson Roberto; Januario, Ana Helena</t>
  </si>
  <si>
    <t>Halogenated Indole Alkaloids from Marine Invertebrates</t>
  </si>
  <si>
    <t>marine invertebrates; halogenated indole alkaloids; structure elucidation; bioactivity; C-13-NMR spectral data</t>
  </si>
  <si>
    <t>SPONGE KIRKPATRICKIA-VARIALOSA; APLYSINOPSIN-TYPE ALKALOIDS; PROTEIN-KINASE INHIBITORS; VARIOLIN-B; FAMILY DENDROPHYLLIIDAE; ANTARCTIC SPONGE; NATURAL-PRODUCTS; A-C; SCLERACTINIAN CORALS; IMIDAZOLE ALKALOIDS</t>
  </si>
  <si>
    <t>This review discusses the isolation, structural elucidation, and biological activities of halogenated indole alkaloids obtained from marine invertebrates. Meridianins and related compounds (variolins, psammopemmins, and aplicyanins), as well as aplysinopsins and leptoclinidamines, are focused on. A compilation of the C-13-NMR spectral data of these selected natural indole alkaloids is also provided.</t>
  </si>
  <si>
    <t>[Pauletti, Patricia Mendonca; Cintra, Lucas Silva; Braguine, Caio Guedes; da Silva Filho, Ademar Alves; Andrade e Silva, Marcio Luis; Cunha, Wilson Roberto; Januario, Ana Helena] Univ Franca, Nucleo Pesquisas Ciencias Exatas &amp; Tecnol, BR-14404600 Sao Paulo, Brazil</t>
  </si>
  <si>
    <t>Universidad de Franca</t>
  </si>
  <si>
    <t>Januário, AH (corresponding author), Univ Franca, Nucleo Pesquisas Ciencias Exatas &amp; Tecnol, Av Dr Armando Salles de Oliveira 201, BR-14404600 Sao Paulo, Brazil.</t>
  </si>
  <si>
    <t>pmpauletti@unifran.br; lscintra@uol.com.br; caiobraguine@aluno.unifran.br; ademar@unifran.br; mlasilva@unifran.br; wrcunha@unifran.br; anahjanuario@unifran.br</t>
  </si>
  <si>
    <t>Januario, Ana Helena/U-2283-2019; Januario, Ana Helena AH/G-9375-2012; Cunha, Wilson R/G-4495-2012; Andrade e Silva, Márcio Luís/AAR-1635-2020; Silva, Marcio/B-8134-2012; DA SILVA FILHO, ADEMAR/GWM-6038-2022; Da Silva Filho, Ademar Alves/K-4076-2012; Pauletti, Patricia Mendonca/F-9815-2012</t>
  </si>
  <si>
    <t>Januario, Ana Helena/0000-0002-3815-6903; Januario, Ana Helena AH/0000-0002-3815-6903; Cunha, Wilson R/0000-0002-1952-1944; Andrade e Silva, Márcio Luís/0000-0002-9442-4757; Silva, Marcio/0000-0002-9442-4757; Da Silva Filho, Ademar Alves/0000-0002-9096-1336; Pauletti, Patricia Mendonca/0000-0003-1831-0050</t>
  </si>
  <si>
    <t>CNPq (The National Council for Scientific and Technological Development); FAPESP (Sao Paulo Research Foundation)</t>
  </si>
  <si>
    <t>CNPq (The National Council for Scientific and Technological Development)(Conselho Nacional de Desenvolvimento Cientifico e Tecnologico (CNPQ)); FAPESP (Sao Paulo Research Foundation)(Fundacao de Amparo a Pesquisa do Estado de Sao Paulo (FAPESP))</t>
  </si>
  <si>
    <t>CNPq (The National Council for Scientific and Technological Development) is acknowledged for Research Productivity Fellowships granted to A. A. S. F., M. L. A. S., W. R. C. and A.H.J. C. G. B. and L. S. C. were supported by FAPESP (Sao Paulo Research Foundation) scholarships.</t>
  </si>
  <si>
    <t>10.3390/md8051526</t>
  </si>
  <si>
    <t>601VD</t>
  </si>
  <si>
    <t>WOS:000278092400003</t>
  </si>
  <si>
    <t>Iliff, M</t>
  </si>
  <si>
    <t>Iliff, Mike</t>
  </si>
  <si>
    <t>The Hogarth initiative on the future of the International Whaling Commission</t>
  </si>
  <si>
    <t>MARINE POLICY</t>
  </si>
  <si>
    <t>Whaling; International Whaling Commission</t>
  </si>
  <si>
    <t>Dr Bill Hogarth of the USA was the Chairman of the International Whaling Commission from 2006 to 2009. In a typical masterpiece of understatement, at the beginning of his term, he launched an initiative to reform the IWC with the words it would be useful for the Commission to have a general discussion concerning the future of the IWC, given...the number of issues for which polarisation rather than consensus appears to be the norm. This paper follows his initiative through three annual, and two intersessional meetings of the IWC, commenting on the major issues and events as well as the actions of the main players. It concludes with an analysis of the results of the initiative, and makes some predictions for the future of the IWC. (C) 2009 Elsevier Ltd. All rights reserved.</t>
  </si>
  <si>
    <t>Iliff, M (corresponding author), Univ Tasmania, Inst Antarctic &amp; So Ocean Studies, Hobart, Tas 7001, Australia.</t>
  </si>
  <si>
    <t>msiliff@utas.edu.au</t>
  </si>
  <si>
    <t>0308-597X</t>
  </si>
  <si>
    <t>MAR POLICY</t>
  </si>
  <si>
    <t>Mar. Pol.</t>
  </si>
  <si>
    <t>10.1016/j.marpol.2009.08.004</t>
  </si>
  <si>
    <t>Environmental Studies; International Relations</t>
  </si>
  <si>
    <t>Environmental Sciences &amp; Ecology; International Relations</t>
  </si>
  <si>
    <t>572OQ</t>
  </si>
  <si>
    <t>WOS:000275842800002</t>
  </si>
  <si>
    <t>Contemporary initiatives on the future of the International Whaling Commission</t>
  </si>
  <si>
    <t>International Whaling Commission; Whaling</t>
  </si>
  <si>
    <t>In his term as Chairman of the International Whaling Commission between 2006 and 2009, Dr BillHogarth championed a process for finding a way forward for the IWC. In parallel with, and in places intertwined with the Hogarth Initiative, a number of other initiatives attempting to move the IWC forward have been proposed by a range of stakeholders; both governments and NGOs. This paper traces the more important suggestions, commenting on their likelihood of success. (C) 2009 Elsevier Ltd. All rights reserved.</t>
  </si>
  <si>
    <t>10.1016/j.marpol.2009.09.013</t>
  </si>
  <si>
    <t>WOS:000275842800015</t>
  </si>
  <si>
    <t>Bogard, DD; Dixon, ET; Garrison, DH</t>
  </si>
  <si>
    <t>Bogard, Donald D.; Dixon, Eleanor T.; Garrison, Daniel H.</t>
  </si>
  <si>
    <t>Ar-Ar ages and thermal histories of enstatite meteorites</t>
  </si>
  <si>
    <t>I-XE; RUBIDIUM-STRONTIUM; ACAPULCO METEORITE; SYSTEMATIC-ERRORS; IRON-METEORITES; 40AR/39AR AGE; IMPACT AGES; L-CHONDRITE; PARENT; PLAGIOCLASE</t>
  </si>
  <si>
    <t>Compared with ordinary chondrites, there is a relative paucity of chronological and other data to define the early thermal histories of enstatite parent bodies. In this study, we report 39Ar-40Ar dating results for five EL chondrites: Khairpur, Pillistfer, Hvittis, Blithfield, and Forrest; five EH chondrites: Parsa, Saint Marks, Indarch, Bethune, and Reckling Peak 80259; three igneous-textured enstatite meteorites that represent impact melts on enstatite chondrite parent bodies: Zaklodzie, Queen Alexandra Range 97348, and Queen Alexandra Range 97289; and three aubrites, Norton County, Bishopville, and Cumberland Falls Several Ar-Ar age spectra show unusual 39Ar recoil effects, possibly the result of some of the K residing in unusual sulfide minerals, such as djerfisherite and rodderite, and other age spectra show 40Ar diffusion loss. Few additional Ar-Ar ages for enstatite meteorites are available in the literature. When all available Ar-Ar data on enstatite meteorites are considered, preferred ages of nine chondrites and one aubrite show a range of 4.50-4.54 Ga, whereas five other meteorites show only lower age limits over 4.35-4.46 Ga. Ar-Ar ages of several enstatite chondrites are as old or older as the oldest Ar-Ar ages of ordinary chondrites, which suggests that enstatite chondrites may have derived from somewhat smaller parent bodies, or were metamorphosed to lower temperatures compared to other chondrite types. Many enstatite meteorites are brecciated and/or shocked, and some of the younger Ar-Ar ages may record these impact events. Although impact heating of ordinary chondrites within the last 1 Ga is relatively common for ordinary chondrites, only Bethune gives any significant evidence for such a young event.</t>
  </si>
  <si>
    <t>[Bogard, Donald D.] NASA, Lyndon B Johnson Space Ctr, ARES Code KR, Houston, TX 77058 USA; [Dixon, Eleanor T.] US DOE, Natl Nucl Secur Adm, Washington, DC 20585 USA; [Garrison, Daniel H.] Barrios Technol JE23, Houston, TX 77058 USA</t>
  </si>
  <si>
    <t>National Aeronautics &amp; Space Administration (NASA); NASA Johnson Space Center; United States Department of Energy (DOE)</t>
  </si>
  <si>
    <t>Bogard, DD (corresponding author), NASA, Lyndon B Johnson Space Ctr, ARES Code KR, Houston, TX 77058 USA.</t>
  </si>
  <si>
    <t>donbogard@comcast.net</t>
  </si>
  <si>
    <t>NASA's Cosmochemistry Program; National Research Council</t>
  </si>
  <si>
    <t>NASA's Cosmochemistry Program(National Aeronautics &amp; Space Administration (NASA)); National Research Council</t>
  </si>
  <si>
    <t>We appreciate helpful review comments by A. Rubin, M. Trieloff, and T. Swindle. For furnishing samples, we thank E. Olsen of the Chicago Field Museum of Natural history, C. Moore of the Arizona State Center for Meteorite Studies, R. Hutchison of the British Museum of Natural History, T. McCoy of the Smithsonian Institution, K. Keil and colleagues at the University of Hawaii, A. Reid and the University of Cape Town, and the U.S. Antarctic Meteorite Program. This research was supported by NASA's Cosmochemistry Program. ETD acknowledges support from the National Research Council for a NASA postdoctoral fellowship.</t>
  </si>
  <si>
    <t>10.1111/j.1945-5100.2010.01060.x</t>
  </si>
  <si>
    <t>648TB</t>
  </si>
  <si>
    <t>WOS:000281715900002</t>
  </si>
  <si>
    <t>Yang, J; Smith, HG; Sherratt, TN; Wilkinson, DM</t>
  </si>
  <si>
    <t>Yang, Jun; Smith, Humphrey G.; Sherratt, Thomas N.; Wilkinson, David M.</t>
  </si>
  <si>
    <t>Is There a Size Limit for Cosmopolitan Distribution in Free-Living Microorganisms? A Biogeographical Analysis of Testate Amoebae from Polar Areas</t>
  </si>
  <si>
    <t>DWELLING TESTACEAN FAUNA; PROTIST DIVERSITY; PROTOZOA; COMMUNITIES; YUNNAN; WATER; ENVIRONMENT; RHIZOPODA; DISPERSAL; AMOEBOZOA</t>
  </si>
  <si>
    <t>A long-standing debate in microbial ecology is the extent to which free-living microorganisms exhibit cosmopolitan distributions. We use a comparison of testate amoebae communities in cold polar locations (Arctic, Antarctic, and Tibet) to investigate how a microorganism's size affects its probability of having a cosmopolitan distribution. We show that the probability a given taxa being reported in all three locations increases as testate size decreases. Likewise, excluding those testates found only in Tibet, very small testates (&lt; 20 mu m) are more likely to occur in both the Arctic and Antarctic than in either of these poles alone. Attempting to correct for phylogeny reduces the number of statistically significant relationships-both because of decreased sample size and potentially real phylogenetic patterns, although some size-dependent effects were still apparent. In particular, taxa found in both the Arctic and Antarctic poles were significantly smaller than congeneric taxa found only in Tibet. This pattern may in part be due to habitat effects, with the Tibetan samples being more likely to have come from aquatic sites which may be more suitable for larger taxa. Overall, our analysis suggests that, at least within testate amoebae, a cosmopolitan distribution becomes increasingly common as median taxon size decreases.</t>
  </si>
  <si>
    <t>[Wilkinson, David M.] Liverpool John Moores Univ, Sch Nat Sci &amp; Psychol, Liverpool L3 3AF, Merseyside, England; [Wilkinson, David M.] WSL Swiss Fed Inst Forest Snow &amp; Landscape Res, Ecosyst Boundaries Res Grp, CH-1015 Lausanne, Switzerland; [Wilkinson, David M.] Ecole Polytech Fed Lausanne, Lab Ecol Syst ECOS, CH-1015 Lausanne, Switzerland; [Yang, Jun] Chinese Acad Sci, Inst Urban Environm, Key Lab Urban Environm &amp; Hlth, Xiamen 361021, Peoples R China; [Smith, Humphrey G.] Coventry Univ, Coventry, W Midlands, England; [Sherratt, Thomas N.] Carleton Univ, Dept Biol, Ottawa, ON K1S 5B6, Canada</t>
  </si>
  <si>
    <t>Liverpool John Moores University; Swiss Federal Institutes of Technology Domain; Swiss Federal Institute for Forest, Snow &amp; Landscape Research; Swiss Federal Institutes of Technology Domain; Swiss Federal Institute for Forest, Snow &amp; Landscape Research; Ecole Polytechnique Federale de Lausanne; Chinese Academy of Sciences; Institute of Urban Environment, CAS; Coventry University; Carleton University</t>
  </si>
  <si>
    <t>Wilkinson, DM (corresponding author), Liverpool John Moores Univ, Sch Nat Sci &amp; Psychol, Byrom St, Liverpool L3 3AF, Merseyside, England.</t>
  </si>
  <si>
    <t>D.M.Wilkinson@ljmu.ac.uk</t>
  </si>
  <si>
    <t>CAS, KLUEH/T-5743-2019; YANG, Jun/J-2819-2014; Yang, Jun/E-6680-2011</t>
  </si>
  <si>
    <t>YANG, Jun/0000-0002-5069-507X; Yang, Jun/0000-0002-7920-2777</t>
  </si>
  <si>
    <t>Chinese Academy of Sciences [KZCX2-YW-Q02-04, KZCX2-YW-QN401]; Key Science and Technology Project of Fujian Province, China [2009Y0044]; China International Science and Technology Cooperation Program [2009DFB90120]; National Natural Science Foundation of China [30800097]</t>
  </si>
  <si>
    <t>Chinese Academy of Sciences(Chinese Academy of Sciences); Key Science and Technology Project of Fujian Province, China; China International Science and Technology Cooperation Program; National Natural Science Foundation of China(National Natural Science Foundation of China (NSFC))</t>
  </si>
  <si>
    <t>We thank Edward Mitchell and our referees for comments. The manuscript was completed while DW was on a sabbatical visit to WSL and EPFL in Switzerland-he thanks both organizations for their hospitality. JY was supported by the Knowledge Innovation Program of the Chinese Academy of Sciences (No. KZCX2-YW-Q02-04 and KZCX2-YW-QN401), the Key Science and Technology Project of Fujian Province, China (No. 2009Y0044), the China International Science and Technology Cooperation Program (No. 2009DFB90120), and the National Natural Science Foundation of China (No. 30800097).</t>
  </si>
  <si>
    <t>10.1007/s00248-009-9615-8</t>
  </si>
  <si>
    <t>605LP</t>
  </si>
  <si>
    <t>WOS:000278349400002</t>
  </si>
  <si>
    <t>Wong, FKY; Lau, MCY; Lacap, DC; Aitchison, JC; Cowan, DA; Pointing, SB</t>
  </si>
  <si>
    <t>Wong, Fiona K. Y.; Lau, Maggie C. Y.; Lacap, Donnabella C.; Aitchison, Jonathan C.; Cowan, Donald A.; Pointing, Stephen B.</t>
  </si>
  <si>
    <t>Endolithic Microbial Colonization of Limestone in a High-altitude Arid Environment</t>
  </si>
  <si>
    <t>COLD DESERTS; DRY VALLEYS; CYANOBACTERIA; COMMUNITIES; ANTARCTICA; DIVERSITY; ECOLOGY; SCALES; ALGAE; HOT</t>
  </si>
  <si>
    <t>The morphology of endolithic colonization in a limestone escarpment and surrounding rocky debris (termed float) at a high-altitude arid site in central Tibet was documented using scanning electron microscopy. Putative lichenized structures and extensive coccoid bacterial colonization were observed. Absolute and relative abundance of rRNA gene signatures using real-time quantitative polymerase chain reaction and phylogenetic analysis of environmental phylotypes were used to characterize community structure across all domains. Escarpment endoliths were dominated by eukaryotic phylotypes suggestive of lichenised associations (a Trebouxia lichen phycobiont and Leptodontidium lichen mycobiont), whereas float endoliths were dominated by bacterial phylotypes, including the cyanobacterium Chroococcidiopsis plus several unidentified beta proteobacteria and crenarchaea. Among a range of abiotic variables tested, ultraviolet (UV) transmittance by rock substrates was the factor best able to explain differences in community structure, with eukaryotic lichen phylotypes more abundant under conditions of greater UV-exposure compared to prokaryotes. Variously pigmented float rocks did not support significantly different communities. Estimates of in situ carbon fixation based upon (14)C radio-labelled bicarbonate uptake indicated endolithic productivity of approximately 2.01 g C/m(2)/year(-1), intermediate between estimates for Antarctic and temperate communities.</t>
  </si>
  <si>
    <t>[Wong, Fiona K. Y.; Lau, Maggie C. Y.; Lacap, Donnabella C.; Pointing, Stephen B.] Univ Hong Kong, Sch Biol Sci, Hong Kong, Hong Kong, Peoples R China; [Aitchison, Jonathan C.] Univ Hong Kong, Dept Earth Sci, Hong Kong, Hong Kong, Peoples R China; [Cowan, Donald A.] Univ Western Cape, Inst Microbial Biotechnol &amp; Metagenom, ZA-7535 Bellville, Cape Town, South Africa</t>
  </si>
  <si>
    <t>University of Hong Kong; University of Hong Kong; University of the Western Cape</t>
  </si>
  <si>
    <t>Pointing, SB (corresponding author), Univ Hong Kong, Sch Biol Sci, Pokfulam Rd, Hong Kong, Hong Kong, Peoples R China.</t>
  </si>
  <si>
    <t>pointing@hku.hk</t>
  </si>
  <si>
    <t>Cowan, Donald A/E-3991-2012; Aitchison, Jonathan/D-3046-2009; Pointing, Stephen/JHT-2500-2023</t>
  </si>
  <si>
    <t>Cowan, Donald A/0000-0001-8059-861X; Aitchison, Jonathan/0000-0002-3659-5849; Lau Vetter, Maggie C.Y./0000-0003-2812-9749</t>
  </si>
  <si>
    <t>Hong Kong Research Grants Council [HKU 7375/05M, HKU 7733/08M]; Stephen Hui Trust Fund</t>
  </si>
  <si>
    <t>Hong Kong Research Grants Council(Hong Kong Research Grants Council); Stephen Hui Trust Fund</t>
  </si>
  <si>
    <t>The authors are grateful to the Tibet Ministry of Geology for fieldwork assistance and to the Hong Kong Research Grants Council (grant numbers HKU 7375/05M and HKU 7733/08M) and Stephen Hui Trust Fund for financial support.</t>
  </si>
  <si>
    <t>10.1007/s00248-009-9607-8</t>
  </si>
  <si>
    <t>WOS:000278349400007</t>
  </si>
  <si>
    <t>Patel, S; Waugh, J; Millar, CD; Lambert, DM</t>
  </si>
  <si>
    <t>Patel, Selina; Waugh, John; Millar, Craig D.; Lambert, David M.</t>
  </si>
  <si>
    <t>Conserved primers for DNA barcoding historical and modern samples from New Zealand and Antarctic birds</t>
  </si>
  <si>
    <t>5'-tags; avian primers; COI; cox1; DNA barcoding; species identification</t>
  </si>
  <si>
    <t>TISSUE SAMPLES; MITOCHONDRIAL; IDENTIFY; DAMAGE</t>
  </si>
  <si>
    <t>Our ability to DNA barcode the birds of the world is based on the effective amplification and sequencing of a 648 base pair (bp) region of the mitochondrial cytochrome c oxidase (COI or cox1) gene. For many geographic regions the large numbers of vouchered specimens necessary for the construction of a DNA barcoding database have already been collected and are available in museums and other institutions. However, many of these specimens are old (&gt; 20 years) and are stored as either fixed study skins or dried skeletons. DNA extracted from such historical samples is typically degraded and, generally, only short DNA fragments can be recovered from such specimens making the recovery of the barcoding region as a single fragment difficult. We report two sets of conserved primers that allow the amplification of the entire DNA barcoding region in either three or five overlapping fragments. These primer sets allow the recovery of DNA barcodes from valuable historical specimens that in many cases are unique in that they are unable or unlikely to be collected again. We also report three new primers that in combination allow the effective amplification from modern samples of the entire DNA barcoding region as a single DNA fragment for 17 orders of Southern Hemisphere birds.</t>
  </si>
  <si>
    <t>[Waugh, John; Lambert, David M.] Massey Univ, Allan Wilson Ctr Mol Ecol &amp; Evolut, Auckland, New Zealand; [Patel, Selina; Millar, Craig D.] Univ Auckland, Allan Wilson Ctr Mol Ecol &amp; Evolut, Auckland 1, New Zealand; [Lambert, David M.] Griffith Univ, Griffith Sch Environm, Nathan, Qld 4111, Australia; [Lambert, David M.] Griffith Univ, Sch Biomol &amp; Phys Sci, Nathan, Qld 4111, Australia</t>
  </si>
  <si>
    <t>Massey University; Massey University; University of Auckland; Griffith University; Griffith University</t>
  </si>
  <si>
    <t>Lambert, DM (corresponding author), Massey Univ, Allan Wilson Ctr Mol Ecol &amp; Evolut, Private Bag 102 904 NSMC, Auckland, New Zealand.</t>
  </si>
  <si>
    <t>d.lambert@griffith.edu.au</t>
  </si>
  <si>
    <t>Lambert, David/0000-0002-5821-3637</t>
  </si>
  <si>
    <t>University of Auckland; Allan Wilson Centre for Molecular Ecology and Evolution</t>
  </si>
  <si>
    <t>Funding for this study was provided by the University of Auckland's Vice Chancellor's Development Fund and the Allan Wilson Centre for Molecular Ecology and Evolution. We would like to thank Leon Huynen for help with primer design and invaluable advice on ancient DNA techniques and also Judith Robins for allowing us to make use of the Department of Anthropology ancient DNA Laboratory at the University of Auckland. We would like to thank all the people who kindly donated samples to make this study possible and in particular Paul Scofield for providing us with all the historical specimens from Canterbury museum.</t>
  </si>
  <si>
    <t>10.1111/j.1755-0998.2009.02793.x</t>
  </si>
  <si>
    <t>579WI</t>
  </si>
  <si>
    <t>WOS:000276407300003</t>
  </si>
  <si>
    <t>Fukamachi, Y; Rintoul, SR; Church, JA; Aoki, S; Sokolov, S; Rosenberg, MA; Wakatsuchi, M</t>
  </si>
  <si>
    <t>Fukamachi, Y.; Rintoul, S. R.; Church, J. A.; Aoki, S.; Sokolov, S.; Rosenberg, M. A.; Wakatsuchi, M.</t>
  </si>
  <si>
    <t>Strong export of Antarctic Bottom Water east of the Kerguelen plateau</t>
  </si>
  <si>
    <t>WESTERN BOUNDARY CURRENT; DEEP; CIRCULATION; VARIABILITY; OCEAN; FLOW; TRANSPORT; MOC</t>
  </si>
  <si>
    <t>The primary paths for the transport of Antarctic Bottom Water from the Southern Ocean into the global ocean are the deep western boundary currents east of the Antarctic Peninsula and the Kerguelen plateau(1). Previous ship-based observations documented distinct water properties and velocities associated with a deep western boundary current in the Kerguelen region(2-7), but the mean flow is as yet unconstrained. Here we report measurements from a coherent array of eight current-meter moorings that reveal a narrow and intense equatorward flow extending throughout the water column just east of the Kerguelen plateau. Velocities averaged over two years exceed 20 cm s(-1) at depths of about 3,500 m, the strongest mean deep western boundary current flow yet observed at similar depths. We estimate the mean equatorward transport of water colder than 0 degrees C at 12.3 +/- 1.2 x 10(6) m(3) s(-1), partially compensated by poleward flow. We also estimate the net equatorward flow of water colder than 0.2 degrees C at about 8 x 10(6) m(3) s(-1), substantially higher than the 1.9 x 10(6) m(3) s(-1) reported from the boundary current that carries dense water from the Weddell Sea into the Atlantic Ocean north of the Falkland plateau(8). We conclude that the Kerguelen deep western boundary current is a significant pathway of the global ocean's deep overturning circulation.</t>
  </si>
  <si>
    <t>[Fukamachi, Y.; Aoki, S.; Wakatsuchi, M.] Hokkaido Univ, Inst Low Temp Sci, Sapporo, Hokkaido 0600819, Japan; [Rintoul, S. R.; Church, J. A.; Sokolov, S.] Ctr Australian Weather &amp; Climate Res, Hobart, Tas 7000, Australia; [Rintoul, S. R.; Church, J. A.; Sokolov, S.] Wealth Oceans Flagship, Hobart, Tas 7000, Australia; [Rintoul, S. R.; Church, J. A.; Sokolov, S.; Rosenberg, M. A.] Antarctic Climate &amp; Ecosyst Cooperat Res Ctr, Hobart, Tas 7001, Australia</t>
  </si>
  <si>
    <t>Hokkaido University; Commonwealth Scientific &amp; Industrial Research Organisation (CSIRO); Commonwealth Scientific &amp; Industrial Research Organisation (CSIRO); Antarctic Climate &amp; Ecosystems Cooperative Research Centre (ACE CRC)</t>
  </si>
  <si>
    <t>Fukamachi, Y (corresponding author), Hokkaido Univ, Inst Low Temp Sci, Sapporo, Hokkaido 0600819, Japan.</t>
  </si>
  <si>
    <t>yasuf@lowtem.hokudai.ac.jp</t>
  </si>
  <si>
    <t>Church, John A/A-1541-2012; Rintoul, Stephen R/A-1471-2012; Fukamachi, Yasushi/D-1895-2012; Aoki, Shigeru/D-9105-2012</t>
  </si>
  <si>
    <t>Church, John A/0000-0002-7037-8194; Rintoul, Stephen R/0000-0002-7055-9876; Fukamachi, Yasushi/0000-0001-5798-9380;</t>
  </si>
  <si>
    <t>Ministry of Education, Science, Sports and Culture [14403006, 17340138, 20244075, 20540419, 21310002]; Australian government; Australian National Antarctic Research Expeditions; Department of Climate Change; Bureau of Meteorology; CSIRO; Grants-in-Aid for Scientific Research [17340138, 14403006, 21310002, 20221001, 20244075, 20540419] Funding Source: KAKEN</t>
  </si>
  <si>
    <t>Ministry of Education, Science, Sports and Culture(Ministry of Education, Culture, Sports, Science and Technology, Japan (MEXT)); Australian government(Australian Government); Australian National Antarctic Research Expeditions; Department of Climate Change; Bureau of Meteorology(Bureau of Meteorology - Australia); CSIRO(Commonwealth Scientific &amp; Industrial Research Organisation (CSIRO)); Grants-in-Aid for Scientific Research(Ministry of Education, Culture, Sports, Science and Technology, Japan (MEXT)Japan Society for the Promotion of ScienceGrants-in-Aid for Scientific Research (KAKENHI))</t>
  </si>
  <si>
    <t>We are deeply indebted to D. McLaughlan and K. Miller for their mooring works. Thanks are extended to the officers, crew and scientists on board RSV Aurora Australis for their help with field observations. Discussions with G. Mizuta and Y. Kashino were helpful. Figure 1a was drawn by L. Bell and K. Kitagawa. Other figures were produced by the PSPLOT library written by K. E. Kohler. In Japan, support was provided by Grants-in-Aid 14403006, 17340138, 20244075, 20540419 and 21310002 for Scientific Research from Ministry of Education, Science, Sports and Culture. In Australia, support was provided by the Cooperative Research Centre program of the Australian government and by the Australian National Antarctic Research Expeditions; this work is a contribution to the Australian Climate Change Science Program, funded jointly by the Department of Climate Change, the Bureau of Meteorology and CSIRO.</t>
  </si>
  <si>
    <t>10.1038/NGEO842</t>
  </si>
  <si>
    <t>589XW</t>
  </si>
  <si>
    <t>WOS:000277188500014</t>
  </si>
  <si>
    <t>Samarkin, VA; Madigan, MT; Bowles, MW; Casciotti, KL; Priscu, JC; Mckay, CP; Joye, SB</t>
  </si>
  <si>
    <t>Samarkin, Vladimir A.; Madigan, Michael T.; Bowles, Marshall W.; Casciotti, Karen L.; Priscu, John C.; Mckay, Christopher P.; Joye, Samantha B.</t>
  </si>
  <si>
    <t>Abiotic nitrous oxide emission from the hypersaline Don Juan Pond in Antarctica</t>
  </si>
  <si>
    <t>N2O BUDGET; SOIL; SERPENTINIZATION; DENITRIFICATION; NITRIFICATION; REDUCTION; LIFE</t>
  </si>
  <si>
    <t>Nitrous oxide is a potent atmospheric greenhouse gas(1) that contributes to ozone destruction(2). Biological processes such as nitrification and denitrification are thought to drive nitrous oxide production in soils, which comprise the largest source of nitrous oxide to the atmosphere(1). Here we present measurements of the concentration and isotopic composition of nitrous oxide in soil pore spaces in samples taken near Don Juan Pond, a metabolically dormant hypersaline pond in Southern Victoria Land, Antarctica in 2006, 2007 and 2008, together with in situ fluxes of nitrous oxide from the soil to the atmosphere. We find fluxes of nitrous oxide that rival those measured in fertilized tropical soils(3). Laboratory experiments -in which nitrite-rich brine was reacted with a variety of minerals containing Fe(II)-reveal a new mechanism of abiotic water-rock reaction that could support nitrous oxide fluxes at Don Juan Pond. Our findings illustrate a dynamic and unexpected link between the geosphere and atmosphere.</t>
  </si>
  <si>
    <t>[Samarkin, Vladimir A.; Bowles, Marshall W.; Joye, Samantha B.] Univ Georgia, Dept Marine Sci, Athens, GA 30602 USA; [Madigan, Michael T.] So Illinois Univ, Dept Microbiol, Carbondale, IL 62902 USA; [Casciotti, Karen L.] Woods Hole Oceanog Inst, Dept Marine Chem &amp; Geochem, Woods Hole, MA 02543 USA; [Priscu, John C.] Montana State Univ, Dept Land Resources &amp; Environm Sci, Bozeman, MT 59717 USA; [Mckay, Christopher P.] NASA, Exobiol Div, Moffett Field, CA 94035 USA</t>
  </si>
  <si>
    <t>University System of Georgia; University of Georgia; Southern Illinois University System; Southern Illinois University; Woods Hole Oceanographic Institution; Montana State University System; Montana State University Bozeman; National Aeronautics &amp; Space Administration (NASA)</t>
  </si>
  <si>
    <t>Joye, SB (corresponding author), Univ Georgia, Dept Marine Sci, Athens, GA 30602 USA.</t>
  </si>
  <si>
    <t>mjoye@uga.edu</t>
  </si>
  <si>
    <t>Bowles, Marshall/0000-0002-0464-5880; Casciotti, Karen/0000-0002-5286-7795; McKay, Christopher/0000-0002-6243-1362; Joye, Samantha/0000-0003-1610-451X</t>
  </si>
  <si>
    <t>US National Science Foundation [ANT-0739516]; McMurdo Microbial Observatory program [MCB-0237576, MCB-0237335]; Office of Polar Programs (OPP); Directorate For Geosciences [0739435] Funding Source: National Science Foundation</t>
  </si>
  <si>
    <t>US National Science Foundation(National Science Foundation (NSF)); McMurdo Microbial Observatory program; Office of Polar Programs (OPP); Directorate For Geosciences(National Science Foundation (NSF)NSF - Directorate for Geosciences (GEO))</t>
  </si>
  <si>
    <t>This research was supported by the US National Science Foundation's Antarctic Organisms and Ecosystems Program (ANT-0739516 to S.B.J., V. A. S. and M. T. M.) and the McMurdo Microbial Observatory program (MCB-0237576 to M. T. M. and MCB-0237335 to J.C.P.). We thank K. Welsh (MCM) and K. Hunter (UGA) for quantifying concentrations of dissolved inorganic nitrogen species; M. McIlvin and C. Frame (WHOI) for assistance with the N and O isotopic analyses; and C. Meile for helpful discussions.</t>
  </si>
  <si>
    <t>10.1038/NGEO847</t>
  </si>
  <si>
    <t>WOS:000277188500017</t>
  </si>
  <si>
    <t>Fantoni, R; Fiorani, L; Loreti, S; Palucci, A; Lazzara, L; Nardello, I</t>
  </si>
  <si>
    <t>Fantoni, R.; Fiorani, L.; Loreti, S.; Palucci, A.; Lazzara, L.; Nardello, I.</t>
  </si>
  <si>
    <t>Remote and in-situ seawater bio-optical description during the XVIII oceanographic expedition</t>
  </si>
  <si>
    <t>OPTOELECTRONICS AND ADVANCED MATERIALS-RAPID COMMUNICATIONS</t>
  </si>
  <si>
    <t>Chlorophylls; Dissolved organic matter; Absorption spectroscopy; Lidar; Radiometers; Algorithms</t>
  </si>
  <si>
    <t>INHERENT OPTICAL-PROPERTIES; DISSOLVED ORGANIC-MATTER; OCEAN COLOR; RETRIEVAL; ALGORITHM; SEA</t>
  </si>
  <si>
    <t>During the XVIII oceanographic expedition of the Italian Antarctic Research Program, the bio-optical properties of seawater have been characterized by in-situ and remote sensors. In particular, the absorption and fluorescence of chromophoric dissolved organic matter (CDOM) have been measured by the absorption and attenuation meter WET Labs AC-9-25 and by the ENEA lidar fluorosensor, respectively. The data of those instruments have been used to develop a CDOM bio-optical algorithm for the Sea-viewing Wide Field-of-view Sensor (SeaWiFS). Such algorithm has been applied to the Ross Sea sector of the Southern Ocean and its results have been compared with the CDOM values obtained by other authors. Moreover, CDOM and chlorophyll-a maps have been released in order to reveal the relationships in the spatio-temporal dynamics of these two biomass indicators.</t>
  </si>
  <si>
    <t>[Fiorani, L.; Palucci, A.] ENEA, UTAPRAD DIM, I-00044 Frascati, Italy; [Fantoni, R.] ENEA, UTAPRAD, I-00044 Frascati, Italy; [Loreti, S.] ENEA, METR, I-00123 Rome, Italy; [Lazzara, L.] Univ Florence, Dept Evolutionist Biol Leo Pardi, I-50125 Florence, Italy; [Nardello, I.] Natl Univ Ireland, Inst Environm Marine &amp; Energy, Galway, Ireland</t>
  </si>
  <si>
    <t>Italian National Agency New Technical Energy &amp; Sustainable Economics Development; Italian National Agency New Technical Energy &amp; Sustainable Economics Development; Italian National Agency New Technical Energy &amp; Sustainable Economics Development; University of Florence; Ollscoil na Gaillimhe-University of Galway</t>
  </si>
  <si>
    <t>Fiorani, L (corresponding author), ENEA, UTAPRAD DIM, Via Fermi 45, I-00044 Frascati, Italy.</t>
  </si>
  <si>
    <t>luca.fiorani@enea.it</t>
  </si>
  <si>
    <t>Loreti, Stefano/U-3774-2019; nardello, ilaria/AAA-2296-2021; Lazzara, Luigi Carlo/C-6838-2012; Fiorani, Luca/AAT-8943-2021</t>
  </si>
  <si>
    <t>Loreti, Stefano/0000-0003-1888-2921; Lazzara, Luigi Carlo/0000-0002-1351-9683; PALUCCI, ANTONIO/0009-0006-9442-1544; Fiorani, Luca/0000-0001-9696-3124</t>
  </si>
  <si>
    <t>PRNA-Oceanographic; NASA</t>
  </si>
  <si>
    <t>PRNA-Oceanographic; NASA(National Aeronautics &amp; Space Administration (NASA))</t>
  </si>
  <si>
    <t>This work has been supported by PRNA-Oceanographic Sector-8.3 Project ARES-active and passive remote sensing of the Southern Ocean for the monitoring of the biological parameters. The important contribution of F. Colao is kindly acknowledged. The authors would like to thank the SeaWiFS Project (Code 970.2) and the Distributed Active Archive Center (Code 902) at the Goddard Space Flight Center, Greenbelt, MD 20771, for the production and distribution of these data, respectively. These activities are sponsored by NASA's Mission to Planet Earth Program.</t>
  </si>
  <si>
    <t>NATL INST OPTOELECTRONICS</t>
  </si>
  <si>
    <t>BUCHAREST-MAGURELE</t>
  </si>
  <si>
    <t>1 ATOMISTILOR ST, PO BOX MG-5, BUCHAREST-MAGURELE 76900, ROMANIA</t>
  </si>
  <si>
    <t>1842-6573</t>
  </si>
  <si>
    <t>2065-3824</t>
  </si>
  <si>
    <t>OPTOELECTRON ADV MAT</t>
  </si>
  <si>
    <t>Optoelectron. Adv. Mater.-Rapid Commun.</t>
  </si>
  <si>
    <t>Materials Science, Multidisciplinary; Optics</t>
  </si>
  <si>
    <t>Materials Science; Optics</t>
  </si>
  <si>
    <t>616XY</t>
  </si>
  <si>
    <t>WOS:000279246000033</t>
  </si>
  <si>
    <t>Fantoni, R; Fiorani, L; Okladnikov, IG; Palucci, A</t>
  </si>
  <si>
    <t>Fantoni, R.; Fiorani, L.; Okladnikov, I. G.; Palucci, A.</t>
  </si>
  <si>
    <t>Local observations of primary production in the Ross Sea: results of a lidar-calibrated satellite algorithm</t>
  </si>
  <si>
    <t>Primary production; Lidar; Radiometers; Algorithms</t>
  </si>
  <si>
    <t>SOUTHERN-OCEAN; FLUOROSENSOR</t>
  </si>
  <si>
    <t>Comparison studies between satellite estimates and in situ measurements of primary production demonstrate that satellite chlorophyll-a bio-optical algorithms need regional calibrations, especially in the Southern Ocean. In this research, the data of the ENEA lidar fluorosensor collected during the 16(th) Italian Antarctic Oceanographic Campaign have been used to calibrate the chlorophyll-a algorithm of the Sea-viewing Wide Field-of-view Sensor in three hydrographic regions of the Ross Sea: Terra Nova Bay, Cape Adare zone and center of the Ross Gyre. The results show that non-regional calibrated chlorophyll-a algorithms could misestimate primary production up to 50% - 75%. Finally, the corrected values of primary production have been calculated monthly and yearly in each of the abovementioned hydrographic regions. The values are in agreement with those found by other authors and provide information on the spatio-temporal distribution of primary production.</t>
  </si>
  <si>
    <t>[Fiorani, L.; Palucci, A.] ENEA, UTAPRAD DIM, I-00044 Frascati, Italy; [Fantoni, R.] ENEA, UTAPRAD, I-00044 Frascati, Italy; IMCES, SCERT, Tomsk 634055, Russia</t>
  </si>
  <si>
    <t>Italian National Agency New Technical Energy &amp; Sustainable Economics Development; Italian National Agency New Technical Energy &amp; Sustainable Economics Development</t>
  </si>
  <si>
    <t>Fiorani, Luca/AAT-8943-2021; Okladnikov, Igor/J-8496-2013</t>
  </si>
  <si>
    <t>PALUCCI, ANTONIO/0009-0006-9442-1544; Okladnikov, Igor/0000-0003-0356-4410; Fiorani, Luca/0000-0001-9696-3124</t>
  </si>
  <si>
    <t>This work has been supported by PRNA-Oceanographic Sector-8.3 Project ARES active and passive remote sensing of the Southern Ocean for the monitoring of the biological parameters. The constant encouragement of R. Barbini and the important contribution of F. Colao are kindly acknowledged. The authors would like to thank the SeaWiFS Project (Code 970.2) and the Distributed Active Archive Center (Code 902) at the Goddard Space Flight Center, Greenbelt, MD 20771, for the production and distribution of these data, respectively. These activities are sponsored by NASA's Mission to Planet Earth Program.</t>
  </si>
  <si>
    <t>WOS:000279246000034</t>
  </si>
  <si>
    <t>Zelaya, DG</t>
  </si>
  <si>
    <t>Gabriel Zelaya, Diego</t>
  </si>
  <si>
    <t>New species of Thyasira, Mendicula, and Axinulus (Bivalvia, Thyasiroidea) from Sub-Antarctic and Antarctic waters</t>
  </si>
  <si>
    <t>Thyasiridae; Thyasirinae; Axinopsinae; Southern Ocean</t>
  </si>
  <si>
    <t>FAMILY THYASIRIDAE; MOLLUSCA</t>
  </si>
  <si>
    <t>Three new thyasirid species from the Sub-Antarctic and Antarctic waters are described: Thyasira patagonica, Mendicula sudamericana, and Axinulus antarcticus. T. patagonica is characterized by its strong commarginal sculpture, shell as height as length or higher than long, posterior auricle delimited by a deep submarginal sulcus, and a long and sloping straight anterior half of dorsal margin. M. sudamericana distinguished by its longer than high shell outline, elongated tooth-like enlargement anterior to beak, gills with only one demibranch at each side, and foot with a marked heel. A. antarcticus has a minute, subquadrate shell, hinge with a small swelling anterior to beak, gills with a single demibranch, and the lateral body pouch elongated and almost smooth. The present study provides the first reliable record of thyasirids, with a single demibranch from the Southern Ocean. Moreover, characters for a better definition of Mendicula are provided.</t>
  </si>
  <si>
    <t>Museo La Plata, Div Zool Invertebrados, RA-1900 La Plata, Argentina</t>
  </si>
  <si>
    <t>National University of La Plata; Museo La Plata</t>
  </si>
  <si>
    <t>Zelaya, DG (corresponding author), Museo La Plata, Div Zool Invertebrados, Paseo Bosque S-N, RA-1900 La Plata, Argentina.</t>
  </si>
  <si>
    <t>dzelaya@fcnym.unlp.edu.ar</t>
  </si>
  <si>
    <t>Agencia Nacional de Promocion Cientifica y Tecnica [PICT 282-2006]; Western Society of Malacologists; Santa Barbara Malacological Society; Southwest Shell Club; San Diego Shell Club; Northern California Malacological Club; Deutscher Akademischer Austauschdienst (DAAD)-Consejo Nacional de Investigaciones Cientificas y Tecnicas (CONICET)</t>
  </si>
  <si>
    <t>Agencia Nacional de Promocion Cientifica y Tecnica(ANPCyT); Western Society of Malacologists; Santa Barbara Malacological Society; Southwest Shell Club; San Diego Shell Club; Northern California Malacological Club; Deutscher Akademischer Austauschdienst (DAAD)-Consejo Nacional de Investigaciones Cientificas y Tecnicas (CONICET)(Deutscher Akademischer Austausch Dienst (DAAD)Consejo Nacional de Investigaciones Cientificas y Tecnicas (CONICET))</t>
  </si>
  <si>
    <t>The author would like to express his gratitude to E. Coan, P. Valentich-Scott, and P. Mikkelsen for his valuable comments and suggestions; D. Reid and P. Valentich-Scott for kindly helping to obtain some specific literature; T. Nikens, B. Hausdorf, and K. Schnabel for sending specimens from their museum collections; K. Way, A. MacLellan, M. Glaubrecht, T. von Rintelen, P. Bouchet, P. Maestrati, and V. Heros for the facilities provided during my visits to The Natural History Museum (NHM), Museum fur Naturkunde (ZMB), and Museum National d'Histoire Naturelle (MNHN); M. A. Szereszowiez and Y. Kantor for translating of Kamenev and Nadtochy's (2000) paper; and A. Baldinger for the information on the material reported by Clarke. C. Ituarte, as always, provided valuable criticisms and improved my writing style. This study was partially founded by the Agencia Nacional de Promocion Cientifica y Tecnica (PICT 282-2006), and a student grant from the Western Society of Malacologists, the Santa Barbara Malacological Society, the Southwest Shell Club, the San Diego Shell Club and the Northern California Malacological Club. The visits to the NHM and ZMB were possible thanks to a Deutscher Akademischer Austauschdienst (DAAD)-Consejo Nacional de Investigaciones Cientificas y Tecnicas (CONICET) grant. The author is member of the CONICET, Argentina.</t>
  </si>
  <si>
    <t>10.1007/s00300-009-0736-9</t>
  </si>
  <si>
    <t>582RF</t>
  </si>
  <si>
    <t>WOS:000276615400004</t>
  </si>
  <si>
    <t>Liu, SH; Lee, H; Kang, PS; Huang, XH; Yim, JH; Lee, HK; Kim, IC</t>
  </si>
  <si>
    <t>Liu, Shenghao; Lee, Hyoungseok; Kang, Pil-Sung; Huang, Xiaohang; Yim, Joung Han; Lee, Hong Kum; Kim, Il-Chan</t>
  </si>
  <si>
    <t>Complementary DNA library construction and expressed sequence tag analysis of an Arctic moss, Aulacomnium turgidum</t>
  </si>
  <si>
    <t>Arctic moss; Aulacomnium turgidum; Expressed sequence tags (ESTs); Gene Ontology (GO)</t>
  </si>
  <si>
    <t>HEAT-SHOCK RESPONSE; GENETIC DIVERSITY; INDUCIBLE GENES; ANTARCTIC MOSS; COLD; ANNOTATION; SVALBARD; MUTANTS</t>
  </si>
  <si>
    <t>Unique physiological and metabolic properties of Arctic mosses are responsible for their acclimation to the inclement polar environment. To perform transcriptome analysis of an Arctic moss species adapted to polar conditions, we constructed a complementary DNA (cDNA) library using total high-quality RNA extracted from the moss species Aulacomnium turgidum. The library consisted of 1.81 x 10(6) of independent clones with 97.41% of recombinants. A total of 509 cDNA clones were sequenced. After eliminating poor quality sequences, vector trimming and clustering, 360 unigenes consisting of 33 contigs and 327 singletons were identified. Basic Local Alignment Search Tool X searches generated 245 significant hits (E value &lt; 10(-5)). For further Gene Ontology analysis, 158 unigenes were annotated and classified with terms for molecular function, biological process and cellular component. Among the expressed sequence tags, seven genes were selected based on their putative roles in stress response, and they showed enhanced transcripts level under various abiotic stresses such as low temperature, heat and high-salinity. Also, two rare-cold-inducible genes showed different expression patterns under low temperature and UV-B treatment, indicating their distinct roles in adaptation to Arctic environment. Although experiments have been conducted on a limited scale, this study provides useful information for better understanding the mechanism of stress acclimation of polar mosses and material basis for potential genomic modification for higher plants to increase stress tolerance.</t>
  </si>
  <si>
    <t>[Liu, Shenghao; Lee, Hyoungseok; Kang, Pil-Sung; Yim, Joung Han; Lee, Hong Kum; Kim, Il-Chan] Korea Polar Res Inst KOPRI, KORDI, Polar BioCtr, Inchon 406840, South Korea; [Liu, Shenghao; Huang, Xiaohang] State Ocean Adm, Inst Oceanog 1, Key Lab Marine Bioact Subst, Qingdao 266061, Peoples R China; [Kang, Pil-Sung] Inha Univ, Dept Biol Engn, Inchon 402751, South Korea</t>
  </si>
  <si>
    <t>Korea Polar Research Institute (KOPRI); Korea Institute of Ocean Science &amp; Technology (KIOST); First Institute of Oceanography, Ministry of Natural Resources; Inha University</t>
  </si>
  <si>
    <t>Kim, IC (corresponding author), Korea Polar Res Inst KOPRI, KORDI, Polar BioCtr, Inchon 406840, South Korea.</t>
  </si>
  <si>
    <t>ickim@kopri.re.kr</t>
  </si>
  <si>
    <t>Liu, Shenghao/ISU-3076-2023</t>
  </si>
  <si>
    <t>Liu, Shenghao/0000-0002-1449-3526; Lee, Hyoungseok/0000-0002-5831-6345</t>
  </si>
  <si>
    <t>Korea Polar Research Institute [PE08050]</t>
  </si>
  <si>
    <t>The research was financially supported by a Grant PE08050 from the Korea Polar Research Institute.</t>
  </si>
  <si>
    <t>10.1007/s00300-009-0737-8</t>
  </si>
  <si>
    <t>WOS:000276615400005</t>
  </si>
  <si>
    <t>Osyczka, P; Kukwa, M; Olech, M</t>
  </si>
  <si>
    <t>Osyczka, Piotr; Kukwa, Martin; Olech, Maria</t>
  </si>
  <si>
    <t>Notes on the lichen genus Lepraria from maritime (South Shetlands) and continental (Schirmacher and Bunger Oases) Antarctica</t>
  </si>
  <si>
    <t>Lichenized Ascomycota; Lichen taxonomy; Chemotaxonomy; Antarctic ecology</t>
  </si>
  <si>
    <t>STEREOCAULACEAE; ASCOMYCOTA; LEPROLOMA; RECORDS</t>
  </si>
  <si>
    <t>Material of the genus Lepraria from maritime and continental Antarctica collected in 1986-2007 was studied. Four species were distinguished, L. alpina, L. caerulescens, L. straminea and one putative new taxon provisionally called Lepraria sp. AO. L. caerulescens is tentatively resurrected from the synonyms of L. alpina for the chemotype with atranorin and angardianic/roccellic acid. Lepraria sp. AO is characterized by its granular thallus similar to other members of the L. neglecta group and the presence of two fatty acids, so far unidentified and not known from other members of the genus. Morphological and chemical diagnostic characters of all taxa, their distribution and ecological features are discussed. An updated key for identification of all Antarctic species is provided.</t>
  </si>
  <si>
    <t>[Osyczka, Piotr; Olech, Maria] Jagiellonian Univ, Inst Bot, Dept Polar Res &amp; Documentat, PL-31501 Krakow, Poland; [Kukwa, Martin] Univ Gdansk, Dept Plant Taxon &amp; Nat Conservat, PL-80441 Gdansk, Poland; [Olech, Maria] Polish Acad Sci, Dept Antarctic Biol, PL-02141 Warsaw, Poland</t>
  </si>
  <si>
    <t>Jagiellonian University; Fahrenheit Universities; University of Gdansk; Polish Academy of Sciences</t>
  </si>
  <si>
    <t>piotr.osyczka@uj.edu.pl; dokmak@univ.gda.pl; olech@ib.uj.edu.pl</t>
  </si>
  <si>
    <t>Kukwa, Martin/X-9510-2019</t>
  </si>
  <si>
    <t>Kukwa, Martin/0000-0003-1560-909X; Osyczka, Piotr/0000-0003-4999-4897</t>
  </si>
  <si>
    <t>SYNTHESYS [GB-TAF-1013]</t>
  </si>
  <si>
    <t>SYNTHESYS</t>
  </si>
  <si>
    <t>The authors are very grateful to Dr Alan Orange (Cardiff, UK), Dr Tor Tonsberg (Bergen, Norway) and an anonymous reviewer for several valuable comments on earlier draft of this paper, and Professor Mark R. D. Seaward (Bradford, UK) for useful comments and checking the English. The study was supported by a SYNTHESYS Grant no. GB-TAF-1013 given to M. K.</t>
  </si>
  <si>
    <t>10.1007/s00300-009-0738-7</t>
  </si>
  <si>
    <t>WOS:000276615400006</t>
  </si>
  <si>
    <t>Loque, CP; Medeiros, AO; Pellizzari, FM; Oliveira, EC; Rosa, CA; Rosa, LH</t>
  </si>
  <si>
    <t>Loque, Carolina P.; Medeiros, Adriana O.; Pellizzari, Franciane M.; Oliveira, Eurico C.; Rosa, Carlos A.; Rosa, Luiz H.</t>
  </si>
  <si>
    <t>Fungal community associated with marine macroalgae from Antarctica</t>
  </si>
  <si>
    <t>Algae; Antarctica; Endemism; Extreme environments; Fungi</t>
  </si>
  <si>
    <t>METSCHNIKOWIA; YEASTS</t>
  </si>
  <si>
    <t>Filamentous fungi and yeasts associated with the marine algae Adenocystis utricularis, Desmarestia anceps, and Palmaria decipiens from Antarctica were studied. A total of 75 fungal isolates, represented by 27 filamentous fungi and 48 yeasts, were isolated from the three algal species and identified by morphological, physiological, and sequence analyses of the internal transcribed spacer region and D1/D2 variable domains of the large-subunit rRNA gene. The filamentous fungi and yeasts obtained were identified as belonging to the genera Geomyces, Antarctomyces, Oidiodendron, Penicillium, Phaeosphaeria, Aureobasidium, Cryptococcus, Leucosporidium, Metschnikowia, and Rhodotorula. The prevalent species were the filamentous fungus Geomyces pannorum and the yeast Metschnikowia australis. Two fungal species isolated in our study, Antarctomyces psychrotrophicus and M. australis, are endemic to Antarctica. This work is the first study of fungi associated with Antarctic marine macroalgae, and contributes to the taxonomy and ecology of the marine fungi living in polar environments. These fungal species may have an important role in the ecosystem and in organic matter recycling.</t>
  </si>
  <si>
    <t>[Loque, Carolina P.; Rosa, Luiz H.] Univ Fed Ouro Preto, Dept Ciencias Biol, Microbiol Lab, Inst Ciencias Exatas &amp; Biol, BR-35400000 Ouro Preto, MG, Brazil; [Medeiros, Adriana O.] Univ Fed Bahia, Dept Bot, Lab Microbiol Ambiental, Salvador, BA, Brazil; [Pellizzari, Franciane M.] Univ Estadual Parana, Lab Ficol &amp; Qualidade Agua Mar LAQUAMAR, Paranagua, Parana, Brazil; [Oliveira, Eurico C.] Univ Sao Paulo, Inst Biociencias, Lab Ficol, Sao Paulo, Brazil; [Rosa, Carlos A.] Univ Fed Minas Gerais, Inst Ciencias Biol, Dept Microbiol, Belo Horizonte, MG, Brazil</t>
  </si>
  <si>
    <t>Universidade Federal de Ouro Preto; Universidade Federal da Bahia; Universidade de Sao Paulo; Universidade Federal de Minas Gerais</t>
  </si>
  <si>
    <t>Rosa, LH (corresponding author), Univ Fed Ouro Preto, Dept Ciencias Biol, Microbiol Lab, Inst Ciencias Exatas &amp; Biol, Rua Diogo Vasconcelos 122, BR-35400000 Ouro Preto, MG, Brazil.</t>
  </si>
  <si>
    <t>Pellizzari, Franciane M./JLL-6907-2023; Criosfera, Inct/J-8639-2013</t>
  </si>
  <si>
    <t>Pellizzari, Franciane/0000-0003-1877-2570</t>
  </si>
  <si>
    <t>Brazilian Antarctic Programme; Fundacao of Amparo; Pesquisa of the Minas Gerais; Conselho Nacional of Desenvolvimento Cientifco and Tecnologico</t>
  </si>
  <si>
    <t>This study was made possible with financial and logistic support from the Brazilian Antarctic Programme (PROANTAR). It is part of the API activity 403 MIDIAPI Microbial Diversity of Terrestrial and Maritime ecosystems in Antarctic Peninsula under the overall coordination of Dr. Vivian H. Pellizari, and contributes to the umbrella IPY activities MERGE (Microbiological and Ecological Responses to Global Environmental Changes in Polar Regions), CAML (Census of Antarctic Marine Life), and SCARMarBIN (SCAR-Marine Biodiversity Information Network). The work was financially supported by the Fundacao of Amparo, the Pesquisa of the Minas Gerais (FAPEMIG) and Conselho Nacional of Desenvolvimento Cientifco and Tecnologico (CNPq). We thank an anonymous reviewer of Polar Biology journal for helpful comments to improve the quality of the manuscript.</t>
  </si>
  <si>
    <t>10.1007/s00300-009-0740-0</t>
  </si>
  <si>
    <t>WOS:000276615400008</t>
  </si>
  <si>
    <t>Peters, KJ; Amsler, CD; McClintock, JB; Baker, BJ</t>
  </si>
  <si>
    <t>Peters, Kevin J.; Amsler, Charles D.; McClintock, James B.; Baker, Bill J.</t>
  </si>
  <si>
    <t>Potential chemical defenses of Antarctic sponges against sympatric microorganisms</t>
  </si>
  <si>
    <t>Antarctica; Porifera; Bacteria; Diatoms; Chemical defense</t>
  </si>
  <si>
    <t>CARIBBEAN SPONGES; MARINE SPONGES; RHOPALOEIDES-ODORABILE; ANTIBACTERIAL ACTIVITY; ALPHA-PROTEOBACTERIUM; MICROBIAL COMMUNITY; BACTERIAL SYMBIONTS; PALATABILITY; ASSEMBLAGES; RICHNESS</t>
  </si>
  <si>
    <t>This study analyzed the bioactivity of extracts from 25 Antarctic demosponge species against 20 bacterial isolates and 1 diatom species collected from the waters off the western Antarctic Peninsula. All sponge species had lipophilic and hydrophilic extracts assayed at two concentrations (1x and 3x natural concentration) against 16 strains of Gamma Proteobacteria, 1 Flavobacterium, and 3 unidentified species of bacteria isolated from sympatric sponges. The majority of the bacterial isolates had no growth inhibition with only one isolate found to consistently have any growth inhibition due to sponge extracts. The sponges also had lipophilic and hydrophilic extracts assayed at three concentrations (0.3x, 1x, and 3x natural concentration) against the chain-forming pennate diatom Syndroposis sp. Almost every sponge's lipophilic extract (96%) resulted in significant diatom mortality at the estimated natural concentration with the majority of the extracts (60%) still resulting in significant mortality at 30% of the natural concentration. The hydrophilic extracts of 60% of the sponges resulted in significant diatom mortality at the natural concentration. Even at 30% of the natural concentration, 24% of the hydrophilic sponge extracts resulted in significant diatom mortality. These sponges appear to have stronger defenses against diatom fouling than bacterial growth suggesting that there may be more selective pressure for chemical defenses against diatoms.</t>
  </si>
  <si>
    <t>[Peters, Kevin J.; Amsler, Charles D.; McClintock, James B.] Univ Alabama, Dept Biol, Birmingham, AL 35294 USA; [Baker, Bill J.] Univ S Florida, Dept Chem, Tampa, FL 33620 USA</t>
  </si>
  <si>
    <t>Peters, KJ (corresponding author), Coll William &amp; Mary, Richard Bland Coll, Dept Sci &amp; Quantitat Methods, Ernst Hall 215,11301 Johnson Rd, Petersburg, VA 23805 USA.</t>
  </si>
  <si>
    <t>kpeters@rbc.edu</t>
  </si>
  <si>
    <t>Amsler, Charles/0000-0002-4843-3759</t>
  </si>
  <si>
    <t>National Science Foundation; National Science Foundation [OPP-0125181, OPP-0442769, OPP-0125152, OPP-0442857]</t>
  </si>
  <si>
    <t>National Science Foundation(National Science Foundation (NSF)); National Science Foundation(National Science Foundation (NSF))</t>
  </si>
  <si>
    <t>We thank Lukasz Kwapisz for help in antibacterial assays, Ted Hadfield and Susan Ditty for sequencing bacterial DNA, Rob van Soest for sponge identifications, Philip Bucolo for diatom identification, and Renato Pereira and an anonymous reviewer for constructive peer reviews which greatly improved the final manuscript. This work would not have been possible without outstanding logistical support in Antarctica provided by the employees and subcontractors of Raytheon Polar Services Company. This research was facilitated by National Science Foundation awards to C. D. A. and J.B.M. (OPP-0125181 and OPP-0442769) and to B.J.B. (OPP-0125152 and OPP-0442857).</t>
  </si>
  <si>
    <t>10.1007/s00300-009-0741-z</t>
  </si>
  <si>
    <t>WOS:000276615400009</t>
  </si>
  <si>
    <t>Matallanas, J</t>
  </si>
  <si>
    <t>Matallanas, Jesus</t>
  </si>
  <si>
    <t>Description of two new genera, Santelmoa and Bentartia and two new species of Zoarcidae (Teleostei, Perciformes) from the Southern Ocean</t>
  </si>
  <si>
    <t>Taxonomy; Santelmoa; Bentartia; New genera; Eelpouts; Antarctic Peninsula</t>
  </si>
  <si>
    <t>GENUS; SEA</t>
  </si>
  <si>
    <t>Two new genera of lycodine zoarcid fish, Santelmoa and Bentartia, and two new species, Santelmoa carmenae and Bentartia cinerea, are described from 13 specimens collected from the Gerlache Strait, Southern Ocean, at 1,056-m depth. Santelmoa can be distinguished from all other lycodine genera by the combination of the following characters: anterior portion of frontals fused; scapular foramen open; ceratohyal-epihyal articulation interdigitating; cranium narrowed; supratemporal commissure and occipital pores absent; intercalar reaching the prootic; parasphenoid wing well developed; palatal arch well developed; posterior hyomandibular ramus short; post-temporal ventral ramus well developed; six branchiostegal rays; vertebrae asymmetrical; pelvic fin rays ensheathed; scales, lateral line, pyloric caeca, palatine and vomerine teeth present. Bentartia differs from the remaining lycodine genera by the following combination of characters: basioccipital and exoccipitals fused; supraoccipital-exoccipital articulation broadly contacting; ceratohyal-epihyal articulation interdigitating; post-temporal ventral ramus weak; two posterior nasal pores; cranium narrowed; supratemporal commissure and occipital pores absent; intercalar set posteriorly; palatal arch well developed; posterior hyomandibular ramus not elongate; parasphenoid wing high; six branchiostegal rays; vertebrae asymmetrical; pelvic fin rays ensheathed; scales, lateral line, pyloric caeca, palatine and vomerine teeth present. The relationships of the two new genera are discussed.</t>
  </si>
  <si>
    <t>Univ Autonoma Barcelona, Fac Biociencias, Unidad Zool, Grp Biodiversidad Anim, E-08193 Barcelona, Spain</t>
  </si>
  <si>
    <t>Autonomous University of Barcelona</t>
  </si>
  <si>
    <t>Matallanas, J (corresponding author), Univ Autonoma Barcelona, Fac Biociencias, Unidad Zool, Grp Biodiversidad Anim, E-08193 Barcelona, Spain.</t>
  </si>
  <si>
    <t>Jesus.Matallanas@uab.es</t>
  </si>
  <si>
    <t>Spanish Antarctic Programme; Ministerio de Ciencia e Innovacion, Spain [CTM2009-07583-E]</t>
  </si>
  <si>
    <t>Spanish Antarctic Programme; Ministerio de Ciencia e Innovacion, Spain(Spanish Government)</t>
  </si>
  <si>
    <t>I thank the scientific team, the captain, crew and UTM technicians of the B.I.O. HESPERIDES for their help during the BENTART-03 cruise, from which the specimens were captured. Special thanks to Jose Castro Cordoba for his expertise in fishing with the traps and to Dr. Ignacio Olaso for helping me on board with the collection of the type specimens. I am also grateful to Carmen Benito for the X-rays and to Jordi Corbera for the illustrations. I thank my daughter Muriel for the English revision of the manuscript. Cecilia Corbella kindly helped me with the phylogenetic analysis. The manuscript also benefited from the constructive criticism by the reviewers (Dr. ME Anderson, Dr. MM Mincarone and a third anonymous reviewer). The BENTART-03 cruise was supported by the Spanish Antarctic Programme (CICYT). This study was supported by a personal grant from the Ministerio de Ciencia e Innovacion, Spain (CTM2009-07583-E).</t>
  </si>
  <si>
    <t>10.1007/s00300-009-0742-y</t>
  </si>
  <si>
    <t>WOS:000276615400010</t>
  </si>
  <si>
    <t>Carneiro, APB; Polito, MJ; Sander, M; Trivelpiece, WZ</t>
  </si>
  <si>
    <t>Bertoldi Carneiro, Ana Paula; Polito, Michael J.; Sander, Martin; Trivelpiece, Wayne Z.</t>
  </si>
  <si>
    <t>Abundance and spatial distribution of sympatrically breeding Catharacta spp. (skuas) in Admiralty Bay, King George Island, Antarctica</t>
  </si>
  <si>
    <t>Catharacta spp.; Admiralty Bay; Distribution; Abundance; Access to resources; Nesting site safety and quality</t>
  </si>
  <si>
    <t>SOUTH POLAR SKUAS; BROWN SKUAS; FEEDING TERRITORIES; PYGOSCELIS-ANTARCTICA; LONNBERGI; MACCORMICKI; POPULATION; SUCCESS; DIET; PREDATION</t>
  </si>
  <si>
    <t>We examined the abundance and spatial distribution of sympatrically breeding skuas (Catharacta spp.) within Admiralty Bay, King George Island, Antarctica, during the austral summer of 2004/2005 in relation to spatial variables, which correspond to access to resources and nesting site safety and quality. We also compared the distribution and abundance of skua pairs observed in 2004/2005 to published skua census data from 1978/1979. Similar to previous studies, we found that brown skua (C. antarctica lonnbergi) pairs often nested in close proximity to penguin colonies and actively excluded other pair types from having direct access to penguin resources. In areas directly around penguin colonies, brown skua displace south polar skua (C. maccormicki) and other pair types, indirectly forcing them to nest in possibly lower quality territories, which are farther away from the coastline and in areas with lower incident solar radiation. When examining skua population trends, we discovered that the total number of breeding skuas in Admiralty Bay had increased by 293%, from 128 to 468 pairs, since 1978/1979. This dramatic increase was driven primarily by a tenfold increase in south polar skua pairs, as well as smaller increases in mixed and hybrid pairs. In contrast, there has been an overall decline (by 40%) in brown skua pairs during this same time, driven primarily by a large decrease in the breeding density of brown skua pairs in areas without penguin colonies.</t>
  </si>
  <si>
    <t>[Bertoldi Carneiro, Ana Paula; Sander, Martin] Univ Vale Rio dos Sinos, Lab Ornithol &amp; Marine Anim, Sao Leopoldo, RS, Brazil; [Polito, Michael J.] Univ N Carolina, Dept Biol &amp; Marine Biol, Wilmington, NC 28403 USA; [Trivelpiece, Wayne Z.] SW Fisheries Sci Ctr, Natl Marine Fisheries Serv, Antarctic Ecosyst Res Div, La Jolla, CA 92037 USA</t>
  </si>
  <si>
    <t>Universidade do Vale do Rio dos Sinos (Unisinos); University of North Carolina; University of North Carolina Wilmington; National Oceanic Atmospheric Admin (NOAA) - USA</t>
  </si>
  <si>
    <t>Carneiro, APB (corresponding author), Univ Vale Rio dos Sinos, Lab Ornithol &amp; Marine Anim, Av Unisinos 950, Sao Leopoldo, RS, Brazil.</t>
  </si>
  <si>
    <t>anap_bertoldi@yahoo.com.br</t>
  </si>
  <si>
    <t>Carneiro, Ana Paula/IQT-6077-2023; Polito, Michael/G-9118-2012</t>
  </si>
  <si>
    <t>Polito, Michael/0000-0001-8639-4431</t>
  </si>
  <si>
    <t>US National Science Foundation [OPP 0344275]; Pew Foundation</t>
  </si>
  <si>
    <t>US National Science Foundation(National Science Foundation (NSF)); Pew Foundation</t>
  </si>
  <si>
    <t>Our thanks to the National Council of Scientific and Technological Development (CNPq), the Secretary of the Inter-Ministerial Commission for the Resources of the Sea (Se-CIRM), and Raytheon Polar Services, S. Agius, C. Lin, S. Woods, A. Frohlich, members of the Laboratory of Ornithology and Marine Animals at the Universidade do Vale do Rio dos Sinos and A. Duarte. This research was funded in part by a grant to W. Trivelpiece from the US National Science Foundation (OPP 0344275). N. Ratcliff, M. Ritz and E. Woehler provided helpful comments on an earlier version of this manuscript. Additional support from the Pew Foundation, Lenfest Marine Program is gratefully acknowledged. This work complies with, and was completed in accordance to, an Antarctic Conservation Act permit, provided by the US National Science Foundation.</t>
  </si>
  <si>
    <t>10.1007/s00300-009-0743-x</t>
  </si>
  <si>
    <t>WOS:000276615400011</t>
  </si>
  <si>
    <t>Yuan, LX; Sun, LG; Long, NY; Xie, ZQ; Wang, YH; Liu, XD</t>
  </si>
  <si>
    <t>Yuan, Linxi; Sun, Liguang; Long, Nanye; Xie, Zhouqing; Wang, Yuhong; Liu, Xiaodong</t>
  </si>
  <si>
    <t>Seabirds colonized Ny-lesund, Svalbard, Arctic ∼9,400 years ago</t>
  </si>
  <si>
    <t>Paleo-notch; Sediment; Seabird; Colonize; Ny-Alesund</t>
  </si>
  <si>
    <t>LAST GLACIAL MAXIMUM; FRANZ JOSEF LAND; LAKE-SEDIMENTS; POSTGLACIAL EMERGENCE; CONTAMINANT RESIDUES; GEOCHEMICAL EVIDENCE; PENGUIN POPULATIONS; HISTORICAL TRENDS; SEAL POPULATIONS; WESTERN SVALBARD</t>
  </si>
  <si>
    <t>A 118-cm-long and well-preserved sediment profile in a paleo-notch, which was formed by ocean wave action before rising to the terrace, was collected from the first terrace of Ny-lesund, Svalbard, Arctic. The bottom of this profile was dated as 9,400 years B.P. based on two radiocarbon dates of fossil mollusc shell fragments. The organic material in the sediment was identified by delta C-13(org)-C/N plot and delta N-15(org) characteristics to be predominantly composed of seabird guano, which was transported from the ocean via preying and excreting by seabirds. These results indicate that seabirds have inhabited Ny-lesund since 9,400 years B.P. after Kongsfjorden was completely deglaciated. This is the first report on Holocene seabird occupation on Ny-lesund and it provides the foundation for understanding the ecological history of seabirds in Svalbard in Holocene.</t>
  </si>
  <si>
    <t>[Yuan, Linxi; Sun, Liguang; Xie, Zhouqing; Liu, Xiaodong] Univ Sci &amp; Technol China, Inst Polar Environm, Hefei 230026, Anhui, Peoples R China; [Long, Nanye] Univ Wisconsin, Dept Anim Sci, Madison, WI 53706 USA; [Wang, Yuhong] NIH, Chem Genom Ctr, Bethesda, MD 20892 USA</t>
  </si>
  <si>
    <t>Chinese Academy of Sciences; University of Science &amp; Technology of China, CAS; University of Wisconsin System; University of Wisconsin Madison; National Institutes of Health (NIH) - USA; NIH National Center for Advancing Translational Sciences (NCATS)</t>
  </si>
  <si>
    <t>Yuan, Linxi/Y-9313-2019; xie, zhouqing/P-9661-2019</t>
  </si>
  <si>
    <t>Yuan, Linxi/0000-0002-1043-8933;</t>
  </si>
  <si>
    <t>National Science Foundation of China [NSFC 40676004, 40730107]; Key Projects in the National Science and Technology Pillar Program [2006BAB18B07]; National 973 Program [2009CB421605]</t>
  </si>
  <si>
    <t>National Science Foundation of China(National Natural Science Foundation of China (NSFC)); Key Projects in the National Science and Technology Pillar Program; National 973 Program(National Basic Research Program of China)</t>
  </si>
  <si>
    <t>We appreciate Prof. Steven D. Emslie for helpful revision to improve this manuscript. Special thanks to Prof. Fridtjof Mehlum for helpful discussion during Arctic Science Submit Week 2009 (ASSW2009). We also thank Prof. John P. Smol, Prof. Dominic A. Hodgson and an anonymous reviewer for their valuable critical comments in improving the manuscript. Authors wish to thank the Chinese Arctic and Antarctic Administration (CAAA) for supporting. This research was funded by National Science Foundation of China (Grants NSFC 40676004 and 40730107), Key Projects in the National Science and Technology Pillar Program (2006BAB18B07), and National 973 Program (2009CB421605).</t>
  </si>
  <si>
    <t>10.1007/s00300-009-0745-8</t>
  </si>
  <si>
    <t>WOS:000276615400012</t>
  </si>
  <si>
    <t>Bester, MN; Reisinger, RR</t>
  </si>
  <si>
    <t>Bester, Marthan N.; Reisinger, R. R.</t>
  </si>
  <si>
    <t>Vagrant Antarctic fur seals at Gough Island in 2009</t>
  </si>
  <si>
    <t>Antarctic fur seals; Gough Island; Subantarctic fur seals; South Atlantic Ocean</t>
  </si>
  <si>
    <t>ARCTOCEPHALUS-TROPICALIS; POPULATION-CHANGES; GAZELLA; HYBRIDIZATION</t>
  </si>
  <si>
    <t>The Antarctic fur seal Arctocephalus gazella at Gough Island (40A degrees 20'S, 09A degrees 54'W) in the South Atlantic Ocean, first seen in October/November 2005, was recorded again in September-October 2009. Up to three different individual Antarctic fur seals were sighted on a single day, on a particular beach. A total of seven different individuals were recorded over a 3-week period, well before the onset of the breeding (pupping) season of the resident population of Subantarctic fur seals A. tropicalis. Positively identified individuals were all male, mostly subadult and lean. Only a fraction (similar to 20%) of the available beaches was searched, and it is unknown if the Antarctic fur seals were still present at Gough Island during the austral summer breeding season of southern fur seals.</t>
  </si>
  <si>
    <t>[Bester, Marthan N.; Reisinger, R. R.] Univ Pretoria, Mammal Res Inst, Dept Zool &amp; Entomol, ZA-0002 Pretoria, South Africa</t>
  </si>
  <si>
    <t>University of Pretoria</t>
  </si>
  <si>
    <t>Bester, MN (corresponding author), Univ Pretoria, Mammal Res Inst, Dept Zool &amp; Entomol, ZA-0002 Pretoria, South Africa.</t>
  </si>
  <si>
    <t>mnbester@zoology.up.ac.za</t>
  </si>
  <si>
    <t>Bester, Marthán N/E-5387-2010; Reisinger, Ryan R/D-6151-2014</t>
  </si>
  <si>
    <t>Reisinger, Ryan R/0000-0002-8933-6875</t>
  </si>
  <si>
    <t>10.1007/s00300-009-0749-4</t>
  </si>
  <si>
    <t>WOS:000276615400015</t>
  </si>
  <si>
    <t>Charbonnier, Y; Delord, K; Thiebot, JB</t>
  </si>
  <si>
    <t>Charbonnier, Yohan; Delord, Karine; Thiebot, Jean-Baptiste</t>
  </si>
  <si>
    <t>King-size fast food for Antarctic fur seals</t>
  </si>
  <si>
    <t>Predation; Antarctic fur seal Arctocephalus gazella; King penguin Aptenodytes patagonicus; Direct observation; Aquatic capture</t>
  </si>
  <si>
    <t>SUMMER-AUTUMN PERIOD; ARCTOCEPHALUS-GAZELLA; MARION ISLAND; DIET; PREDATION; SEABIRDS; CROZET</t>
  </si>
  <si>
    <t>The study of scats of adult male Antarctic fur seals Arctocephalus gazella (AFS) revealed occasional frequent capture of penguins. Although AFS adult males have been occasionally reported to kill king penguins Aptenodytes patagonicus at the shore, here we report the first observations of at-sea predation by AFS on adult king penguins in the Crozet archipelago, southern Indian Ocean. During our 20 days survey, we observed 17 penguins attacked and either severely injured or killed and consumed. Only AFS adult males were seen catching king penguins successfully. Some adult females and sub-adults also attempted to catch penguins, either at sea or in land, and so did subantarctic fur seals Arctocephalus tropicalis individuals. Our results confirm the ability of fur seals to catch and predate large seabirds, even at sea.</t>
  </si>
  <si>
    <t>[Charbonnier, Yohan; Delord, Karine; Thiebot, Jean-Baptiste] CNRS, Ctr Etud Biol Chize, F-79360 Villiers En Bois, France</t>
  </si>
  <si>
    <t>Delord, K (corresponding author), CNRS, Ctr Etud Biol Chize, F-79360 Villiers En Bois, France.</t>
  </si>
  <si>
    <t>delord@cebc.cnrs.fr</t>
  </si>
  <si>
    <t>French Polar Institute; National Agency for Research; Prince Albert II de Monaco Foundation</t>
  </si>
  <si>
    <t>French Polar Institute; National Agency for Research(Agence Nationale de la Recherche (ANR)); Prince Albert II de Monaco Foundation</t>
  </si>
  <si>
    <t>This study was financially and logistically supported by the French Polar Institute (IPEV-Pr. 109 H Weimerskirch &amp; Pr. 394 C-A Bost), the National Agency for Research (program GLIDES) and the Prince Albert II de Monaco Foundation. We thank C Barbraud, C Bost, M Bester, C Guinet, GJG Hofmeyr, P Inchausti, RJ Kirkwood, and two anonymous referees for useful comments on the manuscript. Thanks to Aurelien Prudor, Martine, Felicia and Anne for their help with this offensive fieldwork.</t>
  </si>
  <si>
    <t>10.1007/s00300-009-0753-8</t>
  </si>
  <si>
    <t>WOS:000276615400017</t>
  </si>
  <si>
    <t>Tsutomu, Y; Koichiro, D; Kazuo, S</t>
  </si>
  <si>
    <t>Tsutomu, Yamanokuchi; Koichiro, Doi; Kazuo, Shibuya</t>
  </si>
  <si>
    <t>Combined use of InSAR and GLAS data to produce an accurate DEM of the Antarctic ice sheet: Example from the Breivika-Asuka station area</t>
  </si>
  <si>
    <t>InSAR; GLAS/ICESat; Digital elevation model (DEM); Ground-truth height; Traverse survey</t>
  </si>
  <si>
    <t>LASER ALTIMETRY; RADAR INTERFEROMETRY; GEOID HEIGHT</t>
  </si>
  <si>
    <t>Surface elevation data for the Breivika-Asuka Station area, East Dronning Maud Land, Antarctica, obtained during ground surveys undertaken in 1987 were compared with elevation data measured by the Geoscience Laser Altimeter System (GLAS) onboard the Ice, Cloud, and land Elevation Satellite (ICESat) in 2003. The two sets of measurements were consistent within +/- 12.4 m for an elevation range from 300 to 1000 m. We produced an interferometric synthetic aperture radar (InSAR) digital elevation model (DEM) with 50 m grid spacing and InSAR DEM heights were corrected using GLAS heights as ground-truth data. The height differences are assumed to have a quadratic function of rectangular polar stereographic coordinates with six coefficients, and the most probable estimate of the correction parameter set was calculated using a least squares method. Before correction, the root-mean-square (rms) height error was +/- 284 m; after correction, the associated error was reduced to +/- 22.3 m, where the absolute error in the horizontal coordinates (grids) was +/- 230 m. The resultant InSAR DEM height error is twice as large as the GLAS DEM height error; however, the accuracy of the resultant InSAR DEM is reasonable when we consider the limitations of single baseline InSAR and the steep slopes (range in elevation: 1000 m) within the ice sheet region. An InSAR DEM with high spatial resolution and 2 m relative accuracy in terms of yearly change is useful for monitoring ice volume (mass) change by a superconducting gravimeter. (C) 2010 Elsevier B.V. and NIPR. All rights reserved.</t>
  </si>
  <si>
    <t>[Tsutomu, Yamanokuchi] Dept Polar Sci, Tachikawa, Tokyo 1908518, Japan; [Tsutomu, Yamanokuchi] Remote Sensing Technol Ctr Japan, Minato Ku, Tokyo 1060032, Japan; [Koichiro, Doi; Kazuo, Shibuya] Natl Inst Polar Res, Tachikawa, Tokyo 1908518, Japan</t>
  </si>
  <si>
    <t>Research Organization of Information &amp; Systems (ROIS); National Institute of Polar Research (NIPR) - Japan</t>
  </si>
  <si>
    <t>Tsutomu, Y (corresponding author), Remote Sensing Technol Ctr Japan, Minato Ku, 12F,Roppongi First BLDG,1-9-9 Roppongi, Tokyo 1060032, Japan.</t>
  </si>
  <si>
    <t>tsutomuy@restec.or.jp</t>
  </si>
  <si>
    <t>Japan Society for the Promotion of Science (JSPS) [14580556]; Grants-in-Aid for Scientific Research [14580556]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</si>
  <si>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</si>
  <si>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ERS-1/-2 data used in this study were acquired at Syowa Station by the JARE-37 satellite receiving team. The European Space Agency retains ownership of the original data, which were processed and provided by the Japan Aerospace Exploration Agency/Earth Observation Center (JAXA/EOC) under an agreement between JAXA and NIPR. The authors express their sincere thanks for this contribution. This research was partly financed by a Grant-in-Aid for Scientific Research (C) (2) No. 14580556 (P.I.: K. Shibuya) from the Japan Society for the Promotion of Science (JSPS).</t>
  </si>
  <si>
    <t>10.1016/j.polar.2009.12.002</t>
  </si>
  <si>
    <t>V39ZX</t>
  </si>
  <si>
    <t>WOS:000209450000001</t>
  </si>
  <si>
    <t>Stastna, V</t>
  </si>
  <si>
    <t>Stastna, Viktorie</t>
  </si>
  <si>
    <t>Spatio-temporal changes in surface air temperature in the region of the northern Antarctic Peninsula and south Shetland islands during 1950-2003</t>
  </si>
  <si>
    <t>Surface air temperature; Trends; Antarctic peninsula</t>
  </si>
  <si>
    <t>Time series of surface air temperature recorded at eight stations upon the northern Antarctic Peninsula and South Shetland Islands were analyzed for the period 1971-2000 (longer time series were analyzed for some of the stations). Erroneous values and inhomogeneities were searched for. After homogenization, missing data were replaced by interpolated values. Monthly, seasonal, and annual trends in surface air temperature were analyzed, and their statistical significance calculated. Spatial variability in surface air-temperature trends was determined and three distinct regions identified: a southern region (Vernadsky, Rothera), eastern region (Esperanza, Marambio), and northern region (Bellingshausen, Prat, Frei, O'Higgins). Different trends in temperature were obtained for the eastern and western coasts of the Antarctic Peninsula, despite the close vicinity of the stations. The surface air temperature on the northern coast (O'Higgins) and in the northern region shows the smallest changes in temperature. The lowest surface air temperature and greatest warming trends during 1971-2000 were recorded on the eastern coast (Marambio and Esperanza) in autumn. The analyses confirm a warming trend (except for spring) at some stations. The most pronounced increasing seasonal trend was found in winter (five stations), followed by autumn (three stations). This warming is probably related to changes in atmospheric circulation, the extent of sea ice, and ocean processes. (C) 2010 Elsevier B.V. and NIPR. All rights reserved.</t>
  </si>
  <si>
    <t>[Stastna, Viktorie] Masaryk Univ, Fac Sci, Dept Geog, Kotlarska 2, CS-61137 Brno, Czech Republic</t>
  </si>
  <si>
    <t>Masaryk University Brno</t>
  </si>
  <si>
    <t>Stastna, V (corresponding author), Masaryk Univ, Fac Sci, Dept Geog, Kotlarska 2, CS-61137 Brno, Czech Republic.</t>
  </si>
  <si>
    <t>viktorie.stastna@gmail.com</t>
  </si>
  <si>
    <t>10.1016/j.polar.2010.02.001</t>
  </si>
  <si>
    <t>WOS:000209450000002</t>
  </si>
  <si>
    <t>Altmaier, M; Herpers, U; Delisle, G; Merchel, S; Ott, U</t>
  </si>
  <si>
    <t>Altmaier, Marcus; Herpers, Ulrich; Delisle, Georg; Merchel, Silke; Ott, Ulrich</t>
  </si>
  <si>
    <t>Glaciation history of Queen Maud Land (Antarctica) reconstructed from in-situ produced cosmogenic 10Be, 26Al and 21Ne</t>
  </si>
  <si>
    <t>Antarctica; Queen Maud Land; Landscape evolution; Glaciation history; Cosmogenic nuclides</t>
  </si>
  <si>
    <t>SURFACE EXPOSURE AGES; NORTHERN VICTORIA LAND; ICE-SHEET; DRY VALLEYS; TRANSANTARCTIC MOUNTAINS; PRODUCTION-RATES; EAST ANTARCTICA; NOBLE-GASES; NUCLIDES; HILLS</t>
  </si>
  <si>
    <t>We present for the first time rock exposure ages primarily for the Wohlthat Massiv/Queen Maud Land, Antarctica, determined from 54 quartz rich samples via in-situ produced Be-10 (T-1/2 = 1.51 Ma) and Al-26 (T-1/2 = 0.7 Ma) using accelerator mass spectrometry (AMS). Measured radionuclide concentrations vary from extremely low values up to saturation. For a scenario with extremely low erosion and minimal tectonic uplift Be-10 and Al-26 surface exposure ages are generally in good agreement. Long exposure ages up to &gt;8 Ma were confirmed by measurement of stable Ne-21 using noble gas mass spectrometry. Our data suggest that the regional highest mountain peaks had risen above the ice surface at least 1-4 Ma ago. Notwithstanding a 200-400 m higher ice sheet elevation persisted in the Wohlthat Massiv/Queen Maud Land until about 0.5 Ma ago. In our interpretation, the successive thinning of the ice sheet was probably in response to global cooling and less annual precipitation since the Pliocene. Our results are in line with published ice sheet modelling results predicting only modest changes in ice thickness in Queen Maud Land during the warmer'' Pliocene and during the transition to the cooler'' present. Low-level changes occurred during the last glacial maximum, but only affected the region located close to the present shelf ice. As the extremely low erosion rates (&lt;5 cm Ma(-1)) inferred for several samples can only exist under extremely cold and hyperarid conditions, we exclude a scenario featuring a prolonged period with warm and humid climatic conditions within the last 8 Ma. Our data do not support the notion of a temporary large scale retreat of the East Antarctic ice sheet during a suspected warming episode in the Pliocene. (C) 2010 Elsevier B.V. and NIPR. All rights reserved.</t>
  </si>
  <si>
    <t>[Altmaier, Marcus; Herpers, Ulrich; Merchel, Silke] Univ Cologne, Abt Nukl Chem, D-50674 Cologne, Germany; [Altmaier, Marcus; Merchel, Silke; Ott, Ulrich] Max Planck Inst Chem, D-55128 Mainz, Germany; [Delisle, Georg] Bundesanstalt Geowissensch &amp; Rohstoffe, D-30655 Hannover, Germany</t>
  </si>
  <si>
    <t>University of Cologne; Max Planck Society</t>
  </si>
  <si>
    <t>Ott, U (corresponding author), Max Planck Inst Chem, Joh J Becher Weg 27, D-55128 Mainz, Germany.</t>
  </si>
  <si>
    <t>uli.ott@mpic.de</t>
  </si>
  <si>
    <t>Ott, Ulrich/ABH-2337-2020</t>
  </si>
  <si>
    <t>Altmaier, Marcus/0000-0002-2639-0903; Merchel, Silke/0000-0002-8755-3980; Ulrich, Ott/0000-0003-3574-9591</t>
  </si>
  <si>
    <t>Deutsche Forschungsgemeinschaft (DFG) [He 1451/141]; Bundesanstalt fur Geowissenschaften und Rohstoffe (BGR)</t>
  </si>
  <si>
    <t>Deutsche Forschungsgemeinschaft (DFG)(German Research Foundation (DFG)); Bundesanstalt fur Geowissenschaften und Rohstoffe (BGR)</t>
  </si>
  <si>
    <t>This work was supported by the Deutsche Forschungsgemeinschaft (DFG), He 1451/141. The GeoMaud expedition was organized and funded by the Bundesanstalt fur Geowissenschaften und Rohstoffe (BGR). AMS measurements were performed at the ETH/PSI Zurich facility; we thank the people involved there for their help and assistance. Siegfried Herrmann contributed to the noble gas measurements. Constructive reviews that helped to improve the presentation of our results were provided by two anonymous referees. We also thank T. Dunai and R. Braucher for helpful discussions and comments on an earlier version of this manuscript.</t>
  </si>
  <si>
    <t>10.1016/j.polar.2010.01.001</t>
  </si>
  <si>
    <t>WOS:000209450000004</t>
  </si>
  <si>
    <t>Lee, SG; Koh, HY; Han, SJ; Park, H; Na, DC; Kim, IC; Lee, HK; Yim, JH</t>
  </si>
  <si>
    <t>Lee, Sung Gu; Koh, Hye Yeon; Han, Se Jong; Park, Heeyong; Na, Deuk Chae; Kim, Il-Chan; Lee, Hong Kum; Yim, Joung Han</t>
  </si>
  <si>
    <t>Expression of recombinant endochitinase from the Antarctic bacterium, Sanguibacter antarcticus KOPRI 21702 in Pichia pastoris by codon optimization</t>
  </si>
  <si>
    <t>PROTEIN EXPRESSION AND PURIFICATION</t>
  </si>
  <si>
    <t>Antarctica; Endochitinases; Codon optimization; Recombinant; Pichia pastoris</t>
  </si>
  <si>
    <t>ESCHERICHIA-COLI; HETEROLOGOUS EXPRESSION; CHITINOLYTIC ENZYMES; CHITINASES; GENE; YEAST; CLONING; ECH42</t>
  </si>
  <si>
    <t>An endochitinase was previously purified and the gene was cloned from the psychrophilic Antarctic bacterium, Sanguibacter antarcticus (KCTC 13143). In the present study, recombinant endochitinase, rChi21702, was expressed using a yeast expression system (Pichia pastoris) and codon optimization. The expressed rChi21702 was purified by Phenyl-Sepharose column chromatography. Optimal expression yielded 1-mg Purified enzyme from 1-L bioreactor culture. When p-NP-(GlcNAc)(2) Was used as a substrate, the specific activity of the enzyme was determined to be 20 U/mg. In vitro assays and thin-layer chromatography demonstrated that the recombinant enzyme has endochitinase activity that produces diacetyl-chitobiose as a dominant end product when chitooligomers, colloidal chitin, and the chromogenic p-NP-(GlcNAc)(2) are used as Substrates. optimal activity for rChi21702 was observed at 37 degrees C and a pH of 7.6. Interestingly, rChi21702 exhibited 63% of optimal activity at 10 degrees C and 44% activity at 0 degrees C. Taken together, the results indicate that rChi21702 has psychrotolerant endochitinase activity even after recombinant expression in yeast cells. (C) 2010 Elsevier Inc. All rights reserved.</t>
  </si>
  <si>
    <t>[Lee, Sung Gu; Koh, Hye Yeon; Han, Se Jong; Park, Heeyong; Na, Deuk Chae; Kim, Il-Chan; Lee, Hong Kum; Yim, Joung Han] Korea Polar Res Inst, Polar BioCtr, Inchon 406840, South Korea</t>
  </si>
  <si>
    <t>Yim, JH (corresponding author), Korea Polar Res Inst, Polar BioCtr, Inchon 406840, South Korea.</t>
  </si>
  <si>
    <t>jhyim@kopri.re.kr</t>
  </si>
  <si>
    <t>HAN, Se Jong/0000-0001-9576-2179</t>
  </si>
  <si>
    <t>The authors wish to thank Dr. Hak Jun Kim and Ha JLl Park (Korea Polar Research Institute) for inspiring Suggestions and Dr. Joseph A. Covi (Colorado State University) for his great efforts in improving the manuscript. This research was supported by a grant from the Korea Polar Research Institute (PE09050).</t>
  </si>
  <si>
    <t>1046-5928</t>
  </si>
  <si>
    <t>1096-0279</t>
  </si>
  <si>
    <t>PROTEIN EXPRES PURIF</t>
  </si>
  <si>
    <t>Protein Expr. Purif.</t>
  </si>
  <si>
    <t>10.1016/j.pep.2010.01.017</t>
  </si>
  <si>
    <t>Biochemical Research Methods; Biochemistry &amp; Molecular Biology; Biotechnology &amp; Applied Microbiology</t>
  </si>
  <si>
    <t>567YR</t>
  </si>
  <si>
    <t>WOS:000275485900017</t>
  </si>
  <si>
    <t>Banakar, VK; Mahesh, BS; Burr, G; Chodankar, AR</t>
  </si>
  <si>
    <t>Banakar, V. K.; Mahesh, B. S.; Burr, G.; Chodankar, A. R.</t>
  </si>
  <si>
    <t>Climatology of the Eastern Arabian Sea during the last glacial cycle reconstructed from paired measurement of foraminiferal δ18O and Mg/Ca</t>
  </si>
  <si>
    <t>Palaeoclimate; Arabian Sea; Mg-Ca SST; Surface salinity; Oxygen isotopes; Monsoons</t>
  </si>
  <si>
    <t>SURFACE TEMPERATURE; SUMMER MONSOON; LATE QUATERNARY; OSCILLATIONS; CALIBRATION; IMPACT; RECORD; MG</t>
  </si>
  <si>
    <t>Paired measurements of Mg/Ca and delta O-18 of Globigerenoides sacculifer from an Eastern Arabian Sea (EAS) sediment core indicate that sea-surface temperature (SST) varied within 2 degrees C and sea-surface salinity within 2 psu during the last 100 ka. SST was coldest (similar to 27 degrees C) during Marine Isotope Stage (MIS) 4 and 2. Sea-surface salinity was highest (similar to 37.5 psu) during most of the last glacial period (similar to 60-18 ka), concurrent with increased delta O-18(G.sacculifer) and C/N ratios of organic matter and indicative of sustained intense winter monsoons. SST time series are influenced by both Greenland and Antarctic climates. However, the sea-surface salinity time series and the deglacial warming in the SST record (beginning at similar to 18 ka) compare well with the LR04 benthic delta O-18-stack and Antarctic temperatures. This suggests a teleconnection between the climate in the Southern Hemisphere and the EAS. Therefore, the last 100-ka variability in EAS climatology appears to have evolved in response to a combination of global climatic forcings and regional monsoons. The most intense summer monsoons within the Holocene occurred at similar to 8 ka and are marked by SST cooling of similar to 1 degrees C, sea-surface salinity decrease of 0.5 psu, and delta O-18(G.sacculifer) decrease of 0.2%.. (C) 2010 University of Washington. Published by Elsevier Inc. All rights reserved.</t>
  </si>
  <si>
    <t>[Banakar, V. K.; Mahesh, B. S.; Chodankar, A. R.] Natl Inst Oceanog CSIR, Panaji 403004, Goa, India; [Burr, G.] NSF Arizona AMS Facil, Tucson, AZ 85721 USA</t>
  </si>
  <si>
    <t>Council of Scientific &amp; Industrial Research (CSIR) - India; CSIR - National Institute of Oceanography (NIO); National Science Foundation (NSF)</t>
  </si>
  <si>
    <t>Banakar, VK (corresponding author), Natl Inst Oceanog CSIR, Panaji 403004, Goa, India.</t>
  </si>
  <si>
    <t>banakar@nio.org</t>
  </si>
  <si>
    <t>Badnal, Mahesh/0000-0001-6593-4611; Burr, George/0000-0003-0068-7589</t>
  </si>
  <si>
    <t>CSIR</t>
  </si>
  <si>
    <t>CSIR(Council of Scientific &amp; Industrial Research (CSIR) - India)</t>
  </si>
  <si>
    <t>Constructive reviews and valuable suggestions by two anonymous reviewers and the associate and senior editors were of great benefit. The Ministry of Earth Sciences provided ship time to collect the present sediment core and the National Institute of Oceanography provided all logistic support. K. van der Borg of Utrecht University and De-Martino Mitzi of Arizona University carried out AMS-measurements for radiocarbon ages. BSM and ARC thank CSIR for providing them fellowships during the time of the present study. (This is NIO Contribution No: 4691).</t>
  </si>
  <si>
    <t>10.1016/j.yqres.2010.02.002</t>
  </si>
  <si>
    <t>594SH</t>
  </si>
  <si>
    <t>WOS:000277557200011</t>
  </si>
  <si>
    <t>Herguera, JC; Herbert, T; Kashgarian, M; Charles, C</t>
  </si>
  <si>
    <t>Herguera, J. C.; Herbert, T.; Kashgarian, M.; Charles, C.</t>
  </si>
  <si>
    <t>Intermediate and deep water mass distribution in the Pacific during the Last Glacial Maximum inferred from oxygen and carbon stable isotopes</t>
  </si>
  <si>
    <t>SANTA-BARBARA BASIN; SEA-SURFACE TEMPERATURE; NORTH PACIFIC; CALIFORNIA CURRENT; ATMOSPHERIC CO2; EQUATORIAL PACIFIC; OCEAN CIRCULATION; CLIMATE-CHANGE; VENTILATION; RECORD</t>
  </si>
  <si>
    <t>Intermediate ocean circulation changes during the last Glacial Maximum (LGM) in the North Pacific have been linked with Northern Hemisphere climate through air sea interactions, although the extent and the source of the variability of the processes forcing these changes are still not well resolved. The ventilated volumes and ages in the upper wind driven layer are related to the wind stress curl and surface buoyancy fluxes at mid to high latitudes in the North Pacific. In contrast, the deeper thermohaline layers are more effectively ventilated by direct atmosphere-sea exchange during convective formation of Subantarctic Mode Waters (SAMW) and Antarctic Intermediate Waters (AAIW) in the Southern Ocean, the precursors of Pacific Intermediate Waters (PIW) in the North Pacific. Results reported here show a fundamental change in the carbon isotopic gradient between intermediate and deep waters during the LGM in the eastern North Pacific indicating a deepening of nutrient and carbon rich waters. These observations suggest changes in the source and nature of intermediate waters of Southern Ocean origin that feed PIW and enhanced ventilation processes in the North Pacific, further affecting paleoproductivity and export patters in this basin. Furthermore, oxygen isotopic results indicate these changes may have been accomplished in part by changes in circulation affecting the intermediate depths during the LGM. (C) 2010 Elsevier Ltd. All rights reserved.</t>
  </si>
  <si>
    <t>[Herguera, J. C.] Ctr Invest Cient &amp; Ensenanza Super, Ensenada, Baja California, Mexico; [Herbert, T.] Brown Univ, Dept Geol Sci, Providence, RI 02912 USA; [Kashgarian, M.] Lawrence Livermore Natl Lab, Ctr AMS, Livermore, CA USA; [Charles, C.] UCSD, Scripps Inst Oceanog, La Jolla, CA USA</t>
  </si>
  <si>
    <t>Brown University; United States Department of Energy (DOE); Lawrence Livermore National Laboratory; University of California System; University of California San Diego; Scripps Institution of Oceanography</t>
  </si>
  <si>
    <t>Herguera, JC (corresponding author), Ctr Invest Cient &amp; Ensenanza Super, Ensenada, Baja California, Mexico.</t>
  </si>
  <si>
    <t>herguera@cicese.mx</t>
  </si>
  <si>
    <t>Kashgarian, Michaele/E-1665-2011; Herguera, Juan Carlos/B-7812-2016</t>
  </si>
  <si>
    <t>Kashgarian, Michaele/0000-0001-7824-8418; Herguera, Juan Carlos/0000-0001-8335-2607</t>
  </si>
  <si>
    <t>IAI [UCAR 97-73970]; CONACyT [G35229-T, C01-46152]</t>
  </si>
  <si>
    <t>IAI; CONACyT(Consejo Nacional de Ciencia y Tecnologia (CONACyT))</t>
  </si>
  <si>
    <t>We are grateful to the late Adolfo Molina Cruz and Maria Luisa Machain for inviting us to participate in some of their cruises when some of the cores here reported were collected, to Captain P. Barajas and the BO El Puma crew for their highly professional talents and cordiality aboard the ship, to Rick Jahnke and Jeff Schuffert for sharing their core collection with us, to Warren Smith for his great help at the SIO Core repository, Ule Ninnemann and Graham Mortyn for their help at the stable isotope lab and to reviewers comments and suggestions which aided greatly to refocus this paper. Funding of this work was provided by IAI grant UCAR 97-73970, and CONACyT grants G35229-T and C01-46152.</t>
  </si>
  <si>
    <t>10.1016/j.quascirev.2010.02.009</t>
  </si>
  <si>
    <t>598DM</t>
  </si>
  <si>
    <t>WOS:000277813300013</t>
  </si>
  <si>
    <t>Bomfleur, B; Kerp, H</t>
  </si>
  <si>
    <t>Bomfleur, Benjamin; Kerp, Hans</t>
  </si>
  <si>
    <t>The first record of the dipterid fern leaf Clathropteris Brongniart from Antarctica and its relation to Polyphacelus stormensis Yao, Taylor et Taylor nov emend.</t>
  </si>
  <si>
    <t>Dipteridaceae; Cheiropleuria; plant anatomy; phytogeography; palaeoclimate; Jurassic; Transantarctic Mountains</t>
  </si>
  <si>
    <t>HAUSMANNIA; FERRAR</t>
  </si>
  <si>
    <t>We here present newly discovered dipterid fern fossils from the Lower Jurassic of the Transantarctic Mountains. Impression/compression specimens can be assigned to Clathropteris meniscoides Brongniart. This is the first record of C meniscoides from the Southern Hemisphere and one of only very few Gondwana occurrences of Clathropteris. In addition, newly discovered material of Polyphacelus stormensis Yao, Taylor et Taylor, an anatomically preserved dipterid fern, provides compelling evidence that it represents permineralizations of C meniscoides. New fertile material of Polyphacelus enables an emendation of genus and species diagnosis to include additional details, i.e., a quadriseriate sporangial stalk, a continuous annulus span and vertical to slightly oblique orientation of the annulus, and trilete spores. As in several other anatomically preserved fossil dipterid ferns, the combination of fertile characters appears intermediate between those of the extant genera Dipteris Reinwardt and Cheiropleuria Presl. The Antarctic fern Clathropteris/Polyphacelus grew under very unstable environmental conditions with high volcanic activity. Sedimentological data and co-occurring plant fossils suggest that this dipterid usually formed part of the herbaceous understorey in an open, bennettitalean-dominated vegetation, but became locally dominant in pioneering communities that colonized freshly exposed habitats, e.g., after catastrophic volcanic events. It is generally assumed that fossil dipterid ferns grew in subtropical to tropical climatic regimes similar to their extant relatives. However, palaeoclimatic reconstructions indicate that the East Antarctic dipterid ferns apparently flourished in a cool-temperate biome in the continental interior of southern Gondwana. (C) 2010 Elsevier B.V. All rights reserved.</t>
  </si>
  <si>
    <t>[Bomfleur, Benjamin; Kerp, Hans] Univ Munster, Forsch Stelle Palaobot Inst Geol &amp; Palaontol, D-48143 Munster, Germany</t>
  </si>
  <si>
    <t>University of Munster</t>
  </si>
  <si>
    <t>Bomfleur, B (corresponding author), Univ Munster, Forsch Stelle Palaobot Inst Geol &amp; Palaontol, Hindenburgpl 57, D-48143 Munster, Germany.</t>
  </si>
  <si>
    <t>bennibomfleur@gmx.de</t>
  </si>
  <si>
    <t>Kerp, Hans/AAJ-1102-2020</t>
  </si>
  <si>
    <t>Bomfleur, Benjamin/0000-0002-2186-4970</t>
  </si>
  <si>
    <t>Deutsche Forschungsgemeinschaft [KE 584/12-1, KE 584/16-1, KE 584/16-2]</t>
  </si>
  <si>
    <t>B.B. thanks the Bundesanstalt fur Geowissenschaften und Rohstoffe (BGR), Hannover, for the invitation to join the Ganovex IX expedition and for great logistical support in the field, and J. Schneider (Freiberg), R. Schoner (Jena), and L Viereck-Gotte (Jena) for a fruitful and enjoyable field work and valuable discussion. Technical support by the AlfredWegener-Institut f r Meeres- und Polarforschung (AWI), Bremerhaven, is gratefully acknowledged. We thank H. Hass (Munster) for technical assistance, and gratefully acknowledge further technical support by G. Schreiber (Munster). We greatly appreciate constructive comments and suggestions by E.L. Taylor (Lawrence, KS, USA), M.H. Stephenson (Nottingham, UK), and an anonymous reviewer. Financial support has been provided by the Deutsche Forschungsgemeinschaft (grants KE 584/ 12-1, KE 584/16-1 and KE 584/16-2 to H.K.).</t>
  </si>
  <si>
    <t>10.1016/j.revpalbo.2010.02.003</t>
  </si>
  <si>
    <t>603NV</t>
  </si>
  <si>
    <t>WOS:000278216200006</t>
  </si>
  <si>
    <t>Vallati, P</t>
  </si>
  <si>
    <t>Vallati, Patricia</t>
  </si>
  <si>
    <t>PALYNOLOGICAL ASSEMBLAGES WITH ANGIOSPERMS IN THE UPPER CRETACEOUS OF THE NEUQUEN BASIN, ARGENTINA</t>
  </si>
  <si>
    <t>Portuguese</t>
  </si>
  <si>
    <t>angiosperm pollen; Upper Cretaceous; Neuquen Basin; Argentina; paleobiogeography</t>
  </si>
  <si>
    <t>BEDS</t>
  </si>
  <si>
    <t>PALYNOLOGICAL ASSEMBLAGES WITH ANGIOSPERMS IN THE UPPER CRETACEOUS OF THE NEUQUEN BASIN, ARGENTINA. Two new palynological assemblages including angiosperm pollen grains from Upper Cretaceous outcrops in the Neuquen Basin (west-central Argentina) are characterized and their biogeographic relationships are interpreted. The first one of the microfloras, from the stratigraphic unit Bajo de la Carpa, in the Neuquen Group at El Zampal, south of Mendoza, is characterized by the Confossia vulgaris-Cretacaeiporites scabratus pair, and it is assigned to the Santonian-?lower Campanian chronostratigraphic interval. This assemblage includes some elements recorded in Brazil and Africa, and it seems to belong to a transitional belt between the Equatorial and Austral paleofloristic provinces. The second one, from the Allen Formation at Lomas Coloradas, northeast of Neuquen province, is characterized by the Tricesticillus tetris-Peninsulapollis gilli pair, and it is assigned to the Campanian-Maastrichtian interval. Several representative components of the latter assemblage are well represented in Australia and the Antarctic Peninsula. The new information provided by these microfloras extends the palynological record, within the framework of a developing project that involves Cretaceous assemblages with angiosperms in central and septentrional Patagonia.</t>
  </si>
  <si>
    <t>UNPSJB, Lab Bioestratig, Comodoro Rivadavia, Chubut, Argentina</t>
  </si>
  <si>
    <t>Vallati, P (corresponding author), UNPSJB, Lab Bioestratig, Ciudad Univ 9000, Comodoro Rivadavia, Chubut, Argentina.</t>
  </si>
  <si>
    <t>patricia.vallati@gmail.com</t>
  </si>
  <si>
    <t>MAY-AUG</t>
  </si>
  <si>
    <t>10.4072/rbp.2010.2.07</t>
  </si>
  <si>
    <t>648NJ</t>
  </si>
  <si>
    <t>WOS:000281700900007</t>
  </si>
  <si>
    <t>Bakunov, NA; Bolshiyanov, DY; Makarov, AS; Fedorov, GB</t>
  </si>
  <si>
    <t>Bakunov, N. A.; Bolshiyanov, D. Yu.; Makarov, A. S.; Fedorov, G. B.</t>
  </si>
  <si>
    <t>Problems in Predicting 137Cs Levels in Lake Waters of Eastern Fennoscandia</t>
  </si>
  <si>
    <t>RUSSIAN JOURNAL OF ECOLOGY</t>
  </si>
  <si>
    <t>Cs-137; lake; sorption; bottom sediments</t>
  </si>
  <si>
    <t>With regard to data on two-year exposure of Chernobyl-derived Cs-137 in lakes with average depths ranging from 2 to 15 m, contamination of lake waters has been estimated using a sorption-diffusion model with Cs-137 distribution and diffusion coefficients of 4000 l/kg and 1.0 x 10(-7) cm(2), respectively.</t>
  </si>
  <si>
    <t>[Bakunov, N. A.; Bolshiyanov, D. Yu.; Makarov, A. S.; Fedorov, G. B.] Arctic &amp; Antarctic Res Inst, St Petersburg 199397, Russia</t>
  </si>
  <si>
    <t>bolshiynov@aari.nw.ru</t>
  </si>
  <si>
    <t>Fedorov, Grigory/N-5788-2019; Makarov, Andrei/F-3285-2019; Fedorov, Grigory/N-3444-2013</t>
  </si>
  <si>
    <t>Fedorov, Grigory/0000-0003-2269-4501; Fedorov, Grigory/0000-0003-2269-4501</t>
  </si>
  <si>
    <t>1067-4136</t>
  </si>
  <si>
    <t>RUSS J ECOL+</t>
  </si>
  <si>
    <t>Russ. J. Ecol.</t>
  </si>
  <si>
    <t>10.1134/S1067413610030057</t>
  </si>
  <si>
    <t>633GN</t>
  </si>
  <si>
    <t>WOS:000280488800005</t>
  </si>
  <si>
    <t>Cai, MG; Qiu, CR; Shen, Y; Cai, MH; Huang, SY; Qian, BH; Sun, JH; Liu, XY</t>
  </si>
  <si>
    <t>Cai MingGang; Qiu CanRong; Shen Yuan; Cai MingHong; Huang ShuiYing; Qian BiHua; Sun JiongHui; Liu XiaoYan</t>
  </si>
  <si>
    <t>Concentration and distribution of 17 organochlorine pesticides (OCPs) in seawater from the Japan Sea northward to the Arctic Ocean</t>
  </si>
  <si>
    <t>SCIENCE CHINA-CHEMISTRY</t>
  </si>
  <si>
    <t>organochlorine pesticides; Arctic Ocean; solid-phase extraction; solid-phase microextraction</t>
  </si>
  <si>
    <t>WATER GAS-EXCHANGE; MARINE FOOD-CHAINS; HEXACHLOROCYCLOHEXANE ISOMERS; SPATIAL-DISTRIBUTION; SURFACE SEAWATER; GLOBAL TRANSPORT; TEMPORAL TRENDS; PACIFIC-OCEAN; CONTAMINANTS; AIR</t>
  </si>
  <si>
    <t>Seventeen classic organochlorine pesticides in surface seawater were studied in terms of their composition pattern as well as their distribution pattern in the areas covering the Japan Sea, Okhotsk Sea, Bering Sea, Chukchi Sea and Arctic Ocean. Their concentrations varied, but roughly two levels were seen with one ranging between 0.1 and 1 ng L-1 for most HCH isomers and the other lower than 0.1 ng L-1 for other chemicals. Of the 17 target compounds, HCHs were dominant with a total concentration percentage generally more than 50%, and a relatively high concentration percentage of heptachlor and aldrine was also observed at scattered stations. The historical long-term trend of several target chemicals in the five sea zones considered was discussed in comparison with previous reports. Inter-sea zone comparison was carried out for individual chemicals by comparing the concentration variation in all five sea zones. A higher variation in concentration was generally found in the northern sea zones, namely the Bering Sea, Chukchi Sea and Arctic Ocean, for most target compounds. The sum concentration of the 17 target chemicals displayed a general trend of increasing northward from the Japan Sea to the Okhotsk Sea to the Bering Sea to the Arctic Ocean. Different latitudinal trends were found for alpha-HCH and gamma-HCH, and the reason of this difference was discussed by considering their divergence of thermodynamic properties, which could contribute to a slightly different fractionation effect during their northward transport driven by atmospheric long range transport. The source of the HCHs was identified by analyzing the alpha-HCH/gamma-HCH ratio, which was less than 4 without exception, indicating a component characteristic featuring a mixture of technical HCHs and lindane. In addition, the vertical distribution of alpha-HCH, gamma-HCH and their ratio at station B80 was discussed. Different patterns were found in the upper 300 m while in layers from 300 m downward to 3500 m the patterns were fairly comparable. The vertical profiles were used to correlate the water mass distribution, based on which four layers were tentatively classified at station B80.</t>
  </si>
  <si>
    <t>[Cai MingGang; Qiu CanRong; Shen Yuan; Huang ShuiYing; Qian BiHua; Sun JiongHui; Liu XiaoYan] Xiamen Univ, Dept Oceanog, Coll Oceanog &amp; Environm Sci, Xiamen 361005, Peoples R China; [Cai MingGang] Xiamen Univ, State Key Lab Marine Environm Sci, Xiamen 361005, Peoples R China; [Cai MingHong] Polar Res Inst China, State Ocean Adm Key Lab Polar Sci, Shanghai 200136, Peoples R China</t>
  </si>
  <si>
    <t>Xiamen University; Xiamen University; Polar Research Institute of China</t>
  </si>
  <si>
    <t>Cai, MG (corresponding author), Xiamen Univ, Dept Oceanog, Coll Oceanog &amp; Environm Sci, Xiamen 361005, Peoples R China.</t>
  </si>
  <si>
    <t>mgcai@xmu.edu.cn</t>
  </si>
  <si>
    <t>Liu, XiaoYan/GQA-7216-2022; cai, minggang/G-3979-2010; HUANG, Shuiying/C-3117-2014; SHEN, YUAN/B-8222-2009</t>
  </si>
  <si>
    <t>cai, minggang/0000-0003-2828-0529; SHEN, YUAN/0000-0001-6618-4226</t>
  </si>
  <si>
    <t>National Natural Science Foundation of China [40776040, 40306012, 40776003]; National High Technology Research and Development Program of China [2007AA09Z121]; Ocean Public Welfare Scientific Research Project; State Oceanic Administration of China [200805095]; Fujian Provincial Department of Science Technology [2005Y021]; Chinese Arctic and Antarctic Administration, State Oceanic Administration of China</t>
  </si>
  <si>
    <t>National Natural Science Foundation of China(National Natural Science Foundation of China (NSFC)); National High Technology Research and Development Program of China(National High Technology Research and Development Program of China); Ocean Public Welfare Scientific Research Project; State Oceanic Administration of China; Fujian Provincial Department of Science Technology; Chinese Arctic and Antarctic Administration, State Oceanic Administration of China</t>
  </si>
  <si>
    <t>This work was mainly supported by the National Natural Science Foundation of China (40776040, 40306012 &amp; 40776003) and partly funded by the National High Technology Research and Development Program of China (2007AA09Z121), the Ocean Public Welfare Scientific Research Project, the State Oceanic Administration of China (200805095) and the Fujian Provincial Department of Science &amp; Technology (2005Y021). Thanks are also given to the crew of the R/V Xuelong, for support from the Chinese Arctic and Antarctic Administration, State Oceanic Administration of China and to the Experimental Center of the College of Oceanography and Environmental Science, Xiamen University for providing the gas chromatograph analyzer. We are also grateful to Professor John Hodgkiss for his assistance with English.</t>
  </si>
  <si>
    <t>1674-7291</t>
  </si>
  <si>
    <t>1869-1870</t>
  </si>
  <si>
    <t>SCI CHINA CHEM</t>
  </si>
  <si>
    <t>Sci. China-Chem.</t>
  </si>
  <si>
    <t>10.1007/s11426-010-0182-0</t>
  </si>
  <si>
    <t>604FU</t>
  </si>
  <si>
    <t>WOS:000278263500010</t>
  </si>
  <si>
    <t>Chen, BL; Zhang, RH; Sun, SF; Bian, LG; Xiao, CD; Zhang, TJ</t>
  </si>
  <si>
    <t>Chen BaiLian; Zhang RenHe; Sun ShuFen; Bian LinGen; Xiao CunDe; Zhang TingJun</t>
  </si>
  <si>
    <t>A one-dimensional heat transfer model of the Antarctic Ice Sheet and modeling of snow temperatures at Dome A, the summit of Antarctic Plateau</t>
  </si>
  <si>
    <t>Antarctic Ice Sheet; near-surface layer; energy transfer; numerical model</t>
  </si>
  <si>
    <t>SURFACE-ENERGY BALANCE; LONG-WAVE-RADIATION; CLIMATE; PARAMETERIZATION; GREENLAND</t>
  </si>
  <si>
    <t>A vertical one-dimensional numerical model for heat transferring within the near-surface snow layer of the Antarctic Ice Sheet was developed based on simplified parameterizations of associated physical processes for the atmosphere, radiation, and snow/ice systems. Using the meteorological data of an automatic weather station (AWS) at Dome A (80A degrees 22'S, 70A degrees 22'E), we applied the model to simulate the seasonal temperature variation within a depth of 20 m. Comparison of modeled results with observed snow temperatures at 4 measurement depths (0.1, 1, 3, 10 m) shows good agreement and consistent seasonal variations. The model results reveal the vertical temperature structure within the near-surface snow layer and its seasonal variance with more details than those by limited measurements. Analyses on the model outputs of the surface energy fluxes show that: 1) the surface energy balance at Dome A is characterized by the compensation between negative net radiation and the positive sensible fluxes, and 2) the sensible heat is on average transported from the atmosphere to the snow, and has an evident increase in spring. The results are considered well representative for the highest interior Antarctic Plateau.</t>
  </si>
  <si>
    <t>[Zhang RenHe; Bian LinGen; Xiao CunDe] Chinese Acad Meteorol Sci, Beijing 100081, Peoples R China; [Chen BaiLian; Sun ShuFen] Chinese Acad Sci, Inst Atmospher Phys, Beijing 100029, Peoples R China; [Chen BaiLian] Chinese Acad Sci, Grad Univ, Beijing 100049, Peoples R China; [Xiao CunDe] Chinese Acad Sci, Cold &amp; Arid Reg Environm &amp; Engn Res Inst, Lanzhou 730000, Peoples R China; [Zhang TingJun] Univ Colorado, Natl Snow &amp; Ice Data Ctr, Boulder, CO 80309 USA</t>
  </si>
  <si>
    <t>ZHANG, TINGJUN/AAX-3662-2020; Zhang, Renhe/AAA-6301-2020</t>
  </si>
  <si>
    <t>National Science &amp; Technology Pillar Program of China [2006BAC06B05]; Treasury Special Program of China [GYHY200706005]; National Natural Sciecne Foundation of China [40921003]; Ministry of Science and Technology of China [2009DFA21430]</t>
  </si>
  <si>
    <t>National Science &amp; Technology Pillar Program of China; Treasury Special Program of China; National Natural Sciecne Foundation of China; Ministry of Science and Technology of China(Ministry of Science and Technology, China)</t>
  </si>
  <si>
    <t>We thank China Administration of Arctic and Antarctic of national Oceanic Bureau and the Polar Research Institute of China for providing data and logistic support. This work was supported by the National Science &amp; Technology Pillar Program of China (Grant No. 2006BAC06B05), the Treasury Special Program of China (Grant No. GYHY200706005), National Natural Sciecne Foundation of China (Grant No. 40921003), and the International S &amp; T Cooperation Project of the Ministry of Science and Technology of China (Grant No. 2009DFA21430).</t>
  </si>
  <si>
    <t>10.1007/s11430-010-0017-z</t>
  </si>
  <si>
    <t>595WW</t>
  </si>
  <si>
    <t>WOS:000277645400014</t>
  </si>
  <si>
    <t>Mendes, D; Souza, EP; Marengo, JA; Mendes, MCD</t>
  </si>
  <si>
    <t>Mendes, David; Souza, Enio P.; Marengo, Jose A.; Mendes, Monica C. D.</t>
  </si>
  <si>
    <t>Climatology of extratropical cyclones over the South American-southern oceans sector</t>
  </si>
  <si>
    <t>THEORETICAL AND APPLIED CLIMATOLOGY</t>
  </si>
  <si>
    <t>NUMERICAL SCHEME; DIGITAL DATA; HEMISPHERE; VARIABILITY; CIRCULATION; BEHAVIOR; PACIFIC; IDENTIFICATION; CYCLOGENESIS; REANALYSIS</t>
  </si>
  <si>
    <t>A climatology of extratropical cyclones is presented. Extratropical cyclones, their main characteristics and their predominant tracks, as well as their interannual variability, affect weather in South America. For that purpose, a storm track database has been compiled by applying a cyclone tracking scheme to six-hourly sea level pressure fields, available from the National Center for Environmental Prediction-National Center for Atmospheric Research reanalyses II for the 1979-2003 period. The spatial distribution of the cyclogenesis frequency shows two main centers: one around Northern Argentina, Uruguay, and Southern Brazil in all seasons and the other near to the North Antarctic Peninsula. The lifetime of extratropical cyclones in the South American sector exhibits small seasonality, being typically of the order of 3.0 days during most of the year and slightly higher (3.5 days) in austral summer. The distance travelled by the cyclones formed in the South American sector tends to be smaller than the total paths found in other areas of the Southern Hemisphere. A k-mean clustering technique is used to summarize the analysis of the 25-year climatology of cyclone tracks. Three clusters were found: one storm-track cluster in Northeast Argentina; a second one west of the Andes Cordillera; and a third cluster located to the north of the Antarctic Peninsula (around the Weddell Sea). The influence of the Antarctic Oscillation (AAO) in the variability of extratropical cyclones is explored, and some signals of the impacts of the variability of the AAO can be observed in the position of the extratropical cyclones around 40A degrees S, while the impacts on the intensity is detected around 55A degrees S.</t>
  </si>
  <si>
    <t>[Mendes, David; Mendes, Monica C. D.] CPTEC, INPE, Sao Paulo, Brazil; [Souza, Enio P.] Univ Fed Campina Grande, Dept Ciencias Atmosfer, Campina Grande, Paraiba, Brazil; [Mendes, David; Marengo, Jose A.] Ctr Ciencia Sistema Terr, Inst Nacl Pesquisas Espaciais, BR-12630000 Sao Paulo, Brazil</t>
  </si>
  <si>
    <t>Instituto Nacional de Pesquisas Espaciais (INPE); Universidade Federal de Campina Grande; Instituto Nacional de Pesquisas Espaciais (INPE)</t>
  </si>
  <si>
    <t>Mendes, D (corresponding author), CPTEC, INPE, Sao Paulo, Brazil.</t>
  </si>
  <si>
    <t>dmendes@cptec.inpe.br</t>
  </si>
  <si>
    <t>Souza, Enio P/G-3233-2012; Mendes, Monica/JCO-5241-2023; Mendes, David/B-4377-2011; MENDES, DAVID/IXX-0718-2023; Marengo, Jose A/J-9382-2012</t>
  </si>
  <si>
    <t>Mendes, David/0000-0003-1418-5109; Souza, Enio P./0000-0001-6154-398X</t>
  </si>
  <si>
    <t>POCTI program (Portuguese Office for Science and Technology) [BD/8482/2002]; FAPESP [07/50145-4]; Brazilian Conselho Nacional de Desenvolvimento Cientifico e Tecnologico-CNPq; Fundacao de Amparo a Pesquisa do Estado de Sao Paulo (FAPESP) [07/50145-4] Funding Source: FAPESP</t>
  </si>
  <si>
    <t>POCTI program (Portuguese Office for Science and Technology); FAPESP(Fundacao de Amparo a Pesquisa do Estado de Sao Paulo (FAPESP)); Brazilian Conselho Nacional de Desenvolvimento Cientifico e Tecnologico-CNPq(Conselho Nacional de Desenvolvimento Cientifico e Tecnologico (CNPQ)); Fundacao de Amparo a Pesquisa do Estado de Sao Paulo (FAPESP)(Fundacao de Amparo a Pesquisa do Estado de Sao Paulo (FAPESP))</t>
  </si>
  <si>
    <t>The present work was supported by the POCTI program (Portuguese Office for Science and Technology), Grant BD/8482/2002 and FAPESP grant 07/50145-4, and Enio P. Souza and Jose A. Marengo were funded by the Brazilian Conselho Nacional de Desenvolvimento Cientifico e Tecnologico-CNPq. The authors would like to thank Dr. Isabel F. Trigo and Dr. Pedro A. Miranda for their helpful suggestions. We are also grateful for the helpful comments made by two anonymous reviewers.</t>
  </si>
  <si>
    <t>Vienna</t>
  </si>
  <si>
    <t>Prinz-Eugen-Strasse 8-10, A-1040 Vienna, AUSTRIA</t>
  </si>
  <si>
    <t>0177-798X</t>
  </si>
  <si>
    <t>1434-4483</t>
  </si>
  <si>
    <t>THEOR APPL CLIMATOL</t>
  </si>
  <si>
    <t>Theor. Appl. Climatol.</t>
  </si>
  <si>
    <t>10.1007/s00704-009-0161-6</t>
  </si>
  <si>
    <t>588UE</t>
  </si>
  <si>
    <t>WOS:000277098800001</t>
  </si>
  <si>
    <t>Choi, KS; Byun, HR</t>
  </si>
  <si>
    <t>Choi, Ki-Seon; Byun, Hi-Ryong</t>
  </si>
  <si>
    <t>Possible relationship between western North Pacific tropical cyclone activity and Arctic Oscillation</t>
  </si>
  <si>
    <t>LARGE-SCALE CIRCULATION; EL-NINO; EXTRATROPICAL CIRCULATION; INTERANNUAL VARIABILITY; ANTARCTIC OSCILLATION; ANNULAR MODES; PART II; WINTER; TELECONNECTION; TEMPERATURES</t>
  </si>
  <si>
    <t>This study found that Arctic Oscillation (AO) has a significant influence on tropical cyclone (TC) activities in the western North Pacific during the boreal summer (July, August, and September). During low- (high-) AO years, more TCs formed over east (west) of 150A degrees E, recurved in the east (west), and passed over the midlatitudes (southeast Asian region), including Korea and Japan (South China Sea and south China), compared to the high- (low-) AO years. In particular, the TC passage frequency difference between the two periods showed a dipole-like pattern between the regions of Southeast and Northeast Asia. The differences between these two periods were caused by a stronger anticyclonic circulation located around Korea and Japan during high-AO years. This circulation played a significant role in blocking the movement of TCs toward Korea and Japan during high-AO years. Instead, TCs moved westward toward the SCS and southern China along the easterly and southeasterly steering flow of this anticyclonic circulation. As a result, TC lifetime and intensity were shorter and weaker during high-AO years.</t>
  </si>
  <si>
    <t>[Choi, Ki-Seon; Byun, Hi-Ryong] Pukyong Natl Univ, Dept Environm Atmospher Sci, Pusan 608737, South Korea</t>
  </si>
  <si>
    <t>Pukyong National University</t>
  </si>
  <si>
    <t>Byun, HR (corresponding author), Pukyong Natl Univ, Dept Environm Atmospher Sci, Daeyeon 3 Dong, Pusan 608737, South Korea.</t>
  </si>
  <si>
    <t>hrbyun@pknu.ac.kr</t>
  </si>
  <si>
    <t>Korea Meteorological Administration [CATER 2006-2306]</t>
  </si>
  <si>
    <t>Korea Meteorological Administration(Korea Meteorological Administration (KMA))</t>
  </si>
  <si>
    <t>This work was funded by the Korea Meteorological Administration Research and Development Program under Grant CATER 2006-2306.</t>
  </si>
  <si>
    <t>10.1007/s00704-009-0187-9</t>
  </si>
  <si>
    <t>WOS:000277098800003</t>
  </si>
  <si>
    <t>Steffen, W</t>
  </si>
  <si>
    <t>Steffen, Will</t>
  </si>
  <si>
    <t>Observed trends in Earth System behavior</t>
  </si>
  <si>
    <t>ANTARCTIC ICE-SHEET; HUMAN APPROPRIATION; ATMOSPHERIC CO2; CLIMATE-CHANGE; CARBON-CYCLE; BIODIVERSITY; NITROGEN; FUTURE; CORE; ANTHROPOCENE</t>
  </si>
  <si>
    <t>The behavior of the Earth System over the past two centuries has been dominated by the rapid rise of human activities as a significant geophysical force at the global scale. After the proximate and ultimate human drivers of change in the Earth System are described, the cumulative impact of these drivers on the structure and functioning of the Earth System are explored. Although the imprints of human activities are most profound on the land surface and in the atmosphere, significant effects are also discernible in the coastal seas, in the ocean, and-indirectly-in the cryosphere. The perturbations to the carbon cycle by human activities, most notably the burning of fossil fuels, is the most well-known example of change in global biogeochemical cycling over the past two centuries. However, human modification of the nitrogen cycle is arguably even more pervasive, and other biogeochemical cycles, such as the phosphorus and sulfur cycles, have also been significantly altered by human activities. The changes to the planet's biodiversity over the past two centuries have been profound and continue to accelerate; the Earth is now in the midst of its sixth great extinction event. All of these human-driven changes have implications for the climate system, and in turn are affected by changes in the physical climate. The concept of the Anthropocene-the proposal that the Earth has entered a new geological epoch-is a powerful way to understand the many interacting ways in which over six billion humans have collectively become a geophysical force that rivals the great forces of Nature and are now driving accelerating changes to the behavior of the Earth System. (C) 2010 John Wiley &amp; Sons, Ltd. WIREs Clim Change 2010 1 428-449</t>
  </si>
  <si>
    <t>Australian Natl Univ, Climate Change Inst, Canberra, ACT 0200, Australia</t>
  </si>
  <si>
    <t>Australian National University</t>
  </si>
  <si>
    <t>Steffen, W (corresponding author), Australian Natl Univ, Climate Change Inst, GPO Box 4, Canberra, ACT 0200, Australia.</t>
  </si>
  <si>
    <t>will.steffen@anu.edu.au</t>
  </si>
  <si>
    <t>10.1002/wcc.36</t>
  </si>
  <si>
    <t>778VD</t>
  </si>
  <si>
    <t>WOS:000291735500013</t>
  </si>
  <si>
    <t>Heiden, ES; Gore, DB; Stark, SC</t>
  </si>
  <si>
    <t>Heiden, E. S.; Gore, D. B.; Stark, S. C.</t>
  </si>
  <si>
    <t>Transportable EDXRF analysis of environmental water samples using Amberlite IRC748 ion-exchange preconcentration</t>
  </si>
  <si>
    <t>X-RAY SPECTROMETRY</t>
  </si>
  <si>
    <t>THALA VALLEY TIP; METAL CONTAMINANTS; CASEY-STATION; TRACE-METALS; PRESERVATION; RESIN; ACID; PURIFICATION; SPECTROMETRY; ESTUARINE</t>
  </si>
  <si>
    <t>Transportable energy-dispersive X-ray fluorescence spectrometers allow on-site assessment of metal-contaminated soils, sediments and other solids. Multi-element analysis of liquid samples, such as surface water, groundwater, acid leach and aqueous soil extracts, would enhance on-site environmental assessments. However, transportable spectrometers typically have detection limits for metals in waters of approximately 1-10 mg l(-1), whereas many toxic elements are regulated at concentrations of 1-10 mu g l(-1). If detection limits for this technique can be lowered, then only one analytical tool, a transportable XRF spectrometer, may be sufficient for remote areas, increasing program flexibility and reducing the amount of equipment that needs to be purchased, transported and operated. This research develops an in-field preconcentration technique using Amberlite IRC748 cation-exchange resin, followed by XRF analysis of Fe, Ni, Cu, Zn and Pb at mu g l(-1) concentrations in aqueous samples. The operational parameters tested to maximise analyte recovery included flow rate, and the mass and chemical form of the resin. The method was tested with extracts from landfill soils and surface waters from a derelict base metal mine. The method recovered Cu, Zn and Pb accurately, and Ni and Fe at concentrations satisfactory for screening purposes. Copyright (C) 2010 John Wiley &amp; Sons, Ltd.</t>
  </si>
  <si>
    <t>[Heiden, E. S.; Gore, D. B.] Macquarie Univ, N Ryde, NSW 2109, Australia; [Stark, S. C.] Australian Antarctic Div, Dept Environm &amp; Water Resources, Kingston, Tas 7050, Australia</t>
  </si>
  <si>
    <t>Macquarie University; Australian Antarctic Division</t>
  </si>
  <si>
    <t>Gore, DB (corresponding author), Macquarie Univ, N Ryde, NSW 2109, Australia.</t>
  </si>
  <si>
    <t>damian.gore@mq.edu.au</t>
  </si>
  <si>
    <t>Gore, Damian/0000-0002-0377-8518</t>
  </si>
  <si>
    <t>Australian Research Council [LP0776373]; Australian Research Council [LP0776373] Funding Source: Australian Research Council</t>
  </si>
  <si>
    <t>We thank Garry Kemlo for accessto Conrad mine, and the Australian Antarctic Division for their logistical support (AAS2576, AAS2937). We thank PANalytical, Veolia Environmental Services and the Australian Research Council (collectively under Linkage Project LP0776373) for their financial support, and we thank the reviewers for their helpful comments.</t>
  </si>
  <si>
    <t>0049-8246</t>
  </si>
  <si>
    <t>1097-4539</t>
  </si>
  <si>
    <t>X-RAY SPECTROM</t>
  </si>
  <si>
    <t>X-Ray Spectrom.</t>
  </si>
  <si>
    <t>10.1002/xrs.1244</t>
  </si>
  <si>
    <t>Spectroscopy</t>
  </si>
  <si>
    <t>595TZ</t>
  </si>
  <si>
    <t>WOS:000277637400003</t>
  </si>
  <si>
    <t>Krinner, G; Boike, J</t>
  </si>
  <si>
    <t>Krinner, Gerhard; Boike, Julia</t>
  </si>
  <si>
    <t>A study of the large-scale climatic effects of a possible disappearance of high-latitude inland water surfaces during the 21st century</t>
  </si>
  <si>
    <t>BOREAL ENVIRONMENT RESEARCH</t>
  </si>
  <si>
    <t>ANTARCTIC CLIMATE; NORTH-AMERICA; MASS-BALANCE; LAKES; PERMAFROST; SENSITIVITY; WETLANDS</t>
  </si>
  <si>
    <t>This study evaluates the climatic impact of possible future changes in high-latitude inland water surface (IWS) area. We carried out a set of climate-change experiments with an atmospheric general circulation model in which different scenarios of future changes of IWS extent were prescribed. The simulations are based on the SRES-A1B greenhouse gas emission scenario and represent the transient climatic state at the end of the 21st century. Our results indicate that the impact of a reduction in IWS extent depends on the season considered: the total disappearance of IWS would lead to cooling during cold seasons and to warming in summer. In the annual mean, the cooling effect would be dominant. In an experiment in which the future change of prescribed IWS extent is prescribed as a function of the simulated changes of permafrost extent, we find that these changes are self-consistent in the sense that their effects on the simulated temperature and precipitation patterns would not be contradictory to the underlying scenario of changes in IWS extent. In this best guess simulation, the projected changes in IWS extent would reduce future near-surface warn-ling over large parts of northern Eurasia by about 20% during the cold season, while the impact in North America and during summer is less clear. As a whole, the direct climatic impact of future IWS changes is likely to be moderate.</t>
  </si>
  <si>
    <t>[Krinner, Gerhard; Boike, Julia] Alfred Wegener Inst Polar &amp; Marine Res, D-14401 Potsdam, Germany; [Krinner, Gerhard] CNRS, INSU, Lab Glaciol &amp; Geophys Environm, F-38402 St Martin Dheres, France; [Krinner, Gerhard] UJF Grenoble, F-38402 St Martin Dheres, France</t>
  </si>
  <si>
    <t>Helmholtz Association; Alfred Wegener Institute, Helmholtz Centre for Polar &amp; Marine Research; Centre National de la Recherche Scientifique (CNRS); CNRS - National Institute for Earth Sciences &amp; Astronomy (INSU); Communaute Universite Grenoble Alpes; Universite Grenoble Alpes (UGA)</t>
  </si>
  <si>
    <t>Krinner, G (corresponding author), Alfred Wegener Inst Polar &amp; Marine Res, Postfach 60 01 49, D-14401 Potsdam, Germany.</t>
  </si>
  <si>
    <t>Boike, Julia/JCE-5402-2023; Krinner, Gerhard/AAB-8837-2022; Boike, Julia/JZT-8129-2024; Krinner, Gerhard/A-6450-2011; Boike, Julia/R-4766-2016</t>
  </si>
  <si>
    <t>Krinner, Gerhard/0000-0002-2959-5920; Boike, Julia/0000-0002-5875-2112; Boike, Julia/0000-0002-5875-2112</t>
  </si>
  <si>
    <t>Alexander-von-Humboldt-Stiftung; CNRS</t>
  </si>
  <si>
    <t>Alexander-von-Humboldt-Stiftung(Alexander von Humboldt Foundation); CNRS(Centre National de la Recherche Scientifique (CNRS))</t>
  </si>
  <si>
    <t>Support by the Alexander-von-Humboldt-Stiftung and CNRS for Gerhard Krinner's research stay at AWI Potsdam is gratefully acknowledged. This work is a contribution to the LITE (EVE) project MISSTERRE. We used computer resources at IDRIS/CNRS. AWI and the Mirage platform (UJF Grenoble).</t>
  </si>
  <si>
    <t>FINNISH ENVIRONMENT INST</t>
  </si>
  <si>
    <t>HELSINKI</t>
  </si>
  <si>
    <t>P O BOX 140, FIN-00251 HELSINKI, FINLAND</t>
  </si>
  <si>
    <t>1239-6095</t>
  </si>
  <si>
    <t>1797-2469</t>
  </si>
  <si>
    <t>BOREAL ENVIRON RES</t>
  </si>
  <si>
    <t>Boreal Environ. Res.</t>
  </si>
  <si>
    <t>APR 30</t>
  </si>
  <si>
    <t>590VI</t>
  </si>
  <si>
    <t>WOS:000277256000009</t>
  </si>
  <si>
    <t>Reddy, TE; Holland, DM; Arrigo, KR</t>
  </si>
  <si>
    <t>Reddy, Tasha E.; Holland, David M.; Arrigo, Kevin R.</t>
  </si>
  <si>
    <t>Ross ice shelf cavity circulation, residence time, and melting: Results from a model of oceanic chlorofluorocarbons</t>
  </si>
  <si>
    <t>Oceanography; Basal melt; Chlorofluorocarbons; Ocean circulation; Residence time; Ventilation</t>
  </si>
  <si>
    <t>SEA-ICE; WATER; BENEATH; CFC-12</t>
  </si>
  <si>
    <t>Despite their harmful effects in the upper atmosphere, anthropogenic chlorofluorocarbons dissolved in seawater are extremely useful for studying ocean circulation and ventilation, particularly in remote locations. Because they behave as a passive tracer in seawater, and their atmospheric concentrations are well-mixed, well-known, and have changed over time, they are ideal for gaining insight into the oceanographic characteristics of the isolated cavities found under Antarctic ice shelves, where direct observations are difficult to obtain. Here we present results from a modeling study of air-sea chlorofluorocarbon exchange and ocean circulation in the Ross Sea, Antarctica. We compare our model estimates of oceanic CFC-12 concentrations along an ice shelf edge transect to field data collected during three cruises spanning 16 yr. Our model produces chlorofluorocarbon concentrations that are quite similar to those measured in the field, both in magnitude and distribution, showing high values near the surface, decreasing with depth, and increasing over time. After validating modeled circulation and air-sea gas exchange through comparison of modeled temperature, salinity, and chlorofluorocarbons with field data, we estimate that the residence time of water in the Ross Ice Shelf cavity is approximately 2.2 yr and that basal melt rates for the ice shelf average 10 cm yr(-1). The model predicts a seasonal signature to basal melting, with highest melt rates in the spring and also the fall. (C) 2010 Elsevier Ltd. All rights reserved.</t>
  </si>
  <si>
    <t>[Reddy, Tasha E.; Arrigo, Kevin R.] Stanford Univ, Dept Environm Earth Syst Sci, Stanford, CA 94305 USA; [Reddy, Tasha E.; Holland, David M.] NYU, Courant Inst Math, New York, NY 10012 USA</t>
  </si>
  <si>
    <t>Stanford University; New York University</t>
  </si>
  <si>
    <t>Reddy, TE (corresponding author), Stanford Univ, Dept Environm Earth Syst Sci, Stanford, CA 94305 USA.</t>
  </si>
  <si>
    <t>tereddy@stanfordalumni.edu; holland@cims.nyu.edu; arrigo@stanford.edu</t>
  </si>
  <si>
    <t>NSF; NASA [NGT5-30489]</t>
  </si>
  <si>
    <t>NSF(National Science Foundation (NSF)); NASA(National Aeronautics &amp; Space Administration (NASA))</t>
  </si>
  <si>
    <t>We would like to thank Stanley Jacobs for helpful discussions during the course of this research project. This work was funded by grants from NSF and NASA, including the NASA Earth System Science Fellowship Grant NGT5-30489.</t>
  </si>
  <si>
    <t>10.1016/j.csr.2010.01.007</t>
  </si>
  <si>
    <t>597IM</t>
  </si>
  <si>
    <t>WOS:000277750300003</t>
  </si>
  <si>
    <t>Gabric, AJ; Cropp, RA; McTainsh, GH; Johnston, BM; Butler, H; Tilbrook, B; Keywood, M</t>
  </si>
  <si>
    <t>Gabric, A. J.; Cropp, R. A.; McTainsh, G. H.; Johnston, B. M.; Butler, H.; Tilbrook, B.; Keywood, M.</t>
  </si>
  <si>
    <t>Australian dust storms in 2002-2003 and their impact on Southern Ocean biogeochemistry</t>
  </si>
  <si>
    <t>AEOLIAN IRON DEPOSITION; EASTERN AUSTRALIA; ATMOSPHERIC CO2; BIOLOGICAL RESPONSE; DIMETHYL SULFIDE; CARBON UPTAKE; ICE CORES; SEA; AIR; CLIMATE</t>
  </si>
  <si>
    <t>During late 2002 and early 2003, southern Australia was in the grip of drought and experienced one of its most active dust storm seasons in the last 40 years with large dust plumes frequently advected over the adjacent Southern Ocean. We use meteorological records of dust activity, satellite ocean color, and aerosol optical depth data and dust transport modeling to investigate the transport and deposition of mineral dust from Australia over adjacent ocean regions and to correlate it with biological response in phytoplankton standing stock as measured by chlorophyll a concentration in 5 degree latitude bands from 40 degrees to 60 degrees S. Seasonal maxima in mean surface chlorophyll a of similar to 0.5 mg m(-3) were not achieved until late January 2003 or during February in the more southerly bands, which when compared with a 9 year satellite mean climatology suggests the phenology of the bloom in 2002-2003 was atypical. Contemporaneous field data on CO2 fugacity collected on transects between Tasmania and Antarctica show that significant atmospheric CO2 drawdown occurred as far south as 60 degrees S during February 2003. Our results provide strong evidence for a large-scale natural dust fertilization event in the Australian sector of the Southern Ocean and highlight the importance of dust-derived nutrients in the marine carbon cycle of the Southern Ocean.</t>
  </si>
  <si>
    <t>[Gabric, A. J.; Cropp, R. A.; McTainsh, G. H.; Johnston, B. M.] Griffith Univ, Sch Environm, Nathan, Qld 4111, Australia; [Butler, H.] Univ So Queensland, Dept Math &amp; Comp, Toowoomba, Qld 4350, Australia; [Keywood, M.] CSIRO Marine &amp; Atmospher Res, Aspendale, Vic 3195, Australia; [Tilbrook, B.] CSIRO Marine &amp; Atmospher Res, Hobart, Tas 7001, Australia</t>
  </si>
  <si>
    <t>Griffith University; University of Southern Queensland; Commonwealth Scientific &amp; Industrial Research Organisation (CSIRO); Commonwealth Scientific &amp; Industrial Research Organisation (CSIRO)</t>
  </si>
  <si>
    <t>Gabric, AJ (corresponding author), Griffith Univ, Sch Environm, Nathan, Qld 4111, Australia.</t>
  </si>
  <si>
    <t>a.gabric@griffith.edu.au</t>
  </si>
  <si>
    <t>Gabric, Albert J/S-1551-2017; Tilbrook, Bronte/W-4007-2019; keywood, melita/C-5139-2011; Cropp, Roger/C-1019-2008; Johnston, Barbara/A-5574-2009</t>
  </si>
  <si>
    <t>Tilbrook, Bronte/0000-0001-9385-3827; keywood, melita/0000-0001-9953-6806; Cropp, Roger/0000-0001-9582-857X; Johnston, Barbara/0000-0001-5889-8501</t>
  </si>
  <si>
    <t>Access to the CEMSYS model was generously provided by Yaping Shao (University of Cologne). The dust work (GMcT) was supported by an Australian Research Council grant, and data analyses were performed by Kenn Tews. Grant support from the Australian Antarctic Division is gratefully acknowledged. We are grateful to two anonymous reviewers whose insightful comments improved this manuscript.</t>
  </si>
  <si>
    <t>GB2005</t>
  </si>
  <si>
    <t>10.1029/2009GB003541</t>
  </si>
  <si>
    <t>590UG</t>
  </si>
  <si>
    <t>WOS:000277253100002</t>
  </si>
  <si>
    <t>Thatje, S; Mestre, NC</t>
  </si>
  <si>
    <t>Thatje, Sven; Mestre, Nelia C.</t>
  </si>
  <si>
    <t>Energetic changes throughout lecithotrophic larval development in the deep-sea lithodid crab Paralomis spinosissima from the Southern Ocean</t>
  </si>
  <si>
    <t>Biogeography; Cold adaptation; Elemental analysis; Evolution; King crab; Physiology; South Georgia</t>
  </si>
  <si>
    <t>EARLY JUVENILE DEVELOPMENT; DECAPODA ANOMURA; SANTOLLA MOLINA; STONE CRAB; KING CRAB; CHEMICAL-COMPOSITION; CANCER-SETOSUS; BEAGLE CHANNEL; TEMPERATURE; GRANULOSA</t>
  </si>
  <si>
    <t>Adult populations of the lithodid crab Paralomis spinosissima thrive at the lower temperature boundary of about 1 degrees C for the Lithodidae, and are endemic to deep waters off South Georgia, Southern Ocean. Here, we present evidence for lecithotrophic development throughout the early ontogeny of this species over a period of 14 months. At constant 5 degrees C (+/-0.5), development of the Zoea I and II, the megalopa, and the crab I instar lasted about 12, 24, 108, and 290 days, respectively. Successful development and moult at lower temperatures could not be observed. Changes in biomass and elemental composition (W, C, and N) were studied throughout larval and early megalopa development. Initial biomass was about twice as high as in lecithotrophic larval developments previously reported for subantarctic lithodids, and only a minimal shift (9.2 to 8.9) in C:N mass ratio was observed from the Zoea I to the megalopa stage; at the same time an even decrease of both C and N indicated no bias toward the depletion of lipids. Very thin exuviae cast at moult support the view of energy-saving adaptations throughout larval development. The cost of higher maternal investment into single offspring and the lack of evidence for successful larval development at temperatures typical of Southern Ocean deep waters, pose questions with regard to the frequency of successful recruitment events of lithodid crabs at their lower physiological temperature tolerance. Significant intraspecific variability in larval energetic fitness at hatching between females, suggesting variability in offspring fitness, may additionally constrain on offspring survival. (C) 2010 Elsevier B.V. All rights reserved.</t>
  </si>
  <si>
    <t>[Thatje, Sven; Mestre, Nelia C.] Univ Southampton, Sch Ocean &amp; Earth Sci, Natl Oceanog Ctr, Southampton SO14 3ZH, Hants, England</t>
  </si>
  <si>
    <t>Thatje, S (corresponding author), Univ Southampton, Sch Ocean &amp; Earth Sci, Natl Oceanog Ctr, European Way, Southampton SO14 3ZH, Hants, England.</t>
  </si>
  <si>
    <t>svth@noc.soton.ac.uk</t>
  </si>
  <si>
    <t>Mestre, Nelia/C-1943-2009</t>
  </si>
  <si>
    <t>Mestre, Nelia/0000-0001-6871-9984</t>
  </si>
  <si>
    <t>King Edward Point, South Georgia</t>
  </si>
  <si>
    <t>The first author's thanks are due to the staff at King Edward Point, South Georgia, and especially to Sarah Clarke, Will Reid, and Jamie Watts, for supporting this research. This research would not have been possible without permission granted by the South Georgia and South Sandwich Island Government. Thanks go to Mark Belchier and Andrew Clarke for their support, and to the British Antarctic Survey for the logistical support received. We would like to thank Javier Calcagno for assessing this work. [SS]</t>
  </si>
  <si>
    <t>10.1016/j.jembe.2010.02.015</t>
  </si>
  <si>
    <t>593TG</t>
  </si>
  <si>
    <t>WOS:000277483000016</t>
  </si>
  <si>
    <t>Williams, GD; Aoki, S; Jacobs, SS; Rintoul, SR; Tamura, T; Bindoff, NL</t>
  </si>
  <si>
    <t>Williams, G. D.; Aoki, S.; Jacobs, S. S.; Rintoul, S. R.; Tamura, T.; Bindoff, N. L.</t>
  </si>
  <si>
    <t>Antarctic Bottom Water from the Adelie and George V Land coast, East Antarctica (140-149°E)</t>
  </si>
  <si>
    <t>MERTZ GLACIER POLYNYA; ABYSSAL OVERFLOWS; DOWNSLOPE FLOWS; DENSE WATER; FAST-ICE; VARIABILITY; OCEAN; DESTABILIZATION; SEA</t>
  </si>
  <si>
    <t>We report on observations of dense shelf water overflows and Antarctic Bottom Water (AABW) formation along the continental margin of the Adelie and George V Land coast between 140 degrees E and 149 degrees E. Vertical sections and bottom layer water mass properties sampled during two RVIB Nathaniel B Palmer hydrographic surveys (NBP00-08, December 2000/January 2001 and NBP04-08, October 2004) describe the spreading of cold, dense shelf water on the continental slope and rise from two independent source regions. The primary source region is the Adelie Depression, exporting high-salinity dense shelf water through the Adelie Sill at 143 degrees E. An additional eastern source region of lower-salinity dense shelf water from the Mertz Depression is identified for the first time from bottom layer properties northwest of the Mertz Sill and Mertz Bank (146 degrees E-148 degrees E) that extend as far as the Buffon Channel (144.75 degrees E) in summer. Regional analysis of satellite-derived ice production estimates over the entire region from 1992 to 2005 suggests that up to 40% of the total ice production for the region occurs over the Mertz Depression and therefore this area is likely to make a significant contribution to the total dense shelf water export. Concurrent time series from bottom-mounted Microcats and ADCP instruments from the Mertz Polynya Experiment (April 1998 to May 1999) near the Adelie Sill and on the upper continental slope (1150 m) and lower continental rise (3250 m) to the north describe the seasonal variability in downslope events and their interaction with the ambient water masses. The critical density for shelf water to produce AABW is examined and found to be 27.85 kg m(-3) from the Adelie Depression and as low as 27.80 kg m(-3) from the Mertz Depression. This study suggests previous dense shelf water export estimates based on the flow through the Adelie Sill alone are conservative and that other regions around East Antarctica with similar ice production to the Mertz Depression could be contributing to the total AABW in the Australian-Antarctic Basin.</t>
  </si>
  <si>
    <t>[Aoki, S.] Hokkaido Univ, Inst Low Temp Sci, Kita Ku, Sapporo, Hokkaido 0600819, Japan; [Williams, G. D.; Rintoul, S. R.; Tamura, T.; Bindoff, N. L.] Antarctic Climate &amp; Ecosyst Cooperat Res Ctr, Sandy Bay, Tas 7005, Australia; [Jacobs, S. S.] Columbia Univ, Earth Inst, Lamont Doherty Earth Observ, Palisades, NY 10964 USA; [Rintoul, S. R.] CSIRO, Ctr Marine &amp; Atmospher Res, Hobart, Tas 7001, Australia</t>
  </si>
  <si>
    <t>Hokkaido University; Antarctic Climate &amp; Ecosystems Cooperative Research Centre (ACE CRC); Columbia University; Commonwealth Scientific &amp; Industrial Research Organisation (CSIRO)</t>
  </si>
  <si>
    <t>Williams, GD (corresponding author), Univ Paris 06, Lab Ocanog &amp; Climat Exprimentat &amp; Approches Numr, UMR 7159, MNHN,IRD,Inst Pierre Simon Laplace,CNRS, Bote 100-4,Pl Jussieu, F-75252 Paris 05, France.</t>
  </si>
  <si>
    <t>Aoki, Shigeru/D-9105-2012; Rintoul, Stephen R/A-1471-2012; Bindoff, Nathaniel Lee/C-8050-2011; Bindoff, Nathaniel Lee/IVV-0333-2023</t>
  </si>
  <si>
    <t>Rintoul, Stephen R/0000-0002-7055-9876; Bindoff, Nathaniel Lee/0000-0001-5662-9519; Bindoff, Nathaniel Lee/0000-0001-5662-9519</t>
  </si>
  <si>
    <t>Japanese Society for the Promotion of Science; U.S. National Science Foundation [NBP00-08, NBP04-08]; Australian National Antarctic Research Expeditions; ASAC [2223]; Grants-in-Aid for Scientific Research [21310002] Funding Source: KAKEN</t>
  </si>
  <si>
    <t>Japanese Society for the Promotion of Science(Ministry of Education, Culture, Sports, Science and Technology, Japan (MEXT)Japan Society for the Promotion of Science); U.S. National Science Foundation(National Science Foundation (NSF)); Australian National Antarctic Research Expeditions; ASAC; Grants-in-Aid for Scientific Research(Ministry of Education, Culture, Sports, Science and Technology, Japan (MEXT)Japan Society for the Promotion of ScienceGrants-in-Aid for Scientific Research (KAKENHI))</t>
  </si>
  <si>
    <t>This work was supported by the Japanese Society for the Promotion of Science Post Doctoral Fellowship program in conjunction with the Australian Academy of Science. Some or all of the data used within this paper were obtained from the Australian Antarctic Data Centre (IDN Node AMD/AU), a part of the Australian Antarctic Division (Commonwealth of Australia). These data are described in the metadata record A bathymetric Digital Elevation Model (DEM) of the George V and Terre Adelie continental shelf and margin (2009). The ALOS PALSAR data were provided by the Japan Aerospace Exploration Agency. Support for the NBP00-08 and NBP04-08 research voyages was provided by the U.S. National Science Foundation with the data processed and archived with the National Oceanographic Data Center. Support for the Mertz Polynya Experiment was provided by the Australian National Antarctic Research Expeditions, ASAC grant 2223. The authors would like to thank the officers and crew of the RVIB Nathaniel B Palmer and R/V Aurora Australis for their professional support in the collection of these observational data. In addition, the authors would like to thank Yasushi Fukamachi and Mark Rosenberg for helpful discussions.</t>
  </si>
  <si>
    <t>C04027</t>
  </si>
  <si>
    <t>10.1029/2009JC005812</t>
  </si>
  <si>
    <t>590XV</t>
  </si>
  <si>
    <t>WOS:000277262700001</t>
  </si>
  <si>
    <t>Clilverd, MA; Rodger, CJ; Dietrich, S; Raita, T; Ulich, T; Clarke, E; Thomson, AWP; Kavanagh, AJ</t>
  </si>
  <si>
    <t>Clilverd, Mark A.; Rodger, Craig J.; Dietrich, Sarah; Raita, Tero; Ulich, Thomas; Clarke, Ellen; Thomson, Alan W. P.; Kavanagh, Andrew J.</t>
  </si>
  <si>
    <t>High-latitude geomagnetically induced current events observed on very low frequency radio wave receiver systems</t>
  </si>
  <si>
    <t>LIGHTNING LOCATION NETWORK; ELECTRON-PRECIPITATION; DETECTION EFFICIENCY; SPACE; WWLLN</t>
  </si>
  <si>
    <t>Noise burst events observed at Sodankyl, Finland, in the frequency range 20-25 kHz during January-April 2005 last up to 4 s, occur more often at midnight, are associated with high geomagnetic activity, and exhibit a quasi-constant amplitude perturbation similar to 15 dB above the background noise levels. We considered the possibility that the events could be caused by lightning noise breakthrough. The association of the noise burst events with local midnight and high geomagnetic activity argues against a lightning link, as well as the lack of close thunderstorm location relative to Sodankyl during noise periods. While energetic electron precipitation is also associated with high geomagnetic activity, we showed that they occur at different times and exhibit significantly different amplitude characteristics. Finally, we compared in detail the geomagnetic induced current (GIC) in the Scottish power system in southern Scotland, during a storm event that occurred on 15 May 2005, with the noise burst event rate at Sodankyl. We found that the onset time and variability of the Scottish GIC activity was well matched by the variability in the noise burst event rate, particularly the high-frequency component of the GIC fluctuations. The technique used in our study of observing at a narrow band of frequencies allows GIC measurements to be made in built-up areas where mains interference is a problem for other experiments, such as magnetometers.</t>
  </si>
  <si>
    <t>[Clilverd, Mark A.] NERC, Div Phys Sci, British Antarctic Survey, Cambridge CB3 0ET, England; [Rodger, Craig J.; Dietrich, Sarah] Univ Otago, Dept Phys, Dunedin, New Zealand; [Raita, Tero; Ulich, Thomas] Univ Oulu, Sodankyla Geophys Observ, FIN-99600 Sodankyla, Finland; [Clarke, Ellen; Thomson, Alan W. P.] NERC, British Geol Survey, Global Seismol &amp; Geomagnetism Grp, Edinburgh EH9 3LA, Midlothian, Scotland; [Kavanagh, Andrew J.] Univ Lancaster, Dept Commun Syst, Space Plasma Environm &amp; Radio Sci Grp, InfoLab 21, Lancaster LA1 4WA, England</t>
  </si>
  <si>
    <t>UK Research &amp; Innovation (UKRI); Natural Environment Research Council (NERC); NERC British Antarctic Survey; University of Otago; University of Oulu; UK Research &amp; Innovation (UKRI); Natural Environment Research Council (NERC); NERC British Geological Survey; Lancaster University</t>
  </si>
  <si>
    <t>Clilverd, MA (corresponding author), NERC, Div Phys Sci, British Antarctic Survey, Madingley Rd, Cambridge CB3 0ET, England.</t>
  </si>
  <si>
    <t>macl@bas.ac.uk; crodger@physics.otago.ac.nz; sdietrich@physics.otago.ac.nz; tero.raita@sgo.fi; thu@sgo.fi; ecla@bgs.ac.uk; awpt@bgs.ac.uk; a.j.kavanagh@lancaster.ac.uk</t>
  </si>
  <si>
    <t>Rodger, Craig/A-1501-2011; Ulich, Thomas/G-3727-2018</t>
  </si>
  <si>
    <t>Ulich, Thomas/0000-0001-8217-022X; Rodger, Craig J./0000-0002-6770-2707; Raita, Tero/0000-0002-0455-5746</t>
  </si>
  <si>
    <t>Natural Environment Research Council [bgs05003, bas0100023] Funding Source: researchfish; NERC [bgs05003, bas0100023] Funding Source: UKRI</t>
  </si>
  <si>
    <t>RS2006</t>
  </si>
  <si>
    <t>10.1029/2009RS004215</t>
  </si>
  <si>
    <t>590ZC</t>
  </si>
  <si>
    <t>WOS:000277266100001</t>
  </si>
  <si>
    <t>Spasojevic, M; Inan, US</t>
  </si>
  <si>
    <t>Spasojevic, M.; Inan, U. S.</t>
  </si>
  <si>
    <t>Drivers of chorus in the outer dayside magnetosphere</t>
  </si>
  <si>
    <t>WHISTLER-MODE CHORUS; DAWN-DUSK ASYMMETRY; AURORAL HISS; ENERGETIC PARTICLES; VLF; ELECTRONS; ACCELERATION; PROPAGATION; EMISSIONS; LATITUDE</t>
  </si>
  <si>
    <t>Using ELF/VLF wave data recorded in 2007 from two high-latitude (Lambda = 69.8 degrees, 71.8 degrees) Antarctic ground stations, the dayside variation of chorus wave occurrence and amplitude are analyzed in conjunction with geomagnetic and solar wind driving parameters. Both stations observe chorus (defined here as discrete rising emission tones together with unstructured hiss) in a broad window of local time across the dayside when the stations are on closed magnetic field lines. Wave occurrence rates rise rapidly from similar to 0.06-0.12 at dawn to their maximum value of similar to 0.5-0.6 near local noon. The event amplitudes also peak near noon. Occurrence probabilities at the lower-latitude station are consistently higher with the average difference in the rate between the two stations being 0.15. In addition, similar to 80% of the time, event amplitudes are larger at the lower-latitude site. When the stations are in the dawn local time sector (5.5 &lt; MLT &lt; 10), the onset of waves is clearly linked to substorms, as seen by the AE index as well as by energetic electron injections observed at geosynchronous orbit. However, as the stations rotate to noon (MLT &gt; 10), wave occurrence rates appear to be relatively independent of geomagnetic activity as measured by K-p and AE. Chorus near noon at times appears related to substorm activity, but intense waves can also be observed during extended quiet periods. Waves across the entire dayside are more likely during higher solar wind dynamic pressure as well as during significant changes in pressure. We attribute the high occurrence rate of outer dayside chorus to several effects resulting from solar wind compression of the dayside magnetosphere; the first is electron drift shell splitting, and the second is the creation of a region of high magnetic field homogeneity which is particularly favorable for wave growth.</t>
  </si>
  <si>
    <t>[Spasojevic, M.; Inan, U. S.] Stanford Univ, Space Telecommun &amp; Radiosci Lab, Stanford, CA 94305 USA; [Inan, U. S.] Koc Univ, Istanbul, Turkey</t>
  </si>
  <si>
    <t>Stanford University; Koc University</t>
  </si>
  <si>
    <t>Spasojevic, M (corresponding author), Stanford Univ, Space Telecommun &amp; Radiosci Lab, 350 Serra Mall, Stanford, CA 94305 USA.</t>
  </si>
  <si>
    <t>mariaspasojevic@stanford.edu</t>
  </si>
  <si>
    <t>Inan, Umran/V-3634-2019</t>
  </si>
  <si>
    <t>Inan, Umran/0000-0001-5837-5807; Spasojevic, Maria/0000-0001-8869-5086</t>
  </si>
  <si>
    <t>National Science Foundation [0341165, 0636927, 0524825]; Directorate For Geosciences; Office of Polar Programs (OPP) [0840058] Funding Source: National Science Foundation; Div Atmospheric &amp; Geospace Sciences; Directorate For Geosciences [0524825] Funding Source: National Science Foundation</t>
  </si>
  <si>
    <t>National Science Foundation(National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</si>
  <si>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This work was supported by the National Science Foundation under grants 0341165, 0636927, and 0524825.</t>
  </si>
  <si>
    <t>APR 29</t>
  </si>
  <si>
    <t>A00F09</t>
  </si>
  <si>
    <t>10.1029/2009JA014452</t>
  </si>
  <si>
    <t>590YZ</t>
  </si>
  <si>
    <t>WOS:000277265800001</t>
  </si>
  <si>
    <t>Armienti, P; Perinelli, C</t>
  </si>
  <si>
    <t>Armienti, Pietro; Perinelli, Cristina</t>
  </si>
  <si>
    <t>Cenozoic thermal evolution of lithospheric mantle in northern Victoria Land (Antarctica): Evidences from mantle xenoliths</t>
  </si>
  <si>
    <t>TECTONOPHYSICS</t>
  </si>
  <si>
    <t>Mantle xenoliths; Geothermal gradient; Transantarctic Mountains uplift; Northern Victoria Land; Antarctica</t>
  </si>
  <si>
    <t>TRANSANTARCTIC MOUNTAINS; EAST ANTARCTICA; FISSION-TRACK; RIFT SYSTEM; HEAT-FLOW; O-ISOTOPE; WEST; CONSTRAINTS; UPLIFT; CLINOPYROXENE</t>
  </si>
  <si>
    <t>Thermobarometry of spinel peridotites collected in northern Victoria Land in Cenozoic basalts of the Mt Melbourne Volcanic Province, reveals warming of local lithospheric mantle, marked by a shift of geothermal gradient from 0.5 degrees C/km to similar to 3 degrees C/km during the development of Cenozoic magmatism related to the opening of the Ross Sea rift system. We suggest that a significant uplift fraction of the rift shoulder on the West Antarctic margin is due to the change in olivine molar volume induced by mantle heating. The heat source is provided by enhancement of asthenospheric convection induced by an edge effect in the mantle circulation, following the opening phase of the Ross Sea. Besides explaining the asymmetric uplift of the rift shoulder corresponding to the Transantarctic Mountains, this mechanism satisfactorily accounts for the time scale (similar to 10 Ma) and most of total uplift (similar to 3000 m) of the western border of the Ross Sea in northern Victoria Land. (C) 2010 Elsevier B.V. All rights reserved.</t>
  </si>
  <si>
    <t>[Armienti, Pietro; Perinelli, Cristina] Univ Pisa, Dipartimento Sci Terra, I-56126 Pisa, Italy</t>
  </si>
  <si>
    <t>University of Pisa</t>
  </si>
  <si>
    <t>Perinelli, C (corresponding author), Univ Pisa, Dipartimento Sci Terra, Via S Maria 53, I-56126 Pisa, Italy.</t>
  </si>
  <si>
    <t>armienti@dst.unipi.it; cperinelli@dst.unipi.it</t>
  </si>
  <si>
    <t>Perinelli, Cristina/AAU-9733-2020</t>
  </si>
  <si>
    <t>Armienti, Pietro/0000-0002-5929-8222; Perinelli, Cristina/0000-0002-2308-461X</t>
  </si>
  <si>
    <t>CNR-PNRA [PEA 2004/2006]</t>
  </si>
  <si>
    <t>CNR-PNRA</t>
  </si>
  <si>
    <t>We gratefully acknowledge the constructive comments of H. Thybo, editor-in-chief, and two other anonymous reviewers, which helped improve the manuscript. This work has been funded by CNR-PNRA project, grants PEA 2004/2006.</t>
  </si>
  <si>
    <t>0040-1951</t>
  </si>
  <si>
    <t>1879-3266</t>
  </si>
  <si>
    <t>Tectonophysics</t>
  </si>
  <si>
    <t>10.1016/j.tecto.2010.02.006</t>
  </si>
  <si>
    <t>603NX</t>
  </si>
  <si>
    <t>WOS:000278216400003</t>
  </si>
  <si>
    <t>Alberico, N; Mühlenhardt-Siegel, U</t>
  </si>
  <si>
    <t>Alberico, Natalia; Muehlenhardt-Siegel, Ute</t>
  </si>
  <si>
    <t>Two new Diastylis (Cumacea: Diastylidae) from Antarctic waters: Diastylis andeepae and D. catalinae</t>
  </si>
  <si>
    <t>Antarctica; Weddell Sea; deep-sea; new species</t>
  </si>
  <si>
    <t>SOUTH-AMERICA; ROSS SEA; CRUSTACEA; MALACOSTRACA; PERACARIDA; ISLANDS</t>
  </si>
  <si>
    <t>Two new deep-sea cumaceans, Diastylis andeepae and D. catalinae are described from the Weddell Sea. Diastylis andeepae n. sp. can be distinguished from other members of the genus by a combination of characters including: carapace with small tubercles all over and anterior part with an arched row of teeth extending from each side of the pseudorostrum and disappearing a short distance before reaching the inferior margin of the carapace, ischium of the pereopod 2 with four strong teeth, endopod uropod of two articles. Diastylis catalinae n. sp. is a closely related species to D. richardi Fage 1929 recorded from the Bay of Biscay, however D. catalinae can be easily separated from D. richardi by having: (1) on each side of the anterior part of the carapace several teeth arranged in two non-uniform rows (randomly distributed and with two antero-lateral horns in D. richardi); (2) clearly visible pereonites 1 and 2 in dorsal view (hardly visible in D. richardi); (3) one tooth on each postero-lateral angle of the pereonite 5 (without teeth in D. richardi); and (4) one minute simple seta on article 4 of the antenna 2 (a long setulate seta in D. richardi).</t>
  </si>
  <si>
    <t>[Alberico, Natalia] Univ Buenos Aires, Fac Ciencias Exactas &amp; Nat, Dept Biodiversidad &amp; Biol Expt, Buenos Aires, DF, Argentina; [Muehlenhardt-Siegel, Ute] Biozentrum Grindel, D-20146 Hamburg, Germany</t>
  </si>
  <si>
    <t>University of Buenos Aires; University of Hamburg</t>
  </si>
  <si>
    <t>Alberico, N (corresponding author), Univ Buenos Aires, Fac Ciencias Exactas &amp; Nat, Dept Biodiversidad &amp; Biol Expt, Ciudad Univ,C1428EHA, Buenos Aires, DF, Argentina.</t>
  </si>
  <si>
    <t>nalberico@bg.fcen.uba.ar; muehsie@zoologie.uni-hamburg.de</t>
  </si>
  <si>
    <t>Deutscher Akademischer Austausch Dienst (DAAD); Consejo Nacional de Investigaciones Cientificas y Tecnicas, Argentina (CONICET)</t>
  </si>
  <si>
    <t>Deutscher Akademischer Austausch Dienst (DAAD)(Deutscher Akademischer Austausch Dienst (DAAD)); Consejo Nacional de Investigaciones Cientificas y Tecnicas, Argentina (CONICET)(Consejo Nacional de Investigaciones Cientificas y Tecnicas (CONICET))</t>
  </si>
  <si>
    <t>We are most grateful to the Zoologisches Museum, Hamburg where this research took place and to the Museum National d'Histoire Naturelle, Paris for the loan of the type material of Diastylis richardi. This research was partially supported by the Deutscher Akademischer Austausch Dienst (DAAD) and the Consejo Nacional de Investigaciones Cientificas y Tecnicas, Argentina (CONICET).</t>
  </si>
  <si>
    <t>589DS</t>
  </si>
  <si>
    <t>WOS:000277126400003</t>
  </si>
  <si>
    <t>Gross, M</t>
  </si>
  <si>
    <t>Gross, Michael</t>
  </si>
  <si>
    <t>Final drive for Antarctic breakthrough</t>
  </si>
  <si>
    <t>APR 27</t>
  </si>
  <si>
    <t>R337</t>
  </si>
  <si>
    <t>R338</t>
  </si>
  <si>
    <t>10.1016/j.cub.2010.04.005</t>
  </si>
  <si>
    <t>589SZ</t>
  </si>
  <si>
    <t>WOS:000277175200003</t>
  </si>
  <si>
    <t>Khare, N; Mazumder, A; Govil, P</t>
  </si>
  <si>
    <t>Khare, N.; Mazumder, A.; Govil, P.</t>
  </si>
  <si>
    <t>Abundance and coiling direction in planktic species Neogloboquadrina pachyderma (Ehrenberg) as indicators of hydrological conditions: evidence from N-S transect of Indian Ocean</t>
  </si>
  <si>
    <t>Coiling direction; Indian Ocean; Neogloboquadrina pachyderma; seawater temperature and salinity</t>
  </si>
  <si>
    <t>MOLECULAR EVIDENCE; SEA; ATLANTIC; FORAMINIFERS; POPULATIONS</t>
  </si>
  <si>
    <t>A total of 25 surface sediment samples collected along a North-South transect (from 9.69 degrees N to 80 degrees E and 55.01 degrees S to 40 degrees E) in south western Indian Ocean have been used to study recent planktic foraminifera revealing the ecological preferences of the planktic foraminifer species in the area, particularly the coiling direction patterns in the planktic species Neogloboquadrina pachyderma (Ehrenberg). The coiling direction and their absolute abundance can be shown to be related to ambient temperature and salinity values. Dextrally coiled forms decrease towards higher latitude, while sinistrally coiled forms increase. Similar studies should be undertaken along various transects to further establish the extent of environmental control on coiling direction in planktic foraminifera.</t>
  </si>
  <si>
    <t>[Khare, N.] Minist Earth Sci, New Delhi 110003, India; [Mazumder, A.; Govil, P.] Natl Ctr Antarctic &amp; Ocean Res, Vasco Da Gama 403804, Goa, India</t>
  </si>
  <si>
    <t>Ministry of Earth Sciences (MoES) - India; Ministry of Earth Sciences (MoES) - India; National Centre for Polar and Ocean Research (NCPOR)</t>
  </si>
  <si>
    <t>Khare, N (corresponding author), Minist Earth Sci, Block 12,CGO Complex,Lodhi Rd, New Delhi 110003, India.</t>
  </si>
  <si>
    <t>nkhare45@gmail.com</t>
  </si>
  <si>
    <t>Mazumder, Abhijit/0000-0001-9944-5306</t>
  </si>
  <si>
    <t>APR 25</t>
  </si>
  <si>
    <t>592OL</t>
  </si>
  <si>
    <t>WOS:000277388800029</t>
  </si>
  <si>
    <t>Herbei, R; Lyons, WB; Laybourn-Parry, J; Gardner, C; Priscu, JC; McKnight, DM</t>
  </si>
  <si>
    <t>Herbei, Radu; Lyons, W. Berry; Laybourn-Parry, Johanna; Gardner, Christopher; Priscu, John C.; McKnight, Diane M.</t>
  </si>
  <si>
    <t>Physiochemical properties influencing biomass abundance and primary production in Lake Hoare, Antarctica</t>
  </si>
  <si>
    <t>Lake Hoare; MCM-LTER; Bayesian methods; Correlation analysis; Gaussian Markov random fields</t>
  </si>
  <si>
    <t>MCMURDO DRY VALLEYS; BENTHIC MICROBIAL MATS; TAYLOR VALLEY; MIXOTROPHIC CRYPTOPHYTES; PHOTOSYNTHESIS; PHYTOPLANKTON; GLACIER; STREAMS; DEMAND; BONNEY</t>
  </si>
  <si>
    <t>The perennially ice-covered, closed basin lakes in the McMurdo Dry Valleys respond rapidly to environmental changes, especially climate. For the past 15 years, the McMurdo Dry Valleys Long-Term Ecological Research (MCM-LTER) program has monitored the physical, chemical and biological properties of the lakes in Taylor Valley. In order to better assess the physiochemical controls on the biological process within one of these lakes (Lake Hoare), we have used vertical profile data to estimate depth-dependent correlations between various lake properties. Our analyses reveal the following results. Primary production rates (PPR) are strongly correlated to light (PAR) at 12-15 m and to soluble reactive phosphorus (SRP) at 8-22 m. Chlorophyll-a (CHL) is also positively correlated to PAR at 14 m and greater depths, and SRP from 15 m and greater. This preliminary statistical analysis supports previous observations that both PAR and SRP play significant roles in driving plant growth in Lake Hoare. The lack of a strong relationship between bacterial production (BP) and dissolved organic carbon (DOC) is an intriguing result of the analysis. Published by Elsevier B.V.</t>
  </si>
  <si>
    <t>[Herbei, Radu; Lyons, W. Berry; Gardner, Christopher] Ohio State Univ, Columbus, OH 43210 USA; [Laybourn-Parry, Johanna] Univ Tasmania, Inst Antarctic &amp; So Ocean Studies, Hobart, Tas 7001, Australia; [Priscu, John C.] Montana State Univ, Bozeman, MT 59717 USA; [McKnight, Diane M.] Univ Colorado, INSTAAR, Boulder, CO 80309 USA</t>
  </si>
  <si>
    <t>University System of Ohio; Ohio State University; University of Tasmania; Montana State University System; Montana State University Bozeman; University of Colorado System; University of Colorado Boulder</t>
  </si>
  <si>
    <t>Herbei, R (corresponding author), Ohio State Univ, Columbus, OH 43210 USA.</t>
  </si>
  <si>
    <t>herbei@stat.osu.edu; lyons.142@osu.edu; Jo.Laybourn-Parry@utas.edu.au; gardner.177@osu.edu; jpriscu@montana.edu; diane.mcknight@colorado.edu</t>
  </si>
  <si>
    <t>Gardner, Christopher/0000-0003-0400-3754; MCKNIGHT, DIANE/0000-0002-4171-1533</t>
  </si>
  <si>
    <t>National Science Foundation [OPP9211773, OPP9810219, OPP0096250]; Royal Society; Office of Polar Programs (OPP); Directorate For Geosciences [1041742] Funding Source: National Science Foundation</t>
  </si>
  <si>
    <t>National Science Foundation(National Science Foundation (NSF)); Royal Society(Royal Society); Office of Polar Programs (OPP); Directorate For Geosciences(National Science Foundation (NSF)NSF - Directorate for Geosciences (GEO))</t>
  </si>
  <si>
    <t>The field work portion of this work was supported by National Science Foundation grants OPP9211773, OPP9810219 and OPP0096250. We are very grateful to MCM-LTER personnel who collected and analyzed the samples. The initial data complication was supported through a Royal Society Traveling Fellowship grant to Johanna Laybourn-Parry and W. Berry Lyons.</t>
  </si>
  <si>
    <t>APR 24</t>
  </si>
  <si>
    <t>10.1016/j.ecolmodel.2009.12.015</t>
  </si>
  <si>
    <t>582DD</t>
  </si>
  <si>
    <t>WOS:000276574900011</t>
  </si>
  <si>
    <t>Chavtur, VG; Keyser, D; Bashmanov, AG</t>
  </si>
  <si>
    <t>Chavtur, Vladimir G.; Keyser, Dietmar; Bashmanov, Alexander G.</t>
  </si>
  <si>
    <t>First record and description of male of Metavargula adinothrix Kornicker, 1975 (Ostracoda: Myodocopina) from the Southern Ocean</t>
  </si>
  <si>
    <t>benthic ostracods; Myodocopina; Cypridinidae; taxonomy; morphology; Antarctic; deep sea</t>
  </si>
  <si>
    <t>Previously unknown male and some juveniles of Metavargula adinothrix Kornicker, 1975 were identified in material which was collected by Germany R/V Polarstern from bathyal and abyssal depth of the Atlantic Sector of the Southern Ocean. Diagnosis, description and detailed illustrations of male of this species are presented. Morphological comparison is made between male and female of this species. The distribution of M. adinothrix in the Antarctic and Subantarctic waters is shown.</t>
  </si>
  <si>
    <t>[Chavtur, Vladimir G.; Bashmanov, Alexander G.] Russian Acad Sci, AV Zhirmunsky Inst Marine Biol, Far Eastern Branch, Vladivostok 690041, Russia; [Chavtur, Vladimir G.] Far Eastern State Univ, Vladivostok 690050, Russia; [Chavtur, Vladimir G.] Far Eastern State Tech Fisheries Univ, Vladivostok 690087, Russia; [Keyser, Dietmar] Univ Hamburg, Biozentrum Grindel &amp; Zool Museum, D-20146 Hamburg, Germany</t>
  </si>
  <si>
    <t>Russian Academy of Sciences; National Scientific Center of Marine Biology, Far East Branch of the Russian Academy of Sciences; Far Eastern Federal University; University of Hamburg</t>
  </si>
  <si>
    <t>Chavtur, VG (corresponding author), Russian Acad Sci, AV Zhirmunsky Inst Marine Biol, Far Eastern Branch, Vladivostok 690041, Russia.</t>
  </si>
  <si>
    <t>vchavtur@imb.dvo.ru; keyser@zoologie.uni-hamburg.de</t>
  </si>
  <si>
    <t>Chavtur, Vladimir Grigoryevich/AAG-2457-2019</t>
  </si>
  <si>
    <t>German Research Foundation (DFG) [KE 245/4-1]</t>
  </si>
  <si>
    <t>This research was supported by German Research Foundation (DFG) KE 245/4-1.</t>
  </si>
  <si>
    <t>APR 23</t>
  </si>
  <si>
    <t>586WL</t>
  </si>
  <si>
    <t>WOS:000276945600003</t>
  </si>
  <si>
    <t>Chylek, P; Folland, CK; Lesins, G; Dubey, MK</t>
  </si>
  <si>
    <t>Chylek, Petr; Folland, Chris K.; Lesins, Glen; Dubey, Manvendra K.</t>
  </si>
  <si>
    <t>Twentieth century bipolar seesaw of the Arctic and Antarctic surface air temperatures</t>
  </si>
  <si>
    <t>LAST GLACIAL PERIOD; GENERAL-CIRCULATION; CLIMATE-CHANGE; GREENLAND; OCEAN</t>
  </si>
  <si>
    <t>Understanding the phase relationship between climate changes in the Arctic and Antarctic regions is essential for our understanding of the dynamics of the Earth's climate system. In this paper we show that the 20th century detrended Arctic and Antarctic temperatures vary in anti-phase seesaw pattern-when the Arctic warms the Antarctica cools and visa versa. This is the first time that a bi-polar seesaw pattern has been identified in the 20th century Arctic and Antarctic temperature records. The Arctic (Antarctic) detrended temperatures are highly correlated (anti-correlated) with the Atlantic Multi-decadal Oscillation (AMO) index suggesting the Atlantic Ocean as a possible link between the climate variability of the Arctic and Antarctic regions. Recent accelerated warming of the Arctic results from a positive reinforcement of the linear warming trend (due to an increasing concentration of greenhouse gases and other possible forcings) by the warming phase of the multidecadal climate variability (due to fluctuations of the Atlantic Ocean circulation). Citation: Chylek, P., C. K. Folland, G. Lesins, and M. K. Dubey (2010), Twentieth century bipolar seesaw of the Arctic and Antarctic surface air temperatures, Geophys. Res. Lett., 37, L08703, doi: 10.1029/2010GL042793.</t>
  </si>
  <si>
    <t>[Chylek, Petr; Dubey, Manvendra K.] Los Alamos Natl Lab, Los Alamos, NM 87545 USA; [Folland, Chris K.] Met Off Hadley Ctr Climate Change, Exeter EX1 3PB, Devon, England; [Lesins, Glen] Dalhousie Univ, Dept Phys &amp; Atmospher Sci, Halifax, NS B3H 3J5, Canada</t>
  </si>
  <si>
    <t>United States Department of Energy (DOE); Los Alamos National Laboratory; Met Office - UK; Hadley Centre; Dalhousie University</t>
  </si>
  <si>
    <t>Chylek, P (corresponding author), Los Alamos Natl Lab, MS B244, Los Alamos, NM 87545 USA.</t>
  </si>
  <si>
    <t>chylek@lanl.gov</t>
  </si>
  <si>
    <t>Folland, Chris K/I-2524-2013; Dubey, Manvendra Krishna/E-3949-2010; Dubey, Manvendra/N-5423-2019; Chylek, Petr/AAM-8296-2020</t>
  </si>
  <si>
    <t>Folland, Chris K/0000-0002-3143-5918; Dubey, Manvendra/0000-0002-3492-790X; Chylek, Petr/0000-0001-5916-1608</t>
  </si>
  <si>
    <t>DOE Office of Biological and Environmental Research, Climate and Environmental Sciences Division; LANL branch of the Institute of Geophysics and Planetary Physics; Los Alamos National Laboratory; Joint DECC and Defra Integrated Climate Programme - DECC/Defra [GA01101]</t>
  </si>
  <si>
    <t>DOE Office of Biological and Environmental Research, Climate and Environmental Sciences Division; LANL branch of the Institute of Geophysics and Planetary Physics; Los Alamos National Laboratory(United States Department of Energy (DOE)Los Alamos National Laboratory); Joint DECC and Defra Integrated Climate Programme - DECC/Defra(Department for Environment, Food &amp; Rural Affairs (DEFRA))</t>
  </si>
  <si>
    <t>The reported research (LA-UR 09-07203) was supported by the DOE Office of Biological and Environmental Research, Climate and Environmental Sciences Division, by the LANL branch of the Institute of Geophysics and Planetary Physics, by Los Alamos National Laboratory's Directed Research and Development Project entitled Flash Before the Storm and by Joint DECC and Defra Integrated Climate Programme - DECC/Defra (GA01101). We thank Reto Ruedy and James Hansen for reading the manuscript and helpful comments.</t>
  </si>
  <si>
    <t>APR 22</t>
  </si>
  <si>
    <t>L08703</t>
  </si>
  <si>
    <t>10.1029/2010GL042793</t>
  </si>
  <si>
    <t>587YP</t>
  </si>
  <si>
    <t>WOS:000277033000005</t>
  </si>
  <si>
    <t>Lascaux, F; Masciadri, E; Hagelin, S</t>
  </si>
  <si>
    <t>Lascaux, F.; Masciadri, E.; Hagelin, S.</t>
  </si>
  <si>
    <t>Mesoscale optical turbulence simulations at Dome C: refinements</t>
  </si>
  <si>
    <t>MONTHLY NOTICES OF THE ROYAL ASTRONOMICAL SOCIETY</t>
  </si>
  <si>
    <t>turbulence; atmospheric effects; site testing</t>
  </si>
  <si>
    <t>ATMOSPHERIC NUMERICAL-MODEL</t>
  </si>
  <si>
    <t>In a recent paper, the authors presented an extended study aimed at simulating the classical meteorological parameters and optical turbulence at Dome C during the winter with the atmospheric mesoscale model Meso-NH. The goal of that paper was to validate the model above Dome C with the support of measurements and to use it afterwards above the Internal Antarctic Plateau to discriminate between the qualities of different potential astronomical sites on the plateau. A statistical analysis has been presented and the conclusions of that paper were very promising. Wind speed and temperature fields (important for the computations of the optical turbulence parameters) were revealed to be reconstructed very well by the Meso-NH model, with better performances than achieved with the European Centre for Medium-Range Weather Forecasts (ECMWF) global model, especially near the surface. All results were revealed to be resolution-dependent and it has been proved that a grid-nesting configuration (three domains) with a high horizontal resolution (Delta X = 1 km) for the innermost domain is necessary to reconstruct all the optical turbulence features with a good correlation to measurements. High-resolution simulations provided an averaged surface-layer thickness just similar to 14m higher than estimated by measurements, and the seeing in the free atmosphere showed a dispersion from the observed one of just a few hundredths of an arcsec (Delta epsilon similar to 0.05 arcsec). The unique limitation of the previous study was that the optical turbulence in the surface layer appeared to be overestimated by the model in both low- and high-resolution modes. In this study we present the results obtained with an improved numerical configuration. The same 15 nights have been simulated, and we show that the model results now match the observations almost perfectly in all their features: the surface thickness, the seeing in the free atmosphere and in the surface layer. This result now permits us to investigate other Antarctic sites using a robust numerical model well adapted to the extreme polar conditions (Meso-NH).</t>
  </si>
  <si>
    <t>[Lascaux, F.; Masciadri, E.; Hagelin, S.] INAF Osservatorio Astrofis Arcetri, I-50125 Florence, Italy; [Hagelin, S.] Uppsala Univ, Dept Earth Sci, S-75236 Uppsala, Sweden</t>
  </si>
  <si>
    <t>Istituto Nazionale Astrofisica (INAF); Uppsala University</t>
  </si>
  <si>
    <t>Lascaux, F (corresponding author), INAF Osservatorio Astrofis Arcetri, Largo Enr Fermi 5, I-50125 Florence, Italy.</t>
  </si>
  <si>
    <t>lascaux@arcetri.astro.it; masciadri@arcetri.astro.it</t>
  </si>
  <si>
    <t>Masciadri, Elena/AAC-5611-2021; Hagelin, Susanna/AAA-2956-2021; Lascaux, Franck/AAK-4581-2021</t>
  </si>
  <si>
    <t>Masciadri, Elena/0000-0002-0450-4092; Hagelin, Susanna/0000-0003-3167-3016; Lascaux, Franck/0000-0002-0099-0740</t>
  </si>
  <si>
    <t>Marie Curie Excellence Grant (FOROT) [MEXT-CT-2005-023878]</t>
  </si>
  <si>
    <t>Marie Curie Excellence Grant (FOROT)(European Union (EU))</t>
  </si>
  <si>
    <t>This study has been funded by the Marie Curie Excellence Grant (FOROT) - MEXT-CT-2005-023878. The Meso-NH model is initialized with European Centre for Medium-Range Weather Forecasts (ECMWF) GRIB files. Access to ECMWF products is authorized by the Meteorologic Service of the Italian Air Force. We also thank the CNRM-LA Meso-NH user support team.</t>
  </si>
  <si>
    <t>0035-8711</t>
  </si>
  <si>
    <t>MON NOT R ASTRON SOC</t>
  </si>
  <si>
    <t>Mon. Not. Roy. Astron. Soc.</t>
  </si>
  <si>
    <t>APR 21</t>
  </si>
  <si>
    <t>10.1111/j.1365-2966.2010.16251.x</t>
  </si>
  <si>
    <t>579WF</t>
  </si>
  <si>
    <t>WOS:000276406800005</t>
  </si>
  <si>
    <t>Nesvorny, D; Jenniskens, P; Levison, HF; Bottke, WF; Vokrouhlicky, D; Gounelle, M</t>
  </si>
  <si>
    <t>Nesvorny, David; Jenniskens, Peter; Levison, Harold F.; Bottke, William F.; Vokrouhlicky, David; Gounelle, Matthieu</t>
  </si>
  <si>
    <t>COMETARY ORIGIN OF THE ZODIACAL CLOUD AND CARBONACEOUS MICROMETEORITES. IMPLICATIONS FOR HOT DEBRIS DISKS</t>
  </si>
  <si>
    <t>comets: general; minor planets, asteroids: general; zodiacal dust</t>
  </si>
  <si>
    <t>SOLAR-SYSTEM DUST; LATE HEAVY BOMBARDMENT; JUPITER-FAMILY COMETS; INTERPLANETARY DUST; MIDINFRARED SPECTRUM; KUIPER-BELT; VELOCITY DISTRIBUTION; ORBITAL DISTRIBUTION; SPATIAL-DISTRIBUTION; OPTICAL OBSERVATIONS</t>
  </si>
  <si>
    <t>The zodiacal cloud is a thick circumsolar disk of small debris particles produced by asteroid collisions and comets. Their relative contribution and how particles of different sizes dynamically evolve to produce the observed phenomena of light scattering, thermal emission, and meteoroid impacts are unknown. Until now, zodiacal cloud models have been phenomenological in nature, composed of ad hoc components with properties not understood from basic physical processes. Here, we present a zodiacal cloud model based on the orbital properties and lifetimes of comets and asteroids, and on the dynamical evolution of dust after ejection. The model is quantitatively constrained by Infrared Astronomical Satellite (IRAS) observations of thermal emission, but also qualitatively consistent with other zodiacal cloud observations, with meteor observations, with spacecraft impact experiments, and with properties of recovered micrometeorites (MMs). We find that particles produced by Jupiter-family comets (JFCs) are scattered by Jupiter before they are able to orbitally decouple from the planet and drift down to 1 AU. Therefore, the inclination distribution of JFC particles is broader than that of their source comets and leads to good fits to the broad latitudinal distribution of fluxes observed by IRAS. We find that 85%-95% of the observed mid-infrared emission is produced by particles from JFCs and &lt; 10% by dust from long-period comets. The JFC particles that contribute to the observed cross section area of the zodiacal cloud are typically D approximate to 100 mu m in diameter. Asteroidal dust is found to be present at &lt; 10%. We suggest that spontaneous disruptions of JFCs, rather than the usual cometary activity driven by sublimating volatiles, is the main mechanism that liberates cometary particles into the zodiacal cloud. The ejected mm to cm-sized particles, which may constitute the basic grain size in comets, are disrupted on less than or similar to 10,000 yr to produce the 10-1000 mu m grains that dominate the thermal emission and mass influx. Breakup products with D &gt; 100 mu m undergo a further collisional cascade with smaller fragments being progressively more affected by Poynting-Robertson (PR) drag. Upon reaching D &lt; 100 mu m, the particles typically drift down to &lt; 1 AU without suffering further disruptions. The resulting Earth-impact speed and direction of JFC particles is a strong function of particle size. While 300 mu m to 1 mm sporadic meteoroids are still on eccentric JFC-like orbits and impact from antihelion/helion directions, which is consistent with the aperture radar observations, the 10-300 mu m particles have their orbits circularized by PR drag, impact at low speeds, and are not detected by radar. Our results imply that JFC particles represent similar to 85% of the total mass influx at Earth. Since their atmospheric entry speeds are typically low (approximate to 14.5 km s(-1) mean for D = 100-200 mu m with approximate to 12 km s-1 being the most common case), many JFC grains should survive frictional heating and land on Earth's surface. This explains why most MMs collected in antarctic ice have primitive carbonaceous composition. The present mass of the inner zodiacal cloud at &lt; 5 AU is estimated to be 1-2 x 10(19) g, mainly in D = 100-200 mu m particles. The inner zodiacal cloud should have been &gt; 104 times brighter during the Late Heavy Bombardment (LHB) epoch approximate to 3.8 Gyr ago, when the outer planets scattered numerous comets into the inner solar system. The bright debris disks with a large 24 mu m excess observed around mature stars may be an indicatin of massive cometary populations existing in those systems. We estimate that at least similar to 10(22), similar to 2 x 10(21), and similar to 2 x 10(20) g of primitive dark dust material could have been accreted during LHB by the Earth, Mars, and Moon, respectively.</t>
  </si>
  <si>
    <t>[Nesvorny, David; Levison, Harold F.; Bottke, William F.] SW Res Inst, Dept Space Studies, Boulder, CO 80302 USA; [Nesvorny, David; Levison, Harold F.; Bottke, William F.] NASA, Ctr Lunar Origin &amp; Evolut, Lunar Sci Inst, Boulder, CO 80302 USA; [Jenniskens, Peter] SETI Inst, Carl Sagan Ctr, Mountain View, CA 94043 USA; [Vokrouhlicky, David] Charles Univ Prague, Inst Astron, CR-18000 Prague 8, Czech Republic; [Gounelle, Matthieu] Museum Natl Hist Nat, Lab Mineral &amp; Cosmochim Museum, F-75005 Paris, France</t>
  </si>
  <si>
    <t>National Aeronautics &amp; Space Administration (NASA); Charles University Prague; Museum National d'Histoire Naturelle (MNHN)</t>
  </si>
  <si>
    <t>Nesvorny, D (corresponding author), SW Res Inst, Dept Space Studies, 1050 Walnut St,Suite 400, Boulder, CO 80302 USA.</t>
  </si>
  <si>
    <t>Vokrouhlický, David/Q-4359-2017; Nuñez, David Lira/M-7602-2016; Levison, Harold F/C-6061-2013</t>
  </si>
  <si>
    <t>Nuñez, David Lira/0000-0002-2466-2952;</t>
  </si>
  <si>
    <t>NASA; Czech Grant Agency [205/08/0064]; Czech Ministry of Education [MSM0021620860]; Division Of Astronomical Sciences; Direct For Mathematical &amp; Physical Scien [0909166] Funding Source: National Science Foundation</t>
  </si>
  <si>
    <t>NASA(National Aeronautics &amp; Space Administration (NASA)); Czech Grant Agency(Grant Agency of the Czech Republic); Czech Ministry of Education(Ministry of Education, Youth &amp; Sports - Czech Republic); Division Of Astronomical Sciences; Direct For Mathematical &amp; Physical Scien(National Science Foundation (NSF)NSF - Directorate for Mathematical &amp; Physical Sciences (MPS))</t>
  </si>
  <si>
    <t>This work was supported by the NASA Planetary Geology and Geophysics and Planetary Astronomy programs. The work of D. V. was partially supported by the Czech Grant Agency (grant 205/08/0064) and the Research Program MSM0021620860 of the Czech Ministry of Education. We thank C. M. Lisse, A. Morbidelli, L. Dones, W. T. Reach, and two anonymous referees for their insightful comments on the manuscript.</t>
  </si>
  <si>
    <t>APR 20</t>
  </si>
  <si>
    <t>10.1088/0004-637X/713/2/816</t>
  </si>
  <si>
    <t>578XF</t>
  </si>
  <si>
    <t>WOS:000276329400009</t>
  </si>
  <si>
    <t>Lam, MM; Horne, RB; Meredith, NP; Glauert, SA; Moffat-Griffin, T; Green, JC</t>
  </si>
  <si>
    <t>Lam, Mai Mai; Horne, Richard B.; Meredith, Nigel P.; Glauert, Sarah A.; Moffat-Griffin, Tracy; Green, Janet C.</t>
  </si>
  <si>
    <t>Origin of energetic electron precipitation &gt;30 keV into the atmosphere</t>
  </si>
  <si>
    <t>PITCH-ANGLE DIFFUSION; WHISTLER-MODE CHORUS; ION-CYCLOTRON WAVES; RADIATION BELT; RELATIVISTIC ELECTRONS; ZONE ELECTRONS; ACCELERATION; ENERGIES; STORMS; THERMOSPHERE</t>
  </si>
  <si>
    <t>Energetic electrons are deposited into the atmosphere from Earth's inner magnetosphere, resulting in the production of odd nitrogen (NOx). During polar night, NOx can be transported to low altitudes, where it can destroy ozone, affecting the atmospheric radiation balance. Since the flux of energetic electrons trapped in the magnetosphere is related to solar activity, the precipitation of these electrons into Earth's atmosphere provides a link between solar variability and changes in atmospheric chemistry which may affect Earth's climate. To determine the global distribution of the precipitating flux, we have built a statistical model binned by auroral electrojet (AE) index, magnetic local time (MLT), and L shell of E &gt; 30 keV precipitating electrons from the Medium Energy Proton and Electron Detector (MEPED) on board the NOAA Polar Orbiting Environmental Satellites (POES) low-altitude satellites NOAA-15, NOAA-16, NOAA-17, and NOAA-18. We show that the precipitating flux increases with geomagnetic activity, suggesting that the flux is related to substorm activity. The precipitating fluxes maximize during active conditions where they are primarily seen outside of the plasmapause on the dawnside. The global distribution of the precipitating flux of E &gt; 30 keV electrons is well-correlated with the global distribution of lower-band chorus waves as observed by the plasma wave experiment onboard the Combined Release and Radiation Effects Satellite (CRRES) satellite. In addition, the electron precipitation occurs where the pitch angle diffusion coefficient due to resonant interaction between electrons and whistler mode chorus waves is high, as calculated using the pitch angle and energy diffusion of ions and electrons (PADIE) code. Our results suggest that lower-band chorus is very important for scattering &gt; 30 keV electrons from Earth's inner magnetosphere into the atmosphere.</t>
  </si>
  <si>
    <t>[Lam, Mai Mai] Univ Leicester, Dept Phys &amp; Astron, Leicester LE1 7RH, Leics, England; [Horne, Richard B.; Meredith, Nigel P.; Glauert, Sarah A.; Moffat-Griffin, Tracy] British Antarctic Survey, NERC, Cambridge CB3 0ET, England; [Green, Janet C.] Natl Ocean &amp; Atmospher Adm, Space Weather Predict Ctr, Boulder, CO 80305 USA</t>
  </si>
  <si>
    <t>University of Leicester; UK Research &amp; Innovation (UKRI); Natural Environment Research Council (NERC); NERC British Antarctic Survey; National Oceanic Atmospheric Admin (NOAA) - USA</t>
  </si>
  <si>
    <t>Lam, MM (corresponding author), Univ Leicester, Dept Phys &amp; Astron, Univ Rd, Leicester LE1 7RH, Leics, England.</t>
  </si>
  <si>
    <t>mml9@ion.le.ac.uk; rh@bas.ac.uk; nmer@bas.ac.uk; sagl@bas.ac.uk; tmof@bas.ac.uk; janet.green@noaa.gov</t>
  </si>
  <si>
    <t>Horne, Richard B/U-3764-2019; Meredith, Nigel P/C-5806-2018</t>
  </si>
  <si>
    <t>Natural Environment Research Council; Natural Environment Research Council [bas0100023] Funding Source: researchfish; Science and Technology Facilities Council [PP/E000983/1] Funding Source: researchfish; NERC [bas0100023] Funding Source: UKRI; STFC [PP/E000983/1] Funding Source: UKRI</t>
  </si>
  <si>
    <t>Natural Environment Research Council(UK Research &amp; Innovation (UKRI)Natural Environment Research Council (NERC));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</si>
  <si>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would like to thank Roger R. Anderson for the provision of the wave data, Hannah Vickers and Bob Weigel for assistance with processing the NOAA POES data, Craig Roger for discussions about NOAA POES data set, Nicola Longden and Mark Clilverd for discussions about riometer data, and the NSSDC Omniweb for providing the geomagnetic indices. This work was supported by the Natural Environment Research Council.</t>
  </si>
  <si>
    <t>A00F08</t>
  </si>
  <si>
    <t>10.1029/2009JA014619</t>
  </si>
  <si>
    <t>587ZS</t>
  </si>
  <si>
    <t>WOS:000277036100001</t>
  </si>
  <si>
    <t>Goldberg, SJ; Carlson, CA; Bock, B; Nelson, NB; Siegel, DA</t>
  </si>
  <si>
    <t>Goldberg, Stuart J.; Carlson, Craig A.; Bock, Brandon; Nelson, Norm B.; Siegel, David A.</t>
  </si>
  <si>
    <t>Meridional variability in dissolved organic matter stocks and diagenetic state within the euphotic and mesopelagic zone of the North Atlantic subtropical gyre</t>
  </si>
  <si>
    <t>Dissolved combined neutral sugars (DCNS); Total hydrolyzable carbohydrates (TCHO); Dissolved organic matter (DOM); Diagenetic state; North Atlantic Ocean</t>
  </si>
  <si>
    <t>NEUTRAL SUGARS POLYSACCHARIDES; NORTHWESTERN SARGASSO SEA; BACTERIOPLANKTON GROWTH; MARINE-PHYTOPLANKTON; MICROBIAL PROCESSES; MOLECULAR-WEIGHT; SURFACE WATERS; ULTRAVIOLET-B; TIME-SERIES; AMINO-ACIDS</t>
  </si>
  <si>
    <t>Concentrations of dissolved organic carbon (DOC), bulk carbohydrates (TCHO), and dissolved combined neutral sugars (DCNS) were measured during a meridional U.S. CO(2) - Climate Variability (CLIVAR) Repeat Hydrography Project cruise (A20) from 7-43 degrees N in the North Atlantic. Maxima in DOC, TCHO, and DCNS concentrations and carbohydrate yields (TCHO and DCNS as a % of DOC) were observed within the most stratified surface waters south of 27 degrees N. Concentrations and yields of TCHO and DCNS decreased to the north and south of their respective maxima, indicating significant variability in the apparent diagenetic state of dissolved organic matter (DOM) along the transect. Changes in apparent diagenetic state to the north appeared to be largely related to the previous entrainment of recalcitrant DOM during deep winter/spring convective mixing. Deep mixing was less of a factor in the more stratified waters to the south where the decrease in carbohydrate yields indicated diagenetic alteration of the surface-accumulated pool of DOM. Overall, diagenesis decreased both carbohydrate yields and the mol% of galactose and mannose + xylose content and in deep waters resulted in a significant enrichment in the mol% of glucose. TCHO yields and the mol% of glucose revealed significant differences in DOM quality between subtropical mode water (STMW) and upper Antarctic Intermediate Water (uAAIW) that were related to the extent of water mass ventilation. (C) 2009 Elsevier B.V. All rights reserved.</t>
  </si>
  <si>
    <t>[Goldberg, Stuart J.] Univ Calif La Jolla, Scripps Inst Oceanog, Geosci Res Div, San Diego, CA 92093 USA; [Goldberg, Stuart J.; Carlson, Craig A.; Bock, Brandon] Univ Calif Santa Barbara, Dept Ecol Evolut &amp; Marine Biol, Santa Barbara, CA 93106 USA; [Nelson, Norm B.; Siegel, David A.] Univ Calif Santa Barbara, Inst Computat &amp; Earth Syst Sci, Santa Barbara, CA 93106 USA</t>
  </si>
  <si>
    <t>University of California System; University of California San Diego; Scripps Institution of Oceanography; University of California System; University of California Santa Barbara; University of California System; University of California Santa Barbara</t>
  </si>
  <si>
    <t>Goldberg, SJ (corresponding author), Univ Calif La Jolla, Scripps Inst Oceanog, Geosci Res Div, San Diego, CA 92093 USA.</t>
  </si>
  <si>
    <t>sjgoldberg@ucsd.edu</t>
  </si>
  <si>
    <t>Nelson, Norman B/B-7343-2014; Siegel, David A/C-5587-2008</t>
  </si>
  <si>
    <t>Siegel, David/0000-0003-1674-3055</t>
  </si>
  <si>
    <t>Repeat Hydrography program; NSF Chemical Oceanography [OCE-0241614, OCE-0648541]; NASA Ocean Biology and Biogeochemistry [NAG5-13277]; R/V Knorr</t>
  </si>
  <si>
    <t>Repeat Hydrography program; NSF Chemical Oceanography(National Science Foundation (NSF)NSF - Directorate for Geosciences (GEO)); NASA Ocean Biology and Biogeochemistry(National Aeronautics &amp; Space Administration (NASA)); R/V Knorr</t>
  </si>
  <si>
    <t>We thank the Repeat Hydrography program for support, as well as the officers and crew of the R/V Knorr and the chief scientists aboard for the A20 cruise. We are grateful to Meredith Myers for assistance with DOC data processing. We thank Mark Brzezinski, Lihini Aluwihare, and Craig Nelson for intellectual discussions throughout the preparation of this manuscript. The work conducted herein was supported by NSF Chemical Oceanography (OCE-0241614) to DAS, NBN, and CAC; NSF Chemical Oceanography (OCE-0648541) to NBN, DAS, and CAC; and NASA Ocean Biology and Biogeochemistry (NAG5-13277) to DAS, NBN, and CAC.</t>
  </si>
  <si>
    <t>10.1016/j.marchem.2009.12.002</t>
  </si>
  <si>
    <t>597JS</t>
  </si>
  <si>
    <t>WOS:000277753700002</t>
  </si>
  <si>
    <t>Tsukasaki, A; Tanoue, E</t>
  </si>
  <si>
    <t>Tsukasaki, Ayumi; Tanoue, Eiichiro</t>
  </si>
  <si>
    <t>Chemical qualification of electrophoretically detectable peptides and sugar chains in oceanic surface particulate organic matter</t>
  </si>
  <si>
    <t>Particulate organic matter; Amino acids; Carbohydrates; Sodium dodecyl sulfate; Periodic acid Schiff reaction; Pacific surface water</t>
  </si>
  <si>
    <t>PROTEIN PRECIPITATION METHODS; AMINO-ACIDS; MASS-SPECTROMETRY; TRIFLUOROMETHANESULFONIC ACID; GEL; DEGLYCOSYLATION; SEPARATION; CARBOHYDRATE; GLYCOPROTEIN; MECHANISM</t>
  </si>
  <si>
    <t>Particulate organic matter (POM) is a mixture of living POM (organisms) and non-living POM (detritus). Since the majority of amino acids in organisms are comprised of proteins, and since the particulate combined amino acids (PCAAs) liberated by the acid hydrolysis of POM is the largest constituent of POM. PCAAs may be a mixture of proteins in organisms and their degradation products in detritus. However, the early stage of degradation and chemical alteration of proteins and the processes by which proteins in organisms are transferred to detrital PCAAs have not been well documented. Here we use gel chromatography (SOS-PAGE: sodium dodecyl sulfate-polyacrylamide gel electrophoresis) to chemically characterize the PCAAs pool and the following results were obtained. 1) The protein/peptide-specific dye (Coomassie brilliant blue; CBB) stainable materials (CSM) and the sugar chain-specific periodic acid Schiff (PAS) stainable materials (PSM) were simultaneously detected on POM electrophoretograms from the Antarctic to the Tropical Zone. 2) CSM and PSM showed electrophoretograms very similar to each other, in that they exhibited a smeared-staining pattern with a broad molecular weight range on the SDS-PAGE gel. Nevertheless, they did not covalently bind each other, and they were roughly separated using the solubility of trichloroacetic acid (TCA) solution. 3) Results obtained from the combination of enzymatic and chemical deglycosylation experiments, solubility in TCA solution, and SDS-PAGE revealed that CSM might be a conglomeration of proteins/peptides of various organisms in POM, while PSM might be comprised of degradation products of glycoconjugates. Carbohydrate-rich remnants with small-sized peptide chains derived from O-linked glycoproteins and/or proteoglycans were considered to be the most likely chemical form of PSM. The possible roles of such sugar chains in marine environments are discussed. (C) 2009 Elsevier B.V. All rights reserved.</t>
  </si>
  <si>
    <t>[Tsukasaki, Ayumi; Tanoue, Eiichiro] Nagoya Univ, Grad Sch Environm Studies, Dept Earth &amp; Environm Sci, Chikusa Ku, Nagoya, Aichi 4648601, Japan</t>
  </si>
  <si>
    <t>Nagoya University</t>
  </si>
  <si>
    <t>Tsukasaki, A (corresponding author), Nagoya Univ, Grad Sch Environm Studies, Dept Earth &amp; Environm Sci, Chikusa Ku, Furo Cho, Nagoya, Aichi 4648601, Japan.</t>
  </si>
  <si>
    <t>tsukasaki@nagoya-u.jp</t>
  </si>
  <si>
    <t>Tsukasaki, Ayumi/L-3271-2018</t>
  </si>
  <si>
    <t>Tsukasaki, Ayumi/0000-0002-6253-5049</t>
  </si>
  <si>
    <t>Japan Society for the Promotion of Science (JSPS) [18651006, 20241005, 18 06318, 20 08341]; Grants-in-Aid for Scientific Research [18651006, 20241005] Funding Source: KAKEN</t>
  </si>
  <si>
    <t>We wish to thank the captain and crew of the R/V Hakuho-Maru for their generous cooperation during the KH04-5 cruise, and we are indebted to the scientists who participated in the cruise for their valuable assistance. We are also indebted to Mr. T. Nishida, Dr. N. Yamada and Dr. Y. Yamashita for their assistance with the chemical analysis and for their helpful comments in the early stage of the manuscript. We must also acknowledge two anonymous reviewers for their critical comments. Partial support for this study was provided by Grants-in-Aid for Scientific Research (Nos. 18651006, 20241005, 18 06318 and 20 08341) from the Japan Society for the Promotion of Science (JSPS).</t>
  </si>
  <si>
    <t>10.1016/j.marchem.2009.12.004</t>
  </si>
  <si>
    <t>WOS:000277753700004</t>
  </si>
  <si>
    <t>Balansa, W; Islam, R; Fontaine, F; Piggott, AM; Zhang, H; Webb, TI; Gilbert, DF; Lynch, JW; Capon, RJ</t>
  </si>
  <si>
    <t>Balansa, Walter; Islam, Robiul; Fontaine, Frank; Piggott, Andrew M.; Zhang, Hua; Webb, Timothy I.; Gilbert, Daniel F.; Lynch, Joseph W.; Capon, Robert J.</t>
  </si>
  <si>
    <t>Ircinialactams: Subunit-selective glycine receptor modulators from Australian sponges of the family Irciniidae</t>
  </si>
  <si>
    <t>BIOORGANIC &amp; MEDICINAL CHEMISTRY</t>
  </si>
  <si>
    <t>Glycine receptor (GlyR) chloride channels; Glycinyl lactam sesterterpenes; Marine natural products; Irciniidae</t>
  </si>
  <si>
    <t>CHLORIDE CHANNEL; MARINE SPONGE; MOUSE RETINA; MOLECULAR DETERMINANT; GENUS SARCOTRAGUS; POTENTIATION; INHIBITION; DIVERSITY; NEURONS; LOCALIZATION</t>
  </si>
  <si>
    <t>Screening an extract library of &gt;2500 southern Australian and Antarctic marine invertebrates and algae for modulators of glycine receptor ( GlyR) chloride channels identified three Irciniidae sponges that yielded new examples of a rare class of glycinyl lactam sesterterpene, ircinialactam A,8-hydroxyircinialactam A, 8-hydroxyircinialactam B, ircinialactam C, ent-ircinialactam C and ircinialactam D. Structure-activity relationship (SAR) investigations revealed a new pharmacophore with potent and subunit selective modulatory properties against alpha 1 and alpha 3 GlyR isoforms. Such GlyR modulators have potential application as pharmacological tools, and as leads for the development of GlyR targeting therapeutics to treat chronic inflammatory pain, epilepsy, spasticity and hyperekplexia. (C) 2010 Elsevier Ltd. All rights reserved.</t>
  </si>
  <si>
    <t>[Balansa, Walter; Fontaine, Frank; Piggott, Andrew M.; Zhang, Hua; Capon, Robert J.] Univ Queensland, Inst Mol Biosci, St Lucia, Qld 4072, Australia; [Islam, Robiul; Webb, Timothy I.; Gilbert, Daniel F.; Lynch, Joseph W.] Univ Queensland, Queensland Brain Inst, St Lucia, Qld 4072, Australia; [Islam, Robiul; Webb, Timothy I.; Gilbert, Daniel F.; Lynch, Joseph W.] Univ Queensland, Sch Biomed Sci, St Lucia, Qld 4072, Australia</t>
  </si>
  <si>
    <t>University of Queensland; University of Queensland; University of Queensland</t>
  </si>
  <si>
    <t>Capon, RJ (corresponding author), Univ Queensland, Inst Mol Biosci, St Lucia, Qld 4072, Australia.</t>
  </si>
  <si>
    <t>r.capon@imb.uq.edu.au</t>
  </si>
  <si>
    <t>Capon, Robert/G-9238-2012; Webb, Timothy I/H-6941-2015; Lynch, Joseph W/C-8636-2009; Islam, Md Robiul/H-2499-2011; Gilbert, Daniel F./F-8714-2011; Piggott, Andrew/G-9259-2012</t>
  </si>
  <si>
    <t>Capon, Robert/0000-0002-8341-7754; Webb, Timothy I/0000-0002-6263-6296; Fontaine, Frank/0000-0002-3133-8093; Balansa, Walter/0000-0002-7914-6445; /0000-0003-4431-4741; Piggott, Andrew/0000-0002-5308-5314</t>
  </si>
  <si>
    <t>Australian Development Scholarship; National Health and Medical Research Council of Australia; Australian Research Council; Institute for Molecular Bioscience; University of Queensland</t>
  </si>
  <si>
    <t>Australian Development Scholarship; National Health and Medical Research Council of Australia(National Health &amp; Medical Research Council (NHMRC) of Australia); Australian Research Council(Australian Research Council); Institute for Molecular Bioscience; University of Queensland(University of Queensland)</t>
  </si>
  <si>
    <t>We thank L. Goudie (Museum Victoria) for taxonomic analysis and S. Nevin for help with the Patchliner. W. B. was supported by an Australian Development Scholarship and J. W. L. was supported by a fellowship from the National Health and Medical Research Council of Australia. We also acknowledge the support of the Australian Research Council Special Research Centre for Functional and Applied Genomics, the Institute for Molecular Bioscience and The University of Queensland.</t>
  </si>
  <si>
    <t>0968-0896</t>
  </si>
  <si>
    <t>1464-3391</t>
  </si>
  <si>
    <t>BIOORGAN MED CHEM</t>
  </si>
  <si>
    <t>Bioorg. Med. Chem.</t>
  </si>
  <si>
    <t>APR 15</t>
  </si>
  <si>
    <t>10.1016/j.bmc.2010.03.002</t>
  </si>
  <si>
    <t>Biochemistry &amp; Molecular Biology; Chemistry, Medicinal; Chemistry, Organic</t>
  </si>
  <si>
    <t>Biochemistry &amp; Molecular Biology; Pharmacology &amp; Pharmacy; Chemistry</t>
  </si>
  <si>
    <t>581MV</t>
  </si>
  <si>
    <t>WOS:000276528700011</t>
  </si>
  <si>
    <t>Jamieson, SSR; Sugden, DE; Hulton, NRJ</t>
  </si>
  <si>
    <t>Jamieson, Stewart S. R.; Sugden, David E.; Hulton, Nicholas R. J.</t>
  </si>
  <si>
    <t>The evolution of the subglacial landscape of Antarctica</t>
  </si>
  <si>
    <t>landscape evolution; erosion; ice sheet; topography; Antarctica; model</t>
  </si>
  <si>
    <t>ATMOSPHERIC CARBON-DIOXIDE; ICE-SHEET DYNAMICS; SOUTHERN VICTORIA LAND; DRONNING-MAUD LAND; MARIE-BYRD-LAND; EAST-ANTARCTICA; TRANSANTARCTIC MOUNTAINS; GLACIAL EROSION; CAIRNGORM MOUNTAINS; EXPOSURE AGES</t>
  </si>
  <si>
    <t>The aim is to investigate the evolution of the subglacial landscape of Antarctica using an ice sheet and erosion model. We identify different stages of continental glaciation and model the erosion processes associated with each stage. The model links erosion to the basal thermal regime and indicates that much of the Antarctic interior may have been subject to less than 200 m of erosion. The depth of erosion reflects the presence or absence of warm-based ice and the consistency of ice flow direction. This information, linked with knowledge about landscapes of glaciation in the northern hemisphere and some simple but robust assumptions about initial topography, is used to generate a map of the subglacial Antarctic landscape in which much of the lowland interior resembles the landscapes of areal scouring typical of the Laurentian and Scandinavian shields. Near the continental margins selective linear erosion has overdeepened pre-existing river valleys by as much as 2.8 km. High elevation plateaus adjacent to such drainage systems have survived largely unmodified under cold-based ice. High erosion rates result from steep thermal gradients in basal ice. Mountain regions such as the Gamburtsev Mountains, uplands in Dronning Maud Land and massifs in West Antarctica are likely to bear features of local alpine glaciation. Such landscapes may have been protected under cold-based ice for the last 34 Myrs or possibly longer. (C) 2010 Elsevier B.V. All rights reserved.</t>
  </si>
  <si>
    <t>[Jamieson, Stewart S. R.; Sugden, David E.; Hulton, Nicholas R. J.] Univ Edinburgh, Sch Geosci, Edinburgh EH8 9XP, Midlothian, Scotland; [Jamieson, Stewart S. R.] Univ Durham, Dept Geog, Sci Labs, Durham DH1 3LE, England</t>
  </si>
  <si>
    <t>University of Edinburgh; Durham University</t>
  </si>
  <si>
    <t>Jamieson, SSR (corresponding author), Univ Edinburgh, Sch Geosci, Drummond St, Edinburgh EH8 9XP, Midlothian, Scotland.</t>
  </si>
  <si>
    <t>Stewart.Jamieson@ed.ac.uk</t>
  </si>
  <si>
    <t>Jamieson, Stewart S.R./B-8330-2013</t>
  </si>
  <si>
    <t>Jamieson, Stewart S.R./0000-0002-9036-2317</t>
  </si>
  <si>
    <t>Natural Environment Research Council, UK; NERC [NE/E018254/1] Funding Source: UKRI; Natural Environment Research Council [NE/E018254/1] Funding Source: researchfish</t>
  </si>
  <si>
    <t>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</si>
  <si>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We thank Peter Barrett and an anonymous reviewer for constructive comments which helped improve this manuscript. The work was supported by the Natural Environment Research Council, UK.</t>
  </si>
  <si>
    <t>10.1016/j.epsl.2010.02.012</t>
  </si>
  <si>
    <t>590HW</t>
  </si>
  <si>
    <t>WOS:000277217100001</t>
  </si>
  <si>
    <t>van Ginneken, M; Folco, L; Perchiazzi, N; Rochette, P; Bland, PA</t>
  </si>
  <si>
    <t>van Ginneken, M.; Folco, L.; Perchiazzi, N.; Rochette, P.; Bland, P. A.</t>
  </si>
  <si>
    <t>Meteoritic ablation debris from the Transantarctic Mountains: Evidence for a Tunguska-like impact over Antarctica ca. 480 ka ago</t>
  </si>
  <si>
    <t>meteoritic ablation debris; micrometeorites; Antarctic ice cores; meteoritic impacts; Tunguska airburst</t>
  </si>
  <si>
    <t>NORTHERN VICTORIA LAND; FRONTIER MOUNTAIN; ATMOSPHERIC ENTRY; COSMIC SPHERULES; MICROMETEORITES; ICE; STONY; OXYGEN; EARTH; CLASSIFICATION</t>
  </si>
  <si>
    <t>Aggregates of microscopic spherules broadly similar in texture and composition to cosmic spherules or meteorite ablation spheres were discovered within the similar to 1 Ma-old Transantarctic Mountain micrometeorite traps at Miller Butte, Victoria Land, Antarctica. Mineralogical and geochemical data obtained by means of field emission-scanning electron microscopy, electron microprobe analyses, synchrotron X-ray diffraction, and magnetization measurements show that they consist of a porous aggregate of quench-textured spherules, with individual spherules ranging from less than 1 to 65 pm in diameter. Spherule types include porphyritic olivine plus magnesioferrite spherules, dendritic magnesioferrite spherules, barred and feathered olivine spherules, and cryptocrystalline spherules. In contrast to the textural variations, the bulk composition of the individual spherules is fairly homogeneous and broadly chondritic. Likewise olivine has a nearly homogeneous composition Fa(16.3 +/- 2.7). Olivine and magnesioferrite are characterized by high NiO contents (2.72 +/- 1.6 and 4.68 +/- 0.68 wt.%, respectively), as typically observed in ablation debris and meteorite fusion crusts. The bulk composition of the aggregates is similar to the fusion crust of ordinary and carbonaceous chondrites. We interpret the spherulitic aggregates as meteorite ablation debris formed during the atmospheric entry of a large meteorite of ordinary or carbonaceous chondritic composition. Comparison with the available literature data shows that the ablation debris found at Miller Butte is most likely paired with the extraterrestrial dust found in a similar to 480 ka-old ice layer in the EPICA-Dome C and Dome Fuji ice cores (East Antarctic ice sheet), thereby documenting a continental-scale distribution of ablation debris associated with a major meteoritic impact event which occurred similar to 480 ka ago. Based on estimates of the projectile mass (&gt;10(8) kg) and numerical simulation of small-scale impacts from literature, we propose that the continental-scale distribution of the ablation debris was generated by the deceleration of a giant impact plume associated with a Tunguska-like impact over Antarctica. Tunguska-like impacts have global frequencies on the order of 10(3) to 10(5) yr, consistent with several being recorded in the Antarctic ice sheet. Finally, our detailed petrographic description of the spherulitic aggregates could serve as guide to the search for Tunguska-like events in the geological record. (C) 2010 Elsevier B.V. All rights reserved.</t>
  </si>
  <si>
    <t>[van Ginneken, M.; Folco, L.] Univ Siena, Museo Nazl Antartide, I-53100 Siena, Italy; [Perchiazzi, N.] Univ Pisa, Dipartimento Sci Terra, I-56126 Pisa, Italy; [Rochette, P.] Aix Marseille Univ, CNRS, CEREGE, F-13545 Aix En Provence 4, France; [Bland, P. A.] Univ London Imperial Coll Sci Technol &amp; Med, Dept Earth Sci &amp; Engn, Impacts &amp; Astromat Res Ctr, London SW7 2AZ, England</t>
  </si>
  <si>
    <t>University of Siena; University of Pisa; Aix-Marseille Universite; Centre National de la Recherche Scientifique (CNRS); Imperial College London; Natural History Museum London</t>
  </si>
  <si>
    <t>van Ginneken, M (corresponding author), Univ Siena, Museo Nazl Antartide, Via Laterina 8, I-53100 Siena, Italy.</t>
  </si>
  <si>
    <t>vanginneken@unisi.it</t>
  </si>
  <si>
    <t>Rochette, Pierre/O-4612-2019; Folco, Luigi/AAA-6351-2020; Perchiazzi, Natale/A-9578-2018; Van Ginneken, Matthias/AFQ-5594-2022; Van Ginneken, Matthias/A-3342-2017; Folco, Luigi/AAB-8586-2021; Bland, Phil/M-9392-2018</t>
  </si>
  <si>
    <t>Rochette, Pierre/0000-0002-7362-0660; Perchiazzi, Natale/0000-0003-3229-2282; Van Ginneken, Matthias/0000-0002-2508-7021; Van Ginneken, Matthias/0000-0002-2508-7021; Bland, Phil/0000-0002-4681-7898; Folco, Luigi/0000-0002-7276-3483; Suavet, Clement/0000-0001-9970-0864</t>
  </si>
  <si>
    <t>Programma Nazionale delle Ricerche in Antartide (PNRA); European Commission [35519]</t>
  </si>
  <si>
    <t>Programma Nazionale delle Ricerche in Antartide (PNRA); European Commission(European Union (EU)European Commission Joint Research Centre)</t>
  </si>
  <si>
    <t>This work was supported by the Programma Nazionale delle Ricerche in Antartide (PNRA). MvG, LF and PAB are also supported by the European Commission through the Marie Curie Actions-RTN ORIGINS project (ID: 35519). This work is part of MvG's PhD thesis (Scuola di Dottorato in Scienze Polari) supervised by LF. Rick Carlson is acknowledged for editorial assistance. The manuscript benefited from constructive comments of two anonymous reviewers. We would like to thank Clement Suavet for magnetic hysteresis measurements at the Aix-Marseille Universite.</t>
  </si>
  <si>
    <t>10.1016/j.epsl.2010.02.028</t>
  </si>
  <si>
    <t>WOS:000277217100010</t>
  </si>
  <si>
    <t>Lodolo, E; Civile, D; Vuan, A; Tassone, A; Geletti, R</t>
  </si>
  <si>
    <t>Lodolo, E.; Civile, D.; Vuan, A.; Tassone, A.; Geletti, R.</t>
  </si>
  <si>
    <t>The Scotia-Antarctica plate boundary from 35°W to 45°W</t>
  </si>
  <si>
    <t>Scotia-Antarctica plate boundary; seismic profiles; fault-plane solutions; tectonic development</t>
  </si>
  <si>
    <t>SOUTH ORKNEY MICROCONTINENT; TECTONIC EVOLUTION; SUBDUCTION COMPLEX; BASIN DEVELOPMENT; TRENCH COLLISION; SEA; RIDGE; ARC; FRAGMENTATION; RELOCATION</t>
  </si>
  <si>
    <t>A compilation of available multichannel seismic profiles acquired along the southern margin of the Scotia Sea east of the South Orkney microcontinent has allowed identifying and mapping the main morphological and structural features of the central segment of the Scotia-Antarctica plate boundary. This margin is composed by several bathymetric highs of variable size and uncertain crustal nature, separated by deep troughs and restricted oceanic basins. Some of these troughs represent pull-apart basins. Three main segments oriented WNW-ESE (the western sector), ENE-WSW (the central sector, here named Bruce Deep), and NE-SW (the eastern sector), have been described. These segments are separated by NNW-SSE-trending release zones, disposed in an en-echelon geometry, which represent mostly strike-slip faults. The western segment corresponds to the northern margin of the South Orkney microcontinent, where a subduction zone seems to be present, even if its present-day activity is unclear. The segment further to the east corresponds to an ENE-oriented basin (Bruce Deep), which separates the Bruce Bank from the eastern promontory of the South Orkney continental platform. To the south of the Bruce Deep, a wide deformation zone with N-verging folds and thrusts (here named Jane Thrust Belt), has been identified from seismic data. The eastern segment of the plate boundary is structurally the less constrained, and may be composed by a series of tectonic lineaments of different lengths. From the Bruce Bank to the east, focal mechanisms maintain a prevalent left-lateral strike-slip motion combined with an extensional component. In this sector, earthquakes are located in a 150 km wide area and on a local scale are difficult to follow unambiguously at the plate boundary. Lithologic analyses on dredged material recovered along a flank of one of the morphological relieves present south of the Discovery Bank to 35 degrees W (here collectively named Irizar Highs), yielded a dominant granitic composition. A similar composition characterizes the rocks collected in the southern flank of the south-easternmost Jane Bank. This suggests a continental crust nature for these bathymetric highs, now dispersed along this sector of the Scotia-Antarctica plate boundary. We propose here a tectonic evolution for this margin, dominated since the Early Miocene by the northward subduction of the Weddell Sea oceanic crust. The development of a dextral, en-echelon transform fault system facilitated the process of fragmentation and dispersion of the crustal blocks, dismembered the subduction zone, and possibly inverted the direction of convergence: Therefore, the Scotia plate would subduct beneath the Antarctic plate, in the western sector, and Weddell Sea would subduct beneath Scotia plate, in the eastern sector. Finally, the activation of left-lateral transtensional strike-slip lineaments generated narrow pull-apart basins in the fore-arc sectors of the convergent zones. (C) 2010 Elsevier B.V. All rights reserved.</t>
  </si>
  <si>
    <t>[Lodolo, E.; Civile, D.; Vuan, A.; Geletti, R.] Ist Nazl Oceanog &amp; Geofis Sperimentale OGS, Trieste, Italy; [Tassone, A.] Univ Buenos Aires, Dpto Geol, CONICET, Inst Geofis Daniel Valencio, RA-1053 Buenos Aires, DF, Argentina</t>
  </si>
  <si>
    <t>Lodolo, E (corresponding author), Ist Nazl Oceanog &amp; Geofis Sperimentale OGS, Trieste, Italy.</t>
  </si>
  <si>
    <t>Vuan, Alessandro/GLR-3168-2022; Vuan, Alessandro/AAC-9665-2021; Vuan, Alessandro/B-7115-2014</t>
  </si>
  <si>
    <t>Vuan, Alessandro/0000-0001-5536-1717; Geletti, Riccardo/0000-0002-6574-011X; Civile, Dario/0000-0002-2809-0015; LODOLO, Emanuele/0000-0002-4706-2095</t>
  </si>
  <si>
    <t>10.1016/j.epsl.2009.12.045</t>
  </si>
  <si>
    <t>WOS:000277217100021</t>
  </si>
  <si>
    <t>Cofaigh, CO; Dowdeswell, JA; King, EC; Anderson, JB; Clark, CD; Evans, DJA; Evans, J; Hindmarsh, RCA; Larter, RD; Stokes, CR</t>
  </si>
  <si>
    <t>Cofaigh, Calm O.; Dowdeswell, Julian A.; King, Edward C.; Anderson, John B.; Clark, Chris D.; Evans, David J. A.; Evans, Jeffrey; Hindmarsh, Richard C. A.; Larter, Robert D.; Stokes, Chris R.</t>
  </si>
  <si>
    <t>Comment on Shaw J., Pugin, A. and Young, R. (2008): A meltwater origin for Antarctic shelf bedforms with special attention to megalineations, Geomorphology 102, 364-375</t>
  </si>
  <si>
    <t>Antarctica; Ice streams; Subglacial landforms; Meltwater; Mega-scale glacial lineations; Drumlins</t>
  </si>
  <si>
    <t>PINE ISLAND BAY; SOUTH-CENTRAL ALBERTA; LAST GLACIAL MAXIMUM; PALEO-ICE STREAM; FLOW DYNAMICS; AMUNDSEN SEA; ROSS SEA; SHEET; BENEATH; LANDFORMS</t>
  </si>
  <si>
    <t>[Cofaigh, Calm O.; Evans, David J. A.; Stokes, Chris R.] Univ Durham, Dept Geog, Durham DH1 3LE, England; [Dowdeswell, Julian A.] Univ Cambridge, Scott Polar Res Inst, Cambridge CB2 1ER, England; [King, Edward C.; Hindmarsh, Richard C. A.; Larter, Robert D.] British Antarctic Survey, Cambridge CB3 0ET, England; [Anderson, John B.] Rice Univ, Dept Earth Sci, Houston, TX 77005 USA; [Clark, Chris D.] Univ Sheffield, Dept Geog, Sheffield S10 2TN, S Yorkshire, England; [Evans, Jeffrey] Univ Loughborough, Dept Geog, Loughborough LE11 3TU, Leics, England</t>
  </si>
  <si>
    <t>Durham University; University of Cambridge; UK Research &amp; Innovation (UKRI); Natural Environment Research Council (NERC); NERC British Antarctic Survey; Rice University; University of Sheffield; Loughborough University</t>
  </si>
  <si>
    <t>Cofaigh, CO (corresponding author), Univ Durham, Dept Geog, Durham DH1 3LE, England.</t>
  </si>
  <si>
    <t>colm.o'cofaigh@durham.ac.uk</t>
  </si>
  <si>
    <t>Evans, Jeffrey/F-5548-2010; Anderson, John/B-1011-2012; Hindmarsh, Richard/N-1195-2019; Stokes, Chris/A-1957-2011; clark, chris/C-3830-2009</t>
  </si>
  <si>
    <t>Hindmarsh, Richard/0000-0003-1633-2416; Dowdeswell, Julian/0000-0003-1369-9482; Stokes, Chris/0000-0003-3355-1573; clark, chris/0000-0002-1021-6679; Larter, Robert/0000-0002-8414-7389</t>
  </si>
  <si>
    <t>NERC [NE/D011175/1, bas0100027] Funding Source: UKRI; Natural Environment Research Council [bas0100027, NE/C506372/1, NE/D011175/1] Funding Source: researchfish</t>
  </si>
  <si>
    <t>10.1016/j.geomorph.2009.09.036</t>
  </si>
  <si>
    <t>581RY</t>
  </si>
  <si>
    <t>WOS:000276543200015</t>
  </si>
  <si>
    <t>Shaw, J; Young, RR</t>
  </si>
  <si>
    <t>Shaw, J.; Young, R. R.</t>
  </si>
  <si>
    <t>Reply to comment by O Cofaigh, Dowdeswell, King, Anderson, Clark, DJA Evans, J. Evans, Hindmarsh, Lardner and Stokes Comments on Shaw, J., Pugin, A., Young, R., (2009): A meltwater origin for Antarctic Shelf bedforms with special attention to megalineations. Geomorphology 102, 364-375</t>
  </si>
  <si>
    <t>SUBGLACIAL MELTWATER; EROSIONAL MARKS; FIELD; BEDROCK; ALBERTA; CANADA; FLOODS; BAY</t>
  </si>
  <si>
    <t>[Shaw, J.] Univ Alberta, Dept Comp Sci, Edmonton, AB T6G 2E1, Canada; [Young, R. R.] Univ British Columbia, Kelowna, BC V1V 1V7, Canada</t>
  </si>
  <si>
    <t>University of Alberta; University of British Columbia</t>
  </si>
  <si>
    <t>Shaw, J (corresponding author), Univ Alberta, Dept Comp Sci, Edmonton, AB T6G 2E1, Canada.</t>
  </si>
  <si>
    <t>john.shaw@ualberta.ca; robert.young@ubc.ca</t>
  </si>
  <si>
    <t>10.1016/j.geomorph.2009.12.008</t>
  </si>
  <si>
    <t>WOS:000276543200016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</si>
</sst>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74</v>
      </c>
      <c r="AA2" t="s">
        <v>85</v>
      </c>
      <c r="AB2" t="s">
        <v>86</v>
      </c>
      <c r="AC2" t="s">
        <v>87</v>
      </c>
      <c r="AD2" t="s">
        <v>88</v>
      </c>
      <c r="AE2" t="s">
        <v>89</v>
      </c>
      <c r="AF2" t="s">
        <v>74</v>
      </c>
      <c r="AG2">
        <v>40</v>
      </c>
      <c r="AH2">
        <v>20</v>
      </c>
      <c r="AI2">
        <v>27</v>
      </c>
      <c r="AJ2">
        <v>0</v>
      </c>
      <c r="AK2">
        <v>38</v>
      </c>
      <c r="AL2" t="s">
        <v>90</v>
      </c>
      <c r="AM2" t="s">
        <v>91</v>
      </c>
      <c r="AN2" t="s">
        <v>92</v>
      </c>
      <c r="AO2" t="s">
        <v>93</v>
      </c>
      <c r="AP2" t="s">
        <v>94</v>
      </c>
      <c r="AQ2" t="s">
        <v>74</v>
      </c>
      <c r="AR2" t="s">
        <v>95</v>
      </c>
      <c r="AS2" t="s">
        <v>96</v>
      </c>
      <c r="AT2" t="s">
        <v>97</v>
      </c>
      <c r="AU2">
        <v>2010</v>
      </c>
      <c r="AV2">
        <v>42</v>
      </c>
      <c r="AW2">
        <v>4</v>
      </c>
      <c r="AX2" t="s">
        <v>74</v>
      </c>
      <c r="AY2" t="s">
        <v>74</v>
      </c>
      <c r="AZ2" t="s">
        <v>74</v>
      </c>
      <c r="BA2" t="s">
        <v>74</v>
      </c>
      <c r="BB2">
        <v>406</v>
      </c>
      <c r="BC2">
        <v>411</v>
      </c>
      <c r="BD2" t="s">
        <v>74</v>
      </c>
      <c r="BE2" t="s">
        <v>98</v>
      </c>
      <c r="BF2" t="str">
        <f>HYPERLINK("http://dx.doi.org/10.1657/1938-4246-42.4.406","http://dx.doi.org/10.1657/1938-4246-42.4.406")</f>
        <v>http://dx.doi.org/10.1657/1938-4246-42.4.406</v>
      </c>
      <c r="BG2" t="s">
        <v>74</v>
      </c>
      <c r="BH2" t="s">
        <v>74</v>
      </c>
      <c r="BI2">
        <v>6</v>
      </c>
      <c r="BJ2" t="s">
        <v>99</v>
      </c>
      <c r="BK2" t="s">
        <v>100</v>
      </c>
      <c r="BL2" t="s">
        <v>101</v>
      </c>
      <c r="BM2" t="s">
        <v>102</v>
      </c>
      <c r="BN2" t="s">
        <v>74</v>
      </c>
      <c r="BO2" t="s">
        <v>103</v>
      </c>
      <c r="BP2" t="s">
        <v>74</v>
      </c>
      <c r="BQ2" t="s">
        <v>74</v>
      </c>
      <c r="BR2" t="s">
        <v>104</v>
      </c>
      <c r="BS2" t="s">
        <v>105</v>
      </c>
      <c r="BT2" t="str">
        <f>HYPERLINK("https%3A%2F%2Fwww.webofscience.com%2Fwos%2Fwoscc%2Ffull-record%2FWOS:000284986300004","View Full Record in Web of Science")</f>
        <v>View Full Record in Web of Science</v>
      </c>
    </row>
    <row r="3" spans="1:72" x14ac:dyDescent="0.15">
      <c r="A3" t="s">
        <v>72</v>
      </c>
      <c r="B3" t="s">
        <v>106</v>
      </c>
      <c r="C3" t="s">
        <v>74</v>
      </c>
      <c r="D3" t="s">
        <v>74</v>
      </c>
      <c r="E3" t="s">
        <v>74</v>
      </c>
      <c r="F3" t="s">
        <v>107</v>
      </c>
      <c r="G3" t="s">
        <v>74</v>
      </c>
      <c r="H3" t="s">
        <v>74</v>
      </c>
      <c r="I3" t="s">
        <v>108</v>
      </c>
      <c r="J3" t="s">
        <v>77</v>
      </c>
      <c r="K3" t="s">
        <v>74</v>
      </c>
      <c r="L3" t="s">
        <v>74</v>
      </c>
      <c r="M3" t="s">
        <v>78</v>
      </c>
      <c r="N3" t="s">
        <v>79</v>
      </c>
      <c r="O3" t="s">
        <v>74</v>
      </c>
      <c r="P3" t="s">
        <v>74</v>
      </c>
      <c r="Q3" t="s">
        <v>74</v>
      </c>
      <c r="R3" t="s">
        <v>74</v>
      </c>
      <c r="S3" t="s">
        <v>74</v>
      </c>
      <c r="T3" t="s">
        <v>74</v>
      </c>
      <c r="U3" t="s">
        <v>109</v>
      </c>
      <c r="V3" t="s">
        <v>110</v>
      </c>
      <c r="W3" t="s">
        <v>111</v>
      </c>
      <c r="X3" t="s">
        <v>112</v>
      </c>
      <c r="Y3" t="s">
        <v>113</v>
      </c>
      <c r="Z3" t="s">
        <v>74</v>
      </c>
      <c r="AA3" t="s">
        <v>114</v>
      </c>
      <c r="AB3" t="s">
        <v>115</v>
      </c>
      <c r="AC3" t="s">
        <v>116</v>
      </c>
      <c r="AD3" t="s">
        <v>117</v>
      </c>
      <c r="AE3" t="s">
        <v>118</v>
      </c>
      <c r="AF3" t="s">
        <v>74</v>
      </c>
      <c r="AG3">
        <v>39</v>
      </c>
      <c r="AH3">
        <v>28</v>
      </c>
      <c r="AI3">
        <v>28</v>
      </c>
      <c r="AJ3">
        <v>1</v>
      </c>
      <c r="AK3">
        <v>23</v>
      </c>
      <c r="AL3" t="s">
        <v>119</v>
      </c>
      <c r="AM3" t="s">
        <v>120</v>
      </c>
      <c r="AN3" t="s">
        <v>121</v>
      </c>
      <c r="AO3" t="s">
        <v>93</v>
      </c>
      <c r="AP3" t="s">
        <v>94</v>
      </c>
      <c r="AQ3" t="s">
        <v>74</v>
      </c>
      <c r="AR3" t="s">
        <v>95</v>
      </c>
      <c r="AS3" t="s">
        <v>96</v>
      </c>
      <c r="AT3" t="s">
        <v>97</v>
      </c>
      <c r="AU3">
        <v>2010</v>
      </c>
      <c r="AV3">
        <v>42</v>
      </c>
      <c r="AW3">
        <v>4</v>
      </c>
      <c r="AX3" t="s">
        <v>74</v>
      </c>
      <c r="AY3" t="s">
        <v>74</v>
      </c>
      <c r="AZ3" t="s">
        <v>74</v>
      </c>
      <c r="BA3" t="s">
        <v>74</v>
      </c>
      <c r="BB3">
        <v>412</v>
      </c>
      <c r="BC3">
        <v>421</v>
      </c>
      <c r="BD3" t="s">
        <v>74</v>
      </c>
      <c r="BE3" t="s">
        <v>122</v>
      </c>
      <c r="BF3" t="str">
        <f>HYPERLINK("http://dx.doi.org/10.1657/1938-4246-42.4.412","http://dx.doi.org/10.1657/1938-4246-42.4.412")</f>
        <v>http://dx.doi.org/10.1657/1938-4246-42.4.412</v>
      </c>
      <c r="BG3" t="s">
        <v>74</v>
      </c>
      <c r="BH3" t="s">
        <v>74</v>
      </c>
      <c r="BI3">
        <v>10</v>
      </c>
      <c r="BJ3" t="s">
        <v>99</v>
      </c>
      <c r="BK3" t="s">
        <v>100</v>
      </c>
      <c r="BL3" t="s">
        <v>101</v>
      </c>
      <c r="BM3" t="s">
        <v>102</v>
      </c>
      <c r="BN3" t="s">
        <v>74</v>
      </c>
      <c r="BO3" t="s">
        <v>123</v>
      </c>
      <c r="BP3" t="s">
        <v>74</v>
      </c>
      <c r="BQ3" t="s">
        <v>74</v>
      </c>
      <c r="BR3" t="s">
        <v>104</v>
      </c>
      <c r="BS3" t="s">
        <v>124</v>
      </c>
      <c r="BT3" t="str">
        <f>HYPERLINK("https%3A%2F%2Fwww.webofscience.com%2Fwos%2Fwoscc%2Ffull-record%2FWOS:000284986300005","View Full Record in Web of Science")</f>
        <v>View Full Record in Web of Science</v>
      </c>
    </row>
    <row r="4" spans="1:72" x14ac:dyDescent="0.15">
      <c r="A4" t="s">
        <v>72</v>
      </c>
      <c r="B4" t="s">
        <v>125</v>
      </c>
      <c r="C4" t="s">
        <v>74</v>
      </c>
      <c r="D4" t="s">
        <v>74</v>
      </c>
      <c r="E4" t="s">
        <v>74</v>
      </c>
      <c r="F4" t="s">
        <v>126</v>
      </c>
      <c r="G4" t="s">
        <v>74</v>
      </c>
      <c r="H4" t="s">
        <v>74</v>
      </c>
      <c r="I4" t="s">
        <v>127</v>
      </c>
      <c r="J4" t="s">
        <v>77</v>
      </c>
      <c r="K4" t="s">
        <v>74</v>
      </c>
      <c r="L4" t="s">
        <v>74</v>
      </c>
      <c r="M4" t="s">
        <v>78</v>
      </c>
      <c r="N4" t="s">
        <v>79</v>
      </c>
      <c r="O4" t="s">
        <v>74</v>
      </c>
      <c r="P4" t="s">
        <v>74</v>
      </c>
      <c r="Q4" t="s">
        <v>74</v>
      </c>
      <c r="R4" t="s">
        <v>74</v>
      </c>
      <c r="S4" t="s">
        <v>74</v>
      </c>
      <c r="T4" t="s">
        <v>74</v>
      </c>
      <c r="U4" t="s">
        <v>128</v>
      </c>
      <c r="V4" t="s">
        <v>129</v>
      </c>
      <c r="W4" t="s">
        <v>130</v>
      </c>
      <c r="X4" t="s">
        <v>131</v>
      </c>
      <c r="Y4" t="s">
        <v>132</v>
      </c>
      <c r="Z4" t="s">
        <v>74</v>
      </c>
      <c r="AA4" t="s">
        <v>74</v>
      </c>
      <c r="AB4" t="s">
        <v>74</v>
      </c>
      <c r="AC4" t="s">
        <v>74</v>
      </c>
      <c r="AD4" t="s">
        <v>74</v>
      </c>
      <c r="AE4" t="s">
        <v>74</v>
      </c>
      <c r="AF4" t="s">
        <v>74</v>
      </c>
      <c r="AG4">
        <v>25</v>
      </c>
      <c r="AH4">
        <v>49</v>
      </c>
      <c r="AI4">
        <v>55</v>
      </c>
      <c r="AJ4">
        <v>2</v>
      </c>
      <c r="AK4">
        <v>26</v>
      </c>
      <c r="AL4" t="s">
        <v>119</v>
      </c>
      <c r="AM4" t="s">
        <v>120</v>
      </c>
      <c r="AN4" t="s">
        <v>121</v>
      </c>
      <c r="AO4" t="s">
        <v>93</v>
      </c>
      <c r="AP4" t="s">
        <v>94</v>
      </c>
      <c r="AQ4" t="s">
        <v>74</v>
      </c>
      <c r="AR4" t="s">
        <v>95</v>
      </c>
      <c r="AS4" t="s">
        <v>96</v>
      </c>
      <c r="AT4" t="s">
        <v>97</v>
      </c>
      <c r="AU4">
        <v>2010</v>
      </c>
      <c r="AV4">
        <v>42</v>
      </c>
      <c r="AW4">
        <v>4</v>
      </c>
      <c r="AX4" t="s">
        <v>74</v>
      </c>
      <c r="AY4" t="s">
        <v>74</v>
      </c>
      <c r="AZ4" t="s">
        <v>74</v>
      </c>
      <c r="BA4" t="s">
        <v>74</v>
      </c>
      <c r="BB4">
        <v>422</v>
      </c>
      <c r="BC4">
        <v>429</v>
      </c>
      <c r="BD4" t="s">
        <v>74</v>
      </c>
      <c r="BE4" t="s">
        <v>133</v>
      </c>
      <c r="BF4" t="str">
        <f>HYPERLINK("http://dx.doi.org/10.1657/1938-4246-42.4.422","http://dx.doi.org/10.1657/1938-4246-42.4.422")</f>
        <v>http://dx.doi.org/10.1657/1938-4246-42.4.422</v>
      </c>
      <c r="BG4" t="s">
        <v>74</v>
      </c>
      <c r="BH4" t="s">
        <v>74</v>
      </c>
      <c r="BI4">
        <v>8</v>
      </c>
      <c r="BJ4" t="s">
        <v>99</v>
      </c>
      <c r="BK4" t="s">
        <v>100</v>
      </c>
      <c r="BL4" t="s">
        <v>101</v>
      </c>
      <c r="BM4" t="s">
        <v>102</v>
      </c>
      <c r="BN4" t="s">
        <v>74</v>
      </c>
      <c r="BO4" t="s">
        <v>134</v>
      </c>
      <c r="BP4" t="s">
        <v>74</v>
      </c>
      <c r="BQ4" t="s">
        <v>74</v>
      </c>
      <c r="BR4" t="s">
        <v>104</v>
      </c>
      <c r="BS4" t="s">
        <v>135</v>
      </c>
      <c r="BT4" t="str">
        <f>HYPERLINK("https%3A%2F%2Fwww.webofscience.com%2Fwos%2Fwoscc%2Ffull-record%2FWOS:000284986300006","View Full Record in Web of Science")</f>
        <v>View Full Record in Web of Science</v>
      </c>
    </row>
    <row r="5" spans="1:72" x14ac:dyDescent="0.15">
      <c r="A5" t="s">
        <v>72</v>
      </c>
      <c r="B5" t="s">
        <v>136</v>
      </c>
      <c r="C5" t="s">
        <v>74</v>
      </c>
      <c r="D5" t="s">
        <v>74</v>
      </c>
      <c r="E5" t="s">
        <v>74</v>
      </c>
      <c r="F5" t="s">
        <v>137</v>
      </c>
      <c r="G5" t="s">
        <v>74</v>
      </c>
      <c r="H5" t="s">
        <v>74</v>
      </c>
      <c r="I5" t="s">
        <v>138</v>
      </c>
      <c r="J5" t="s">
        <v>77</v>
      </c>
      <c r="K5" t="s">
        <v>74</v>
      </c>
      <c r="L5" t="s">
        <v>74</v>
      </c>
      <c r="M5" t="s">
        <v>78</v>
      </c>
      <c r="N5" t="s">
        <v>79</v>
      </c>
      <c r="O5" t="s">
        <v>74</v>
      </c>
      <c r="P5" t="s">
        <v>74</v>
      </c>
      <c r="Q5" t="s">
        <v>74</v>
      </c>
      <c r="R5" t="s">
        <v>74</v>
      </c>
      <c r="S5" t="s">
        <v>74</v>
      </c>
      <c r="T5" t="s">
        <v>74</v>
      </c>
      <c r="U5" t="s">
        <v>139</v>
      </c>
      <c r="V5" t="s">
        <v>140</v>
      </c>
      <c r="W5" t="s">
        <v>141</v>
      </c>
      <c r="X5" t="s">
        <v>142</v>
      </c>
      <c r="Y5" t="s">
        <v>143</v>
      </c>
      <c r="Z5" t="s">
        <v>74</v>
      </c>
      <c r="AA5" t="s">
        <v>74</v>
      </c>
      <c r="AB5" t="s">
        <v>74</v>
      </c>
      <c r="AC5" t="s">
        <v>144</v>
      </c>
      <c r="AD5" t="s">
        <v>145</v>
      </c>
      <c r="AE5" t="s">
        <v>146</v>
      </c>
      <c r="AF5" t="s">
        <v>74</v>
      </c>
      <c r="AG5">
        <v>56</v>
      </c>
      <c r="AH5">
        <v>8</v>
      </c>
      <c r="AI5">
        <v>10</v>
      </c>
      <c r="AJ5">
        <v>6</v>
      </c>
      <c r="AK5">
        <v>46</v>
      </c>
      <c r="AL5" t="s">
        <v>90</v>
      </c>
      <c r="AM5" t="s">
        <v>91</v>
      </c>
      <c r="AN5" t="s">
        <v>92</v>
      </c>
      <c r="AO5" t="s">
        <v>93</v>
      </c>
      <c r="AP5" t="s">
        <v>74</v>
      </c>
      <c r="AQ5" t="s">
        <v>74</v>
      </c>
      <c r="AR5" t="s">
        <v>95</v>
      </c>
      <c r="AS5" t="s">
        <v>96</v>
      </c>
      <c r="AT5" t="s">
        <v>97</v>
      </c>
      <c r="AU5">
        <v>2010</v>
      </c>
      <c r="AV5">
        <v>42</v>
      </c>
      <c r="AW5">
        <v>4</v>
      </c>
      <c r="AX5" t="s">
        <v>74</v>
      </c>
      <c r="AY5" t="s">
        <v>74</v>
      </c>
      <c r="AZ5" t="s">
        <v>74</v>
      </c>
      <c r="BA5" t="s">
        <v>74</v>
      </c>
      <c r="BB5">
        <v>430</v>
      </c>
      <c r="BC5">
        <v>437</v>
      </c>
      <c r="BD5" t="s">
        <v>74</v>
      </c>
      <c r="BE5" t="s">
        <v>147</v>
      </c>
      <c r="BF5" t="str">
        <f>HYPERLINK("http://dx.doi.org/10.1657/1938-4246-42.4.430","http://dx.doi.org/10.1657/1938-4246-42.4.430")</f>
        <v>http://dx.doi.org/10.1657/1938-4246-42.4.430</v>
      </c>
      <c r="BG5" t="s">
        <v>74</v>
      </c>
      <c r="BH5" t="s">
        <v>74</v>
      </c>
      <c r="BI5">
        <v>8</v>
      </c>
      <c r="BJ5" t="s">
        <v>99</v>
      </c>
      <c r="BK5" t="s">
        <v>100</v>
      </c>
      <c r="BL5" t="s">
        <v>101</v>
      </c>
      <c r="BM5" t="s">
        <v>102</v>
      </c>
      <c r="BN5" t="s">
        <v>74</v>
      </c>
      <c r="BO5" t="s">
        <v>123</v>
      </c>
      <c r="BP5" t="s">
        <v>74</v>
      </c>
      <c r="BQ5" t="s">
        <v>74</v>
      </c>
      <c r="BR5" t="s">
        <v>104</v>
      </c>
      <c r="BS5" t="s">
        <v>148</v>
      </c>
      <c r="BT5" t="str">
        <f>HYPERLINK("https%3A%2F%2Fwww.webofscience.com%2Fwos%2Fwoscc%2Ffull-record%2FWOS:000284986300007","View Full Record in Web of Science")</f>
        <v>View Full Record in Web of Science</v>
      </c>
    </row>
    <row r="6" spans="1:72" x14ac:dyDescent="0.15">
      <c r="A6" t="s">
        <v>72</v>
      </c>
      <c r="B6" t="s">
        <v>149</v>
      </c>
      <c r="C6" t="s">
        <v>74</v>
      </c>
      <c r="D6" t="s">
        <v>74</v>
      </c>
      <c r="E6" t="s">
        <v>74</v>
      </c>
      <c r="F6" t="s">
        <v>150</v>
      </c>
      <c r="G6" t="s">
        <v>74</v>
      </c>
      <c r="H6" t="s">
        <v>74</v>
      </c>
      <c r="I6" t="s">
        <v>151</v>
      </c>
      <c r="J6" t="s">
        <v>77</v>
      </c>
      <c r="K6" t="s">
        <v>74</v>
      </c>
      <c r="L6" t="s">
        <v>74</v>
      </c>
      <c r="M6" t="s">
        <v>78</v>
      </c>
      <c r="N6" t="s">
        <v>79</v>
      </c>
      <c r="O6" t="s">
        <v>74</v>
      </c>
      <c r="P6" t="s">
        <v>74</v>
      </c>
      <c r="Q6" t="s">
        <v>74</v>
      </c>
      <c r="R6" t="s">
        <v>74</v>
      </c>
      <c r="S6" t="s">
        <v>74</v>
      </c>
      <c r="T6" t="s">
        <v>74</v>
      </c>
      <c r="U6" t="s">
        <v>152</v>
      </c>
      <c r="V6" t="s">
        <v>153</v>
      </c>
      <c r="W6" t="s">
        <v>154</v>
      </c>
      <c r="X6" t="s">
        <v>155</v>
      </c>
      <c r="Y6" t="s">
        <v>156</v>
      </c>
      <c r="Z6" t="s">
        <v>74</v>
      </c>
      <c r="AA6" t="s">
        <v>157</v>
      </c>
      <c r="AB6" t="s">
        <v>158</v>
      </c>
      <c r="AC6" t="s">
        <v>159</v>
      </c>
      <c r="AD6" t="s">
        <v>160</v>
      </c>
      <c r="AE6" t="s">
        <v>161</v>
      </c>
      <c r="AF6" t="s">
        <v>74</v>
      </c>
      <c r="AG6">
        <v>45</v>
      </c>
      <c r="AH6">
        <v>23</v>
      </c>
      <c r="AI6">
        <v>24</v>
      </c>
      <c r="AJ6">
        <v>2</v>
      </c>
      <c r="AK6">
        <v>193</v>
      </c>
      <c r="AL6" t="s">
        <v>119</v>
      </c>
      <c r="AM6" t="s">
        <v>120</v>
      </c>
      <c r="AN6" t="s">
        <v>121</v>
      </c>
      <c r="AO6" t="s">
        <v>93</v>
      </c>
      <c r="AP6" t="s">
        <v>94</v>
      </c>
      <c r="AQ6" t="s">
        <v>74</v>
      </c>
      <c r="AR6" t="s">
        <v>95</v>
      </c>
      <c r="AS6" t="s">
        <v>96</v>
      </c>
      <c r="AT6" t="s">
        <v>97</v>
      </c>
      <c r="AU6">
        <v>2010</v>
      </c>
      <c r="AV6">
        <v>42</v>
      </c>
      <c r="AW6">
        <v>4</v>
      </c>
      <c r="AX6" t="s">
        <v>74</v>
      </c>
      <c r="AY6" t="s">
        <v>74</v>
      </c>
      <c r="AZ6" t="s">
        <v>74</v>
      </c>
      <c r="BA6" t="s">
        <v>74</v>
      </c>
      <c r="BB6">
        <v>438</v>
      </c>
      <c r="BC6">
        <v>448</v>
      </c>
      <c r="BD6" t="s">
        <v>74</v>
      </c>
      <c r="BE6" t="s">
        <v>162</v>
      </c>
      <c r="BF6" t="str">
        <f>HYPERLINK("http://dx.doi.org/10.1657/1938-4246-42.4.438","http://dx.doi.org/10.1657/1938-4246-42.4.438")</f>
        <v>http://dx.doi.org/10.1657/1938-4246-42.4.438</v>
      </c>
      <c r="BG6" t="s">
        <v>74</v>
      </c>
      <c r="BH6" t="s">
        <v>74</v>
      </c>
      <c r="BI6">
        <v>11</v>
      </c>
      <c r="BJ6" t="s">
        <v>99</v>
      </c>
      <c r="BK6" t="s">
        <v>100</v>
      </c>
      <c r="BL6" t="s">
        <v>101</v>
      </c>
      <c r="BM6" t="s">
        <v>102</v>
      </c>
      <c r="BN6" t="s">
        <v>74</v>
      </c>
      <c r="BO6" t="s">
        <v>103</v>
      </c>
      <c r="BP6" t="s">
        <v>74</v>
      </c>
      <c r="BQ6" t="s">
        <v>74</v>
      </c>
      <c r="BR6" t="s">
        <v>104</v>
      </c>
      <c r="BS6" t="s">
        <v>163</v>
      </c>
      <c r="BT6" t="str">
        <f>HYPERLINK("https%3A%2F%2Fwww.webofscience.com%2Fwos%2Fwoscc%2Ffull-record%2FWOS:000284986300008","View Full Record in Web of Science")</f>
        <v>View Full Record in Web of Science</v>
      </c>
    </row>
    <row r="7" spans="1:72" x14ac:dyDescent="0.15">
      <c r="A7" t="s">
        <v>72</v>
      </c>
      <c r="B7" t="s">
        <v>164</v>
      </c>
      <c r="C7" t="s">
        <v>74</v>
      </c>
      <c r="D7" t="s">
        <v>74</v>
      </c>
      <c r="E7" t="s">
        <v>74</v>
      </c>
      <c r="F7" t="s">
        <v>165</v>
      </c>
      <c r="G7" t="s">
        <v>74</v>
      </c>
      <c r="H7" t="s">
        <v>74</v>
      </c>
      <c r="I7" t="s">
        <v>166</v>
      </c>
      <c r="J7" t="s">
        <v>77</v>
      </c>
      <c r="K7" t="s">
        <v>74</v>
      </c>
      <c r="L7" t="s">
        <v>74</v>
      </c>
      <c r="M7" t="s">
        <v>78</v>
      </c>
      <c r="N7" t="s">
        <v>79</v>
      </c>
      <c r="O7" t="s">
        <v>74</v>
      </c>
      <c r="P7" t="s">
        <v>74</v>
      </c>
      <c r="Q7" t="s">
        <v>74</v>
      </c>
      <c r="R7" t="s">
        <v>74</v>
      </c>
      <c r="S7" t="s">
        <v>74</v>
      </c>
      <c r="T7" t="s">
        <v>74</v>
      </c>
      <c r="U7" t="s">
        <v>167</v>
      </c>
      <c r="V7" t="s">
        <v>168</v>
      </c>
      <c r="W7" t="s">
        <v>169</v>
      </c>
      <c r="X7" t="s">
        <v>170</v>
      </c>
      <c r="Y7" t="s">
        <v>171</v>
      </c>
      <c r="Z7" t="s">
        <v>74</v>
      </c>
      <c r="AA7" t="s">
        <v>172</v>
      </c>
      <c r="AB7" t="s">
        <v>173</v>
      </c>
      <c r="AC7" t="s">
        <v>174</v>
      </c>
      <c r="AD7" t="s">
        <v>175</v>
      </c>
      <c r="AE7" t="s">
        <v>176</v>
      </c>
      <c r="AF7" t="s">
        <v>74</v>
      </c>
      <c r="AG7">
        <v>47</v>
      </c>
      <c r="AH7">
        <v>172</v>
      </c>
      <c r="AI7">
        <v>198</v>
      </c>
      <c r="AJ7">
        <v>20</v>
      </c>
      <c r="AK7">
        <v>182</v>
      </c>
      <c r="AL7" t="s">
        <v>119</v>
      </c>
      <c r="AM7" t="s">
        <v>120</v>
      </c>
      <c r="AN7" t="s">
        <v>121</v>
      </c>
      <c r="AO7" t="s">
        <v>93</v>
      </c>
      <c r="AP7" t="s">
        <v>94</v>
      </c>
      <c r="AQ7" t="s">
        <v>74</v>
      </c>
      <c r="AR7" t="s">
        <v>95</v>
      </c>
      <c r="AS7" t="s">
        <v>96</v>
      </c>
      <c r="AT7" t="s">
        <v>97</v>
      </c>
      <c r="AU7">
        <v>2010</v>
      </c>
      <c r="AV7">
        <v>42</v>
      </c>
      <c r="AW7">
        <v>4</v>
      </c>
      <c r="AX7" t="s">
        <v>74</v>
      </c>
      <c r="AY7" t="s">
        <v>74</v>
      </c>
      <c r="AZ7" t="s">
        <v>74</v>
      </c>
      <c r="BA7" t="s">
        <v>74</v>
      </c>
      <c r="BB7">
        <v>449</v>
      </c>
      <c r="BC7">
        <v>457</v>
      </c>
      <c r="BD7" t="s">
        <v>74</v>
      </c>
      <c r="BE7" t="s">
        <v>177</v>
      </c>
      <c r="BF7" t="str">
        <f>HYPERLINK("http://dx.doi.org/10.1657/1938-4246-42.4.449","http://dx.doi.org/10.1657/1938-4246-42.4.449")</f>
        <v>http://dx.doi.org/10.1657/1938-4246-42.4.449</v>
      </c>
      <c r="BG7" t="s">
        <v>74</v>
      </c>
      <c r="BH7" t="s">
        <v>74</v>
      </c>
      <c r="BI7">
        <v>9</v>
      </c>
      <c r="BJ7" t="s">
        <v>99</v>
      </c>
      <c r="BK7" t="s">
        <v>100</v>
      </c>
      <c r="BL7" t="s">
        <v>101</v>
      </c>
      <c r="BM7" t="s">
        <v>102</v>
      </c>
      <c r="BN7" t="s">
        <v>74</v>
      </c>
      <c r="BO7" t="s">
        <v>134</v>
      </c>
      <c r="BP7" t="s">
        <v>74</v>
      </c>
      <c r="BQ7" t="s">
        <v>74</v>
      </c>
      <c r="BR7" t="s">
        <v>104</v>
      </c>
      <c r="BS7" t="s">
        <v>178</v>
      </c>
      <c r="BT7" t="str">
        <f>HYPERLINK("https%3A%2F%2Fwww.webofscience.com%2Fwos%2Fwoscc%2Ffull-record%2FWOS:000284986300009","View Full Record in Web of Science")</f>
        <v>View Full Record in Web of Science</v>
      </c>
    </row>
    <row r="8" spans="1:72" x14ac:dyDescent="0.15">
      <c r="A8" t="s">
        <v>72</v>
      </c>
      <c r="B8" t="s">
        <v>179</v>
      </c>
      <c r="C8" t="s">
        <v>74</v>
      </c>
      <c r="D8" t="s">
        <v>74</v>
      </c>
      <c r="E8" t="s">
        <v>74</v>
      </c>
      <c r="F8" t="s">
        <v>180</v>
      </c>
      <c r="G8" t="s">
        <v>74</v>
      </c>
      <c r="H8" t="s">
        <v>74</v>
      </c>
      <c r="I8" t="s">
        <v>181</v>
      </c>
      <c r="J8" t="s">
        <v>77</v>
      </c>
      <c r="K8" t="s">
        <v>74</v>
      </c>
      <c r="L8" t="s">
        <v>74</v>
      </c>
      <c r="M8" t="s">
        <v>78</v>
      </c>
      <c r="N8" t="s">
        <v>79</v>
      </c>
      <c r="O8" t="s">
        <v>74</v>
      </c>
      <c r="P8" t="s">
        <v>74</v>
      </c>
      <c r="Q8" t="s">
        <v>74</v>
      </c>
      <c r="R8" t="s">
        <v>74</v>
      </c>
      <c r="S8" t="s">
        <v>74</v>
      </c>
      <c r="T8" t="s">
        <v>74</v>
      </c>
      <c r="U8" t="s">
        <v>182</v>
      </c>
      <c r="V8" t="s">
        <v>183</v>
      </c>
      <c r="W8" t="s">
        <v>184</v>
      </c>
      <c r="X8" t="s">
        <v>185</v>
      </c>
      <c r="Y8" t="s">
        <v>186</v>
      </c>
      <c r="Z8" t="s">
        <v>74</v>
      </c>
      <c r="AA8" t="s">
        <v>74</v>
      </c>
      <c r="AB8" t="s">
        <v>187</v>
      </c>
      <c r="AC8" t="s">
        <v>74</v>
      </c>
      <c r="AD8" t="s">
        <v>74</v>
      </c>
      <c r="AE8" t="s">
        <v>74</v>
      </c>
      <c r="AF8" t="s">
        <v>74</v>
      </c>
      <c r="AG8">
        <v>47</v>
      </c>
      <c r="AH8">
        <v>38</v>
      </c>
      <c r="AI8">
        <v>48</v>
      </c>
      <c r="AJ8">
        <v>0</v>
      </c>
      <c r="AK8">
        <v>35</v>
      </c>
      <c r="AL8" t="s">
        <v>119</v>
      </c>
      <c r="AM8" t="s">
        <v>120</v>
      </c>
      <c r="AN8" t="s">
        <v>121</v>
      </c>
      <c r="AO8" t="s">
        <v>93</v>
      </c>
      <c r="AP8" t="s">
        <v>94</v>
      </c>
      <c r="AQ8" t="s">
        <v>74</v>
      </c>
      <c r="AR8" t="s">
        <v>95</v>
      </c>
      <c r="AS8" t="s">
        <v>96</v>
      </c>
      <c r="AT8" t="s">
        <v>97</v>
      </c>
      <c r="AU8">
        <v>2010</v>
      </c>
      <c r="AV8">
        <v>42</v>
      </c>
      <c r="AW8">
        <v>4</v>
      </c>
      <c r="AX8" t="s">
        <v>74</v>
      </c>
      <c r="AY8" t="s">
        <v>74</v>
      </c>
      <c r="AZ8" t="s">
        <v>74</v>
      </c>
      <c r="BA8" t="s">
        <v>74</v>
      </c>
      <c r="BB8">
        <v>458</v>
      </c>
      <c r="BC8">
        <v>470</v>
      </c>
      <c r="BD8" t="s">
        <v>74</v>
      </c>
      <c r="BE8" t="s">
        <v>188</v>
      </c>
      <c r="BF8" t="str">
        <f>HYPERLINK("http://dx.doi.org/10.1657/1938-4246-42.4.458","http://dx.doi.org/10.1657/1938-4246-42.4.458")</f>
        <v>http://dx.doi.org/10.1657/1938-4246-42.4.458</v>
      </c>
      <c r="BG8" t="s">
        <v>74</v>
      </c>
      <c r="BH8" t="s">
        <v>74</v>
      </c>
      <c r="BI8">
        <v>13</v>
      </c>
      <c r="BJ8" t="s">
        <v>99</v>
      </c>
      <c r="BK8" t="s">
        <v>100</v>
      </c>
      <c r="BL8" t="s">
        <v>101</v>
      </c>
      <c r="BM8" t="s">
        <v>102</v>
      </c>
      <c r="BN8" t="s">
        <v>74</v>
      </c>
      <c r="BO8" t="s">
        <v>103</v>
      </c>
      <c r="BP8" t="s">
        <v>74</v>
      </c>
      <c r="BQ8" t="s">
        <v>74</v>
      </c>
      <c r="BR8" t="s">
        <v>104</v>
      </c>
      <c r="BS8" t="s">
        <v>189</v>
      </c>
      <c r="BT8" t="str">
        <f>HYPERLINK("https%3A%2F%2Fwww.webofscience.com%2Fwos%2Fwoscc%2Ffull-record%2FWOS:000284986300010","View Full Record in Web of Science")</f>
        <v>View Full Record in Web of Science</v>
      </c>
    </row>
    <row r="9" spans="1:72" x14ac:dyDescent="0.15">
      <c r="A9" t="s">
        <v>72</v>
      </c>
      <c r="B9" t="s">
        <v>190</v>
      </c>
      <c r="C9" t="s">
        <v>74</v>
      </c>
      <c r="D9" t="s">
        <v>74</v>
      </c>
      <c r="E9" t="s">
        <v>74</v>
      </c>
      <c r="F9" t="s">
        <v>191</v>
      </c>
      <c r="G9" t="s">
        <v>74</v>
      </c>
      <c r="H9" t="s">
        <v>74</v>
      </c>
      <c r="I9" t="s">
        <v>192</v>
      </c>
      <c r="J9" t="s">
        <v>77</v>
      </c>
      <c r="K9" t="s">
        <v>74</v>
      </c>
      <c r="L9" t="s">
        <v>74</v>
      </c>
      <c r="M9" t="s">
        <v>78</v>
      </c>
      <c r="N9" t="s">
        <v>79</v>
      </c>
      <c r="O9" t="s">
        <v>74</v>
      </c>
      <c r="P9" t="s">
        <v>74</v>
      </c>
      <c r="Q9" t="s">
        <v>74</v>
      </c>
      <c r="R9" t="s">
        <v>74</v>
      </c>
      <c r="S9" t="s">
        <v>74</v>
      </c>
      <c r="T9" t="s">
        <v>74</v>
      </c>
      <c r="U9" t="s">
        <v>193</v>
      </c>
      <c r="V9" t="s">
        <v>194</v>
      </c>
      <c r="W9" t="s">
        <v>195</v>
      </c>
      <c r="X9" t="s">
        <v>196</v>
      </c>
      <c r="Y9" t="s">
        <v>197</v>
      </c>
      <c r="Z9" t="s">
        <v>74</v>
      </c>
      <c r="AA9" t="s">
        <v>198</v>
      </c>
      <c r="AB9" t="s">
        <v>199</v>
      </c>
      <c r="AC9" t="s">
        <v>200</v>
      </c>
      <c r="AD9" t="s">
        <v>201</v>
      </c>
      <c r="AE9" t="s">
        <v>202</v>
      </c>
      <c r="AF9" t="s">
        <v>74</v>
      </c>
      <c r="AG9">
        <v>32</v>
      </c>
      <c r="AH9">
        <v>51</v>
      </c>
      <c r="AI9">
        <v>65</v>
      </c>
      <c r="AJ9">
        <v>2</v>
      </c>
      <c r="AK9">
        <v>46</v>
      </c>
      <c r="AL9" t="s">
        <v>119</v>
      </c>
      <c r="AM9" t="s">
        <v>120</v>
      </c>
      <c r="AN9" t="s">
        <v>121</v>
      </c>
      <c r="AO9" t="s">
        <v>93</v>
      </c>
      <c r="AP9" t="s">
        <v>94</v>
      </c>
      <c r="AQ9" t="s">
        <v>74</v>
      </c>
      <c r="AR9" t="s">
        <v>95</v>
      </c>
      <c r="AS9" t="s">
        <v>96</v>
      </c>
      <c r="AT9" t="s">
        <v>97</v>
      </c>
      <c r="AU9">
        <v>2010</v>
      </c>
      <c r="AV9">
        <v>42</v>
      </c>
      <c r="AW9">
        <v>4</v>
      </c>
      <c r="AX9" t="s">
        <v>74</v>
      </c>
      <c r="AY9" t="s">
        <v>74</v>
      </c>
      <c r="AZ9" t="s">
        <v>74</v>
      </c>
      <c r="BA9" t="s">
        <v>74</v>
      </c>
      <c r="BB9">
        <v>471</v>
      </c>
      <c r="BC9">
        <v>475</v>
      </c>
      <c r="BD9" t="s">
        <v>74</v>
      </c>
      <c r="BE9" t="s">
        <v>203</v>
      </c>
      <c r="BF9" t="str">
        <f>HYPERLINK("http://dx.doi.org/10.1657/1938-4246-42.4.471","http://dx.doi.org/10.1657/1938-4246-42.4.471")</f>
        <v>http://dx.doi.org/10.1657/1938-4246-42.4.471</v>
      </c>
      <c r="BG9" t="s">
        <v>74</v>
      </c>
      <c r="BH9" t="s">
        <v>74</v>
      </c>
      <c r="BI9">
        <v>5</v>
      </c>
      <c r="BJ9" t="s">
        <v>99</v>
      </c>
      <c r="BK9" t="s">
        <v>100</v>
      </c>
      <c r="BL9" t="s">
        <v>101</v>
      </c>
      <c r="BM9" t="s">
        <v>102</v>
      </c>
      <c r="BN9" t="s">
        <v>74</v>
      </c>
      <c r="BO9" t="s">
        <v>123</v>
      </c>
      <c r="BP9" t="s">
        <v>74</v>
      </c>
      <c r="BQ9" t="s">
        <v>74</v>
      </c>
      <c r="BR9" t="s">
        <v>104</v>
      </c>
      <c r="BS9" t="s">
        <v>204</v>
      </c>
      <c r="BT9" t="str">
        <f>HYPERLINK("https%3A%2F%2Fwww.webofscience.com%2Fwos%2Fwoscc%2Ffull-record%2FWOS:000284986300011","View Full Record in Web of Science")</f>
        <v>View Full Record in Web of Science</v>
      </c>
    </row>
    <row r="10" spans="1:72" x14ac:dyDescent="0.15">
      <c r="A10" t="s">
        <v>72</v>
      </c>
      <c r="B10" t="s">
        <v>205</v>
      </c>
      <c r="C10" t="s">
        <v>74</v>
      </c>
      <c r="D10" t="s">
        <v>74</v>
      </c>
      <c r="E10" t="s">
        <v>74</v>
      </c>
      <c r="F10" t="s">
        <v>206</v>
      </c>
      <c r="G10" t="s">
        <v>74</v>
      </c>
      <c r="H10" t="s">
        <v>74</v>
      </c>
      <c r="I10" t="s">
        <v>207</v>
      </c>
      <c r="J10" t="s">
        <v>77</v>
      </c>
      <c r="K10" t="s">
        <v>74</v>
      </c>
      <c r="L10" t="s">
        <v>74</v>
      </c>
      <c r="M10" t="s">
        <v>78</v>
      </c>
      <c r="N10" t="s">
        <v>79</v>
      </c>
      <c r="O10" t="s">
        <v>74</v>
      </c>
      <c r="P10" t="s">
        <v>74</v>
      </c>
      <c r="Q10" t="s">
        <v>74</v>
      </c>
      <c r="R10" t="s">
        <v>74</v>
      </c>
      <c r="S10" t="s">
        <v>74</v>
      </c>
      <c r="T10" t="s">
        <v>74</v>
      </c>
      <c r="U10" t="s">
        <v>208</v>
      </c>
      <c r="V10" t="s">
        <v>209</v>
      </c>
      <c r="W10" t="s">
        <v>210</v>
      </c>
      <c r="X10" t="s">
        <v>211</v>
      </c>
      <c r="Y10" t="s">
        <v>212</v>
      </c>
      <c r="Z10" t="s">
        <v>74</v>
      </c>
      <c r="AA10" t="s">
        <v>74</v>
      </c>
      <c r="AB10" t="s">
        <v>74</v>
      </c>
      <c r="AC10" t="s">
        <v>213</v>
      </c>
      <c r="AD10" t="s">
        <v>213</v>
      </c>
      <c r="AE10" t="s">
        <v>214</v>
      </c>
      <c r="AF10" t="s">
        <v>74</v>
      </c>
      <c r="AG10">
        <v>94</v>
      </c>
      <c r="AH10">
        <v>33</v>
      </c>
      <c r="AI10">
        <v>45</v>
      </c>
      <c r="AJ10">
        <v>1</v>
      </c>
      <c r="AK10">
        <v>53</v>
      </c>
      <c r="AL10" t="s">
        <v>119</v>
      </c>
      <c r="AM10" t="s">
        <v>120</v>
      </c>
      <c r="AN10" t="s">
        <v>121</v>
      </c>
      <c r="AO10" t="s">
        <v>93</v>
      </c>
      <c r="AP10" t="s">
        <v>94</v>
      </c>
      <c r="AQ10" t="s">
        <v>74</v>
      </c>
      <c r="AR10" t="s">
        <v>95</v>
      </c>
      <c r="AS10" t="s">
        <v>96</v>
      </c>
      <c r="AT10" t="s">
        <v>97</v>
      </c>
      <c r="AU10">
        <v>2010</v>
      </c>
      <c r="AV10">
        <v>42</v>
      </c>
      <c r="AW10">
        <v>4</v>
      </c>
      <c r="AX10" t="s">
        <v>74</v>
      </c>
      <c r="AY10" t="s">
        <v>74</v>
      </c>
      <c r="AZ10" t="s">
        <v>74</v>
      </c>
      <c r="BA10" t="s">
        <v>74</v>
      </c>
      <c r="BB10">
        <v>476</v>
      </c>
      <c r="BC10">
        <v>489</v>
      </c>
      <c r="BD10" t="s">
        <v>74</v>
      </c>
      <c r="BE10" t="s">
        <v>215</v>
      </c>
      <c r="BF10" t="str">
        <f>HYPERLINK("http://dx.doi.org/10.1657/1938-4246-42.4.476","http://dx.doi.org/10.1657/1938-4246-42.4.476")</f>
        <v>http://dx.doi.org/10.1657/1938-4246-42.4.476</v>
      </c>
      <c r="BG10" t="s">
        <v>74</v>
      </c>
      <c r="BH10" t="s">
        <v>74</v>
      </c>
      <c r="BI10">
        <v>14</v>
      </c>
      <c r="BJ10" t="s">
        <v>99</v>
      </c>
      <c r="BK10" t="s">
        <v>100</v>
      </c>
      <c r="BL10" t="s">
        <v>101</v>
      </c>
      <c r="BM10" t="s">
        <v>102</v>
      </c>
      <c r="BN10" t="s">
        <v>74</v>
      </c>
      <c r="BO10" t="s">
        <v>134</v>
      </c>
      <c r="BP10" t="s">
        <v>74</v>
      </c>
      <c r="BQ10" t="s">
        <v>74</v>
      </c>
      <c r="BR10" t="s">
        <v>104</v>
      </c>
      <c r="BS10" t="s">
        <v>216</v>
      </c>
      <c r="BT10" t="str">
        <f>HYPERLINK("https%3A%2F%2Fwww.webofscience.com%2Fwos%2Fwoscc%2Ffull-record%2FWOS:000284986300012","View Full Record in Web of Science")</f>
        <v>View Full Record in Web of Science</v>
      </c>
    </row>
    <row r="11" spans="1:72" x14ac:dyDescent="0.15">
      <c r="A11" t="s">
        <v>72</v>
      </c>
      <c r="B11" t="s">
        <v>217</v>
      </c>
      <c r="C11" t="s">
        <v>74</v>
      </c>
      <c r="D11" t="s">
        <v>74</v>
      </c>
      <c r="E11" t="s">
        <v>74</v>
      </c>
      <c r="F11" t="s">
        <v>218</v>
      </c>
      <c r="G11" t="s">
        <v>74</v>
      </c>
      <c r="H11" t="s">
        <v>74</v>
      </c>
      <c r="I11" t="s">
        <v>219</v>
      </c>
      <c r="J11" t="s">
        <v>77</v>
      </c>
      <c r="K11" t="s">
        <v>74</v>
      </c>
      <c r="L11" t="s">
        <v>74</v>
      </c>
      <c r="M11" t="s">
        <v>78</v>
      </c>
      <c r="N11" t="s">
        <v>220</v>
      </c>
      <c r="O11" t="s">
        <v>74</v>
      </c>
      <c r="P11" t="s">
        <v>74</v>
      </c>
      <c r="Q11" t="s">
        <v>74</v>
      </c>
      <c r="R11" t="s">
        <v>74</v>
      </c>
      <c r="S11" t="s">
        <v>74</v>
      </c>
      <c r="T11" t="s">
        <v>74</v>
      </c>
      <c r="U11" t="s">
        <v>221</v>
      </c>
      <c r="V11" t="s">
        <v>74</v>
      </c>
      <c r="W11" t="s">
        <v>222</v>
      </c>
      <c r="X11" t="s">
        <v>74</v>
      </c>
      <c r="Y11" t="s">
        <v>223</v>
      </c>
      <c r="Z11" t="s">
        <v>74</v>
      </c>
      <c r="AA11" t="s">
        <v>74</v>
      </c>
      <c r="AB11" t="s">
        <v>74</v>
      </c>
      <c r="AC11" t="s">
        <v>74</v>
      </c>
      <c r="AD11" t="s">
        <v>74</v>
      </c>
      <c r="AE11" t="s">
        <v>74</v>
      </c>
      <c r="AF11" t="s">
        <v>74</v>
      </c>
      <c r="AG11">
        <v>19</v>
      </c>
      <c r="AH11">
        <v>3</v>
      </c>
      <c r="AI11">
        <v>4</v>
      </c>
      <c r="AJ11">
        <v>1</v>
      </c>
      <c r="AK11">
        <v>25</v>
      </c>
      <c r="AL11" t="s">
        <v>90</v>
      </c>
      <c r="AM11" t="s">
        <v>91</v>
      </c>
      <c r="AN11" t="s">
        <v>92</v>
      </c>
      <c r="AO11" t="s">
        <v>93</v>
      </c>
      <c r="AP11" t="s">
        <v>94</v>
      </c>
      <c r="AQ11" t="s">
        <v>74</v>
      </c>
      <c r="AR11" t="s">
        <v>95</v>
      </c>
      <c r="AS11" t="s">
        <v>96</v>
      </c>
      <c r="AT11" t="s">
        <v>97</v>
      </c>
      <c r="AU11">
        <v>2010</v>
      </c>
      <c r="AV11">
        <v>42</v>
      </c>
      <c r="AW11">
        <v>4</v>
      </c>
      <c r="AX11" t="s">
        <v>74</v>
      </c>
      <c r="AY11" t="s">
        <v>74</v>
      </c>
      <c r="AZ11" t="s">
        <v>74</v>
      </c>
      <c r="BA11" t="s">
        <v>74</v>
      </c>
      <c r="BB11">
        <v>490</v>
      </c>
      <c r="BC11">
        <v>492</v>
      </c>
      <c r="BD11" t="s">
        <v>74</v>
      </c>
      <c r="BE11" t="s">
        <v>224</v>
      </c>
      <c r="BF11" t="str">
        <f>HYPERLINK("http://dx.doi.org/10.1657/1938-4246-42.4.490","http://dx.doi.org/10.1657/1938-4246-42.4.490")</f>
        <v>http://dx.doi.org/10.1657/1938-4246-42.4.490</v>
      </c>
      <c r="BG11" t="s">
        <v>74</v>
      </c>
      <c r="BH11" t="s">
        <v>74</v>
      </c>
      <c r="BI11">
        <v>3</v>
      </c>
      <c r="BJ11" t="s">
        <v>99</v>
      </c>
      <c r="BK11" t="s">
        <v>100</v>
      </c>
      <c r="BL11" t="s">
        <v>101</v>
      </c>
      <c r="BM11" t="s">
        <v>102</v>
      </c>
      <c r="BN11" t="s">
        <v>74</v>
      </c>
      <c r="BO11" t="s">
        <v>123</v>
      </c>
      <c r="BP11" t="s">
        <v>74</v>
      </c>
      <c r="BQ11" t="s">
        <v>74</v>
      </c>
      <c r="BR11" t="s">
        <v>104</v>
      </c>
      <c r="BS11" t="s">
        <v>225</v>
      </c>
      <c r="BT11" t="str">
        <f>HYPERLINK("https%3A%2F%2Fwww.webofscience.com%2Fwos%2Fwoscc%2Ffull-record%2FWOS:000284986300013","View Full Record in Web of Science")</f>
        <v>View Full Record in Web of Science</v>
      </c>
    </row>
    <row r="12" spans="1:72" x14ac:dyDescent="0.15">
      <c r="A12" t="s">
        <v>72</v>
      </c>
      <c r="B12" t="s">
        <v>226</v>
      </c>
      <c r="C12" t="s">
        <v>74</v>
      </c>
      <c r="D12" t="s">
        <v>74</v>
      </c>
      <c r="E12" t="s">
        <v>74</v>
      </c>
      <c r="F12" t="s">
        <v>227</v>
      </c>
      <c r="G12" t="s">
        <v>74</v>
      </c>
      <c r="H12" t="s">
        <v>74</v>
      </c>
      <c r="I12" t="s">
        <v>228</v>
      </c>
      <c r="J12" t="s">
        <v>77</v>
      </c>
      <c r="K12" t="s">
        <v>74</v>
      </c>
      <c r="L12" t="s">
        <v>74</v>
      </c>
      <c r="M12" t="s">
        <v>78</v>
      </c>
      <c r="N12" t="s">
        <v>220</v>
      </c>
      <c r="O12" t="s">
        <v>74</v>
      </c>
      <c r="P12" t="s">
        <v>74</v>
      </c>
      <c r="Q12" t="s">
        <v>74</v>
      </c>
      <c r="R12" t="s">
        <v>74</v>
      </c>
      <c r="S12" t="s">
        <v>74</v>
      </c>
      <c r="T12" t="s">
        <v>74</v>
      </c>
      <c r="U12" t="s">
        <v>229</v>
      </c>
      <c r="V12" t="s">
        <v>74</v>
      </c>
      <c r="W12" t="s">
        <v>230</v>
      </c>
      <c r="X12" t="s">
        <v>231</v>
      </c>
      <c r="Y12" t="s">
        <v>232</v>
      </c>
      <c r="Z12" t="s">
        <v>74</v>
      </c>
      <c r="AA12" t="s">
        <v>74</v>
      </c>
      <c r="AB12" t="s">
        <v>233</v>
      </c>
      <c r="AC12" t="s">
        <v>74</v>
      </c>
      <c r="AD12" t="s">
        <v>74</v>
      </c>
      <c r="AE12" t="s">
        <v>74</v>
      </c>
      <c r="AF12" t="s">
        <v>74</v>
      </c>
      <c r="AG12">
        <v>36</v>
      </c>
      <c r="AH12">
        <v>5</v>
      </c>
      <c r="AI12">
        <v>6</v>
      </c>
      <c r="AJ12">
        <v>0</v>
      </c>
      <c r="AK12">
        <v>20</v>
      </c>
      <c r="AL12" t="s">
        <v>119</v>
      </c>
      <c r="AM12" t="s">
        <v>120</v>
      </c>
      <c r="AN12" t="s">
        <v>121</v>
      </c>
      <c r="AO12" t="s">
        <v>93</v>
      </c>
      <c r="AP12" t="s">
        <v>94</v>
      </c>
      <c r="AQ12" t="s">
        <v>74</v>
      </c>
      <c r="AR12" t="s">
        <v>95</v>
      </c>
      <c r="AS12" t="s">
        <v>96</v>
      </c>
      <c r="AT12" t="s">
        <v>97</v>
      </c>
      <c r="AU12">
        <v>2010</v>
      </c>
      <c r="AV12">
        <v>42</v>
      </c>
      <c r="AW12">
        <v>4</v>
      </c>
      <c r="AX12" t="s">
        <v>74</v>
      </c>
      <c r="AY12" t="s">
        <v>74</v>
      </c>
      <c r="AZ12" t="s">
        <v>74</v>
      </c>
      <c r="BA12" t="s">
        <v>74</v>
      </c>
      <c r="BB12">
        <v>493</v>
      </c>
      <c r="BC12">
        <v>496</v>
      </c>
      <c r="BD12" t="s">
        <v>74</v>
      </c>
      <c r="BE12" t="s">
        <v>234</v>
      </c>
      <c r="BF12" t="str">
        <f>HYPERLINK("http://dx.doi.org/10.1657/1938-4246-42.4.493","http://dx.doi.org/10.1657/1938-4246-42.4.493")</f>
        <v>http://dx.doi.org/10.1657/1938-4246-42.4.493</v>
      </c>
      <c r="BG12" t="s">
        <v>74</v>
      </c>
      <c r="BH12" t="s">
        <v>74</v>
      </c>
      <c r="BI12">
        <v>4</v>
      </c>
      <c r="BJ12" t="s">
        <v>99</v>
      </c>
      <c r="BK12" t="s">
        <v>100</v>
      </c>
      <c r="BL12" t="s">
        <v>101</v>
      </c>
      <c r="BM12" t="s">
        <v>102</v>
      </c>
      <c r="BN12" t="s">
        <v>74</v>
      </c>
      <c r="BO12" t="s">
        <v>74</v>
      </c>
      <c r="BP12" t="s">
        <v>74</v>
      </c>
      <c r="BQ12" t="s">
        <v>74</v>
      </c>
      <c r="BR12" t="s">
        <v>104</v>
      </c>
      <c r="BS12" t="s">
        <v>235</v>
      </c>
      <c r="BT12" t="str">
        <f>HYPERLINK("https%3A%2F%2Fwww.webofscience.com%2Fwos%2Fwoscc%2Ffull-record%2FWOS:000284986300014","View Full Record in Web of Science")</f>
        <v>View Full Record in Web of Science</v>
      </c>
    </row>
    <row r="13" spans="1:72" x14ac:dyDescent="0.15">
      <c r="A13" t="s">
        <v>72</v>
      </c>
      <c r="B13" t="s">
        <v>236</v>
      </c>
      <c r="C13" t="s">
        <v>74</v>
      </c>
      <c r="D13" t="s">
        <v>74</v>
      </c>
      <c r="E13" t="s">
        <v>74</v>
      </c>
      <c r="F13" t="s">
        <v>237</v>
      </c>
      <c r="G13" t="s">
        <v>74</v>
      </c>
      <c r="H13" t="s">
        <v>74</v>
      </c>
      <c r="I13" t="s">
        <v>238</v>
      </c>
      <c r="J13" t="s">
        <v>77</v>
      </c>
      <c r="K13" t="s">
        <v>74</v>
      </c>
      <c r="L13" t="s">
        <v>74</v>
      </c>
      <c r="M13" t="s">
        <v>78</v>
      </c>
      <c r="N13" t="s">
        <v>239</v>
      </c>
      <c r="O13" t="s">
        <v>74</v>
      </c>
      <c r="P13" t="s">
        <v>74</v>
      </c>
      <c r="Q13" t="s">
        <v>74</v>
      </c>
      <c r="R13" t="s">
        <v>74</v>
      </c>
      <c r="S13" t="s">
        <v>74</v>
      </c>
      <c r="T13" t="s">
        <v>74</v>
      </c>
      <c r="U13" t="s">
        <v>74</v>
      </c>
      <c r="V13" t="s">
        <v>74</v>
      </c>
      <c r="W13" t="s">
        <v>74</v>
      </c>
      <c r="X13" t="s">
        <v>74</v>
      </c>
      <c r="Y13" t="s">
        <v>74</v>
      </c>
      <c r="Z13" t="s">
        <v>74</v>
      </c>
      <c r="AA13" t="s">
        <v>240</v>
      </c>
      <c r="AB13" t="s">
        <v>74</v>
      </c>
      <c r="AC13" t="s">
        <v>74</v>
      </c>
      <c r="AD13" t="s">
        <v>74</v>
      </c>
      <c r="AE13" t="s">
        <v>74</v>
      </c>
      <c r="AF13" t="s">
        <v>74</v>
      </c>
      <c r="AG13">
        <v>1</v>
      </c>
      <c r="AH13">
        <v>1</v>
      </c>
      <c r="AI13">
        <v>1</v>
      </c>
      <c r="AJ13">
        <v>0</v>
      </c>
      <c r="AK13">
        <v>7</v>
      </c>
      <c r="AL13" t="s">
        <v>90</v>
      </c>
      <c r="AM13" t="s">
        <v>91</v>
      </c>
      <c r="AN13" t="s">
        <v>92</v>
      </c>
      <c r="AO13" t="s">
        <v>93</v>
      </c>
      <c r="AP13" t="s">
        <v>74</v>
      </c>
      <c r="AQ13" t="s">
        <v>74</v>
      </c>
      <c r="AR13" t="s">
        <v>95</v>
      </c>
      <c r="AS13" t="s">
        <v>96</v>
      </c>
      <c r="AT13" t="s">
        <v>97</v>
      </c>
      <c r="AU13">
        <v>2010</v>
      </c>
      <c r="AV13">
        <v>42</v>
      </c>
      <c r="AW13">
        <v>4</v>
      </c>
      <c r="AX13" t="s">
        <v>74</v>
      </c>
      <c r="AY13" t="s">
        <v>74</v>
      </c>
      <c r="AZ13" t="s">
        <v>74</v>
      </c>
      <c r="BA13" t="s">
        <v>74</v>
      </c>
      <c r="BB13">
        <v>497</v>
      </c>
      <c r="BC13">
        <v>497</v>
      </c>
      <c r="BD13" t="s">
        <v>74</v>
      </c>
      <c r="BE13" t="s">
        <v>241</v>
      </c>
      <c r="BF13" t="str">
        <f>HYPERLINK("http://dx.doi.org/10.1657/1938-4246-42.4.497b","http://dx.doi.org/10.1657/1938-4246-42.4.497b")</f>
        <v>http://dx.doi.org/10.1657/1938-4246-42.4.497b</v>
      </c>
      <c r="BG13" t="s">
        <v>74</v>
      </c>
      <c r="BH13" t="s">
        <v>74</v>
      </c>
      <c r="BI13">
        <v>1</v>
      </c>
      <c r="BJ13" t="s">
        <v>99</v>
      </c>
      <c r="BK13" t="s">
        <v>100</v>
      </c>
      <c r="BL13" t="s">
        <v>101</v>
      </c>
      <c r="BM13" t="s">
        <v>102</v>
      </c>
      <c r="BN13" t="s">
        <v>74</v>
      </c>
      <c r="BO13" t="s">
        <v>103</v>
      </c>
      <c r="BP13" t="s">
        <v>74</v>
      </c>
      <c r="BQ13" t="s">
        <v>74</v>
      </c>
      <c r="BR13" t="s">
        <v>104</v>
      </c>
      <c r="BS13" t="s">
        <v>242</v>
      </c>
      <c r="BT13" t="str">
        <f>HYPERLINK("https%3A%2F%2Fwww.webofscience.com%2Fwos%2Fwoscc%2Ffull-record%2FWOS:000284986300016","View Full Record in Web of Science")</f>
        <v>View Full Record in Web of Science</v>
      </c>
    </row>
    <row r="14" spans="1:72" x14ac:dyDescent="0.15">
      <c r="A14" t="s">
        <v>72</v>
      </c>
      <c r="B14" t="s">
        <v>243</v>
      </c>
      <c r="C14" t="s">
        <v>74</v>
      </c>
      <c r="D14" t="s">
        <v>74</v>
      </c>
      <c r="E14" t="s">
        <v>74</v>
      </c>
      <c r="F14" t="s">
        <v>244</v>
      </c>
      <c r="G14" t="s">
        <v>74</v>
      </c>
      <c r="H14" t="s">
        <v>74</v>
      </c>
      <c r="I14" t="s">
        <v>245</v>
      </c>
      <c r="J14" t="s">
        <v>77</v>
      </c>
      <c r="K14" t="s">
        <v>74</v>
      </c>
      <c r="L14" t="s">
        <v>74</v>
      </c>
      <c r="M14" t="s">
        <v>78</v>
      </c>
      <c r="N14" t="s">
        <v>239</v>
      </c>
      <c r="O14" t="s">
        <v>74</v>
      </c>
      <c r="P14" t="s">
        <v>74</v>
      </c>
      <c r="Q14" t="s">
        <v>74</v>
      </c>
      <c r="R14" t="s">
        <v>74</v>
      </c>
      <c r="S14" t="s">
        <v>74</v>
      </c>
      <c r="T14" t="s">
        <v>74</v>
      </c>
      <c r="U14" t="s">
        <v>74</v>
      </c>
      <c r="V14" t="s">
        <v>74</v>
      </c>
      <c r="W14" t="s">
        <v>74</v>
      </c>
      <c r="X14" t="s">
        <v>74</v>
      </c>
      <c r="Y14" t="s">
        <v>74</v>
      </c>
      <c r="Z14" t="s">
        <v>74</v>
      </c>
      <c r="AA14" t="s">
        <v>74</v>
      </c>
      <c r="AB14" t="s">
        <v>74</v>
      </c>
      <c r="AC14" t="s">
        <v>74</v>
      </c>
      <c r="AD14" t="s">
        <v>74</v>
      </c>
      <c r="AE14" t="s">
        <v>74</v>
      </c>
      <c r="AF14" t="s">
        <v>74</v>
      </c>
      <c r="AG14">
        <v>1</v>
      </c>
      <c r="AH14">
        <v>1</v>
      </c>
      <c r="AI14">
        <v>1</v>
      </c>
      <c r="AJ14">
        <v>0</v>
      </c>
      <c r="AK14">
        <v>1</v>
      </c>
      <c r="AL14" t="s">
        <v>119</v>
      </c>
      <c r="AM14" t="s">
        <v>120</v>
      </c>
      <c r="AN14" t="s">
        <v>121</v>
      </c>
      <c r="AO14" t="s">
        <v>93</v>
      </c>
      <c r="AP14" t="s">
        <v>94</v>
      </c>
      <c r="AQ14" t="s">
        <v>74</v>
      </c>
      <c r="AR14" t="s">
        <v>95</v>
      </c>
      <c r="AS14" t="s">
        <v>96</v>
      </c>
      <c r="AT14" t="s">
        <v>97</v>
      </c>
      <c r="AU14">
        <v>2010</v>
      </c>
      <c r="AV14">
        <v>42</v>
      </c>
      <c r="AW14">
        <v>4</v>
      </c>
      <c r="AX14" t="s">
        <v>74</v>
      </c>
      <c r="AY14" t="s">
        <v>74</v>
      </c>
      <c r="AZ14" t="s">
        <v>74</v>
      </c>
      <c r="BA14" t="s">
        <v>74</v>
      </c>
      <c r="BB14">
        <v>497</v>
      </c>
      <c r="BC14">
        <v>497</v>
      </c>
      <c r="BD14" t="s">
        <v>74</v>
      </c>
      <c r="BE14" t="s">
        <v>246</v>
      </c>
      <c r="BF14" t="str">
        <f>HYPERLINK("http://dx.doi.org/10.1657/1938-4246-42.4.497a","http://dx.doi.org/10.1657/1938-4246-42.4.497a")</f>
        <v>http://dx.doi.org/10.1657/1938-4246-42.4.497a</v>
      </c>
      <c r="BG14" t="s">
        <v>74</v>
      </c>
      <c r="BH14" t="s">
        <v>74</v>
      </c>
      <c r="BI14">
        <v>1</v>
      </c>
      <c r="BJ14" t="s">
        <v>99</v>
      </c>
      <c r="BK14" t="s">
        <v>100</v>
      </c>
      <c r="BL14" t="s">
        <v>101</v>
      </c>
      <c r="BM14" t="s">
        <v>102</v>
      </c>
      <c r="BN14" t="s">
        <v>74</v>
      </c>
      <c r="BO14" t="s">
        <v>134</v>
      </c>
      <c r="BP14" t="s">
        <v>74</v>
      </c>
      <c r="BQ14" t="s">
        <v>74</v>
      </c>
      <c r="BR14" t="s">
        <v>104</v>
      </c>
      <c r="BS14" t="s">
        <v>247</v>
      </c>
      <c r="BT14" t="str">
        <f>HYPERLINK("https%3A%2F%2Fwww.webofscience.com%2Fwos%2Fwoscc%2Ffull-record%2FWOS:000284986300015","View Full Record in Web of Science")</f>
        <v>View Full Record in Web of Science</v>
      </c>
    </row>
    <row r="15" spans="1:72" x14ac:dyDescent="0.15">
      <c r="A15" t="s">
        <v>72</v>
      </c>
      <c r="B15" t="s">
        <v>248</v>
      </c>
      <c r="C15" t="s">
        <v>74</v>
      </c>
      <c r="D15" t="s">
        <v>74</v>
      </c>
      <c r="E15" t="s">
        <v>74</v>
      </c>
      <c r="F15" t="s">
        <v>249</v>
      </c>
      <c r="G15" t="s">
        <v>74</v>
      </c>
      <c r="H15" t="s">
        <v>74</v>
      </c>
      <c r="I15" t="s">
        <v>250</v>
      </c>
      <c r="J15" t="s">
        <v>251</v>
      </c>
      <c r="K15" t="s">
        <v>74</v>
      </c>
      <c r="L15" t="s">
        <v>74</v>
      </c>
      <c r="M15" t="s">
        <v>78</v>
      </c>
      <c r="N15" t="s">
        <v>79</v>
      </c>
      <c r="O15" t="s">
        <v>74</v>
      </c>
      <c r="P15" t="s">
        <v>74</v>
      </c>
      <c r="Q15" t="s">
        <v>74</v>
      </c>
      <c r="R15" t="s">
        <v>74</v>
      </c>
      <c r="S15" t="s">
        <v>74</v>
      </c>
      <c r="T15" t="s">
        <v>252</v>
      </c>
      <c r="U15" t="s">
        <v>253</v>
      </c>
      <c r="V15" t="s">
        <v>254</v>
      </c>
      <c r="W15" t="s">
        <v>255</v>
      </c>
      <c r="X15" t="s">
        <v>256</v>
      </c>
      <c r="Y15" t="s">
        <v>257</v>
      </c>
      <c r="Z15" t="s">
        <v>258</v>
      </c>
      <c r="AA15" t="s">
        <v>259</v>
      </c>
      <c r="AB15" t="s">
        <v>260</v>
      </c>
      <c r="AC15" t="s">
        <v>261</v>
      </c>
      <c r="AD15" t="s">
        <v>262</v>
      </c>
      <c r="AE15" t="s">
        <v>263</v>
      </c>
      <c r="AF15" t="s">
        <v>74</v>
      </c>
      <c r="AG15">
        <v>47</v>
      </c>
      <c r="AH15">
        <v>25</v>
      </c>
      <c r="AI15">
        <v>28</v>
      </c>
      <c r="AJ15">
        <v>1</v>
      </c>
      <c r="AK15">
        <v>33</v>
      </c>
      <c r="AL15" t="s">
        <v>264</v>
      </c>
      <c r="AM15" t="s">
        <v>265</v>
      </c>
      <c r="AN15" t="s">
        <v>266</v>
      </c>
      <c r="AO15" t="s">
        <v>267</v>
      </c>
      <c r="AP15" t="s">
        <v>268</v>
      </c>
      <c r="AQ15" t="s">
        <v>74</v>
      </c>
      <c r="AR15" t="s">
        <v>269</v>
      </c>
      <c r="AS15" t="s">
        <v>270</v>
      </c>
      <c r="AT15" t="s">
        <v>97</v>
      </c>
      <c r="AU15">
        <v>2010</v>
      </c>
      <c r="AV15">
        <v>44</v>
      </c>
      <c r="AW15">
        <v>35</v>
      </c>
      <c r="AX15" t="s">
        <v>74</v>
      </c>
      <c r="AY15" t="s">
        <v>74</v>
      </c>
      <c r="AZ15" t="s">
        <v>74</v>
      </c>
      <c r="BA15" t="s">
        <v>74</v>
      </c>
      <c r="BB15">
        <v>4372</v>
      </c>
      <c r="BC15">
        <v>4379</v>
      </c>
      <c r="BD15" t="s">
        <v>74</v>
      </c>
      <c r="BE15" t="s">
        <v>271</v>
      </c>
      <c r="BF15" t="str">
        <f>HYPERLINK("http://dx.doi.org/10.1016/j.atmosenv.2010.07.052","http://dx.doi.org/10.1016/j.atmosenv.2010.07.052")</f>
        <v>http://dx.doi.org/10.1016/j.atmosenv.2010.07.052</v>
      </c>
      <c r="BG15" t="s">
        <v>74</v>
      </c>
      <c r="BH15" t="s">
        <v>74</v>
      </c>
      <c r="BI15">
        <v>8</v>
      </c>
      <c r="BJ15" t="s">
        <v>272</v>
      </c>
      <c r="BK15" t="s">
        <v>100</v>
      </c>
      <c r="BL15" t="s">
        <v>273</v>
      </c>
      <c r="BM15" t="s">
        <v>274</v>
      </c>
      <c r="BN15" t="s">
        <v>74</v>
      </c>
      <c r="BO15" t="s">
        <v>74</v>
      </c>
      <c r="BP15" t="s">
        <v>74</v>
      </c>
      <c r="BQ15" t="s">
        <v>74</v>
      </c>
      <c r="BR15" t="s">
        <v>104</v>
      </c>
      <c r="BS15" t="s">
        <v>275</v>
      </c>
      <c r="BT15" t="str">
        <f>HYPERLINK("https%3A%2F%2Fwww.webofscience.com%2Fwos%2Fwoscc%2Ffull-record%2FWOS:000283568300006","View Full Record in Web of Science")</f>
        <v>View Full Record in Web of Science</v>
      </c>
    </row>
    <row r="16" spans="1:72" x14ac:dyDescent="0.15">
      <c r="A16" t="s">
        <v>72</v>
      </c>
      <c r="B16" t="s">
        <v>276</v>
      </c>
      <c r="C16" t="s">
        <v>74</v>
      </c>
      <c r="D16" t="s">
        <v>74</v>
      </c>
      <c r="E16" t="s">
        <v>74</v>
      </c>
      <c r="F16" t="s">
        <v>277</v>
      </c>
      <c r="G16" t="s">
        <v>74</v>
      </c>
      <c r="H16" t="s">
        <v>74</v>
      </c>
      <c r="I16" t="s">
        <v>278</v>
      </c>
      <c r="J16" t="s">
        <v>251</v>
      </c>
      <c r="K16" t="s">
        <v>74</v>
      </c>
      <c r="L16" t="s">
        <v>74</v>
      </c>
      <c r="M16" t="s">
        <v>78</v>
      </c>
      <c r="N16" t="s">
        <v>79</v>
      </c>
      <c r="O16" t="s">
        <v>74</v>
      </c>
      <c r="P16" t="s">
        <v>74</v>
      </c>
      <c r="Q16" t="s">
        <v>74</v>
      </c>
      <c r="R16" t="s">
        <v>74</v>
      </c>
      <c r="S16" t="s">
        <v>74</v>
      </c>
      <c r="T16" t="s">
        <v>279</v>
      </c>
      <c r="U16" t="s">
        <v>280</v>
      </c>
      <c r="V16" t="s">
        <v>281</v>
      </c>
      <c r="W16" t="s">
        <v>282</v>
      </c>
      <c r="X16" t="s">
        <v>283</v>
      </c>
      <c r="Y16" t="s">
        <v>284</v>
      </c>
      <c r="Z16" t="s">
        <v>285</v>
      </c>
      <c r="AA16" t="s">
        <v>286</v>
      </c>
      <c r="AB16" t="s">
        <v>287</v>
      </c>
      <c r="AC16" t="s">
        <v>288</v>
      </c>
      <c r="AD16" t="s">
        <v>289</v>
      </c>
      <c r="AE16" t="s">
        <v>290</v>
      </c>
      <c r="AF16" t="s">
        <v>74</v>
      </c>
      <c r="AG16">
        <v>68</v>
      </c>
      <c r="AH16">
        <v>14</v>
      </c>
      <c r="AI16">
        <v>15</v>
      </c>
      <c r="AJ16">
        <v>1</v>
      </c>
      <c r="AK16">
        <v>44</v>
      </c>
      <c r="AL16" t="s">
        <v>264</v>
      </c>
      <c r="AM16" t="s">
        <v>265</v>
      </c>
      <c r="AN16" t="s">
        <v>266</v>
      </c>
      <c r="AO16" t="s">
        <v>267</v>
      </c>
      <c r="AP16" t="s">
        <v>74</v>
      </c>
      <c r="AQ16" t="s">
        <v>74</v>
      </c>
      <c r="AR16" t="s">
        <v>269</v>
      </c>
      <c r="AS16" t="s">
        <v>270</v>
      </c>
      <c r="AT16" t="s">
        <v>97</v>
      </c>
      <c r="AU16">
        <v>2010</v>
      </c>
      <c r="AV16">
        <v>44</v>
      </c>
      <c r="AW16">
        <v>36</v>
      </c>
      <c r="AX16" t="s">
        <v>74</v>
      </c>
      <c r="AY16" t="s">
        <v>74</v>
      </c>
      <c r="AZ16" t="s">
        <v>74</v>
      </c>
      <c r="BA16" t="s">
        <v>74</v>
      </c>
      <c r="BB16">
        <v>4565</v>
      </c>
      <c r="BC16">
        <v>4574</v>
      </c>
      <c r="BD16" t="s">
        <v>74</v>
      </c>
      <c r="BE16" t="s">
        <v>291</v>
      </c>
      <c r="BF16" t="str">
        <f>HYPERLINK("http://dx.doi.org/10.1016/j.atmosenv.2010.08.025","http://dx.doi.org/10.1016/j.atmosenv.2010.08.025")</f>
        <v>http://dx.doi.org/10.1016/j.atmosenv.2010.08.025</v>
      </c>
      <c r="BG16" t="s">
        <v>74</v>
      </c>
      <c r="BH16" t="s">
        <v>74</v>
      </c>
      <c r="BI16">
        <v>10</v>
      </c>
      <c r="BJ16" t="s">
        <v>272</v>
      </c>
      <c r="BK16" t="s">
        <v>100</v>
      </c>
      <c r="BL16" t="s">
        <v>273</v>
      </c>
      <c r="BM16" t="s">
        <v>292</v>
      </c>
      <c r="BN16" t="s">
        <v>74</v>
      </c>
      <c r="BO16" t="s">
        <v>134</v>
      </c>
      <c r="BP16" t="s">
        <v>74</v>
      </c>
      <c r="BQ16" t="s">
        <v>74</v>
      </c>
      <c r="BR16" t="s">
        <v>104</v>
      </c>
      <c r="BS16" t="s">
        <v>293</v>
      </c>
      <c r="BT16" t="str">
        <f>HYPERLINK("https%3A%2F%2Fwww.webofscience.com%2Fwos%2Fwoscc%2Ffull-record%2FWOS:000283568600005","View Full Record in Web of Science")</f>
        <v>View Full Record in Web of Science</v>
      </c>
    </row>
    <row r="17" spans="1:72" x14ac:dyDescent="0.15">
      <c r="A17" t="s">
        <v>72</v>
      </c>
      <c r="B17" t="s">
        <v>294</v>
      </c>
      <c r="C17" t="s">
        <v>74</v>
      </c>
      <c r="D17" t="s">
        <v>74</v>
      </c>
      <c r="E17" t="s">
        <v>74</v>
      </c>
      <c r="F17" t="s">
        <v>295</v>
      </c>
      <c r="G17" t="s">
        <v>74</v>
      </c>
      <c r="H17" t="s">
        <v>74</v>
      </c>
      <c r="I17" t="s">
        <v>296</v>
      </c>
      <c r="J17" t="s">
        <v>297</v>
      </c>
      <c r="K17" t="s">
        <v>74</v>
      </c>
      <c r="L17" t="s">
        <v>74</v>
      </c>
      <c r="M17" t="s">
        <v>78</v>
      </c>
      <c r="N17" t="s">
        <v>79</v>
      </c>
      <c r="O17" t="s">
        <v>74</v>
      </c>
      <c r="P17" t="s">
        <v>74</v>
      </c>
      <c r="Q17" t="s">
        <v>74</v>
      </c>
      <c r="R17" t="s">
        <v>74</v>
      </c>
      <c r="S17" t="s">
        <v>74</v>
      </c>
      <c r="T17" t="s">
        <v>298</v>
      </c>
      <c r="U17" t="s">
        <v>299</v>
      </c>
      <c r="V17" t="s">
        <v>300</v>
      </c>
      <c r="W17" t="s">
        <v>301</v>
      </c>
      <c r="X17" t="s">
        <v>302</v>
      </c>
      <c r="Y17" t="s">
        <v>303</v>
      </c>
      <c r="Z17" t="s">
        <v>74</v>
      </c>
      <c r="AA17" t="s">
        <v>304</v>
      </c>
      <c r="AB17" t="s">
        <v>305</v>
      </c>
      <c r="AC17" t="s">
        <v>306</v>
      </c>
      <c r="AD17" t="s">
        <v>307</v>
      </c>
      <c r="AE17" t="s">
        <v>308</v>
      </c>
      <c r="AF17" t="s">
        <v>74</v>
      </c>
      <c r="AG17">
        <v>32</v>
      </c>
      <c r="AH17">
        <v>10</v>
      </c>
      <c r="AI17">
        <v>10</v>
      </c>
      <c r="AJ17">
        <v>1</v>
      </c>
      <c r="AK17">
        <v>8</v>
      </c>
      <c r="AL17" t="s">
        <v>309</v>
      </c>
      <c r="AM17" t="s">
        <v>310</v>
      </c>
      <c r="AN17" t="s">
        <v>311</v>
      </c>
      <c r="AO17" t="s">
        <v>312</v>
      </c>
      <c r="AP17" t="s">
        <v>313</v>
      </c>
      <c r="AQ17" t="s">
        <v>74</v>
      </c>
      <c r="AR17" t="s">
        <v>314</v>
      </c>
      <c r="AS17" t="s">
        <v>315</v>
      </c>
      <c r="AT17" t="s">
        <v>316</v>
      </c>
      <c r="AU17">
        <v>2010</v>
      </c>
      <c r="AV17">
        <v>98</v>
      </c>
      <c r="AW17" t="s">
        <v>317</v>
      </c>
      <c r="AX17" t="s">
        <v>74</v>
      </c>
      <c r="AY17" t="s">
        <v>74</v>
      </c>
      <c r="AZ17" t="s">
        <v>74</v>
      </c>
      <c r="BA17" t="s">
        <v>74</v>
      </c>
      <c r="BB17">
        <v>285</v>
      </c>
      <c r="BC17">
        <v>296</v>
      </c>
      <c r="BD17" t="s">
        <v>74</v>
      </c>
      <c r="BE17" t="s">
        <v>318</v>
      </c>
      <c r="BF17" t="str">
        <f>HYPERLINK("http://dx.doi.org/10.1016/j.atmosres.2010.07.007","http://dx.doi.org/10.1016/j.atmosres.2010.07.007")</f>
        <v>http://dx.doi.org/10.1016/j.atmosres.2010.07.007</v>
      </c>
      <c r="BG17" t="s">
        <v>74</v>
      </c>
      <c r="BH17" t="s">
        <v>74</v>
      </c>
      <c r="BI17">
        <v>12</v>
      </c>
      <c r="BJ17" t="s">
        <v>319</v>
      </c>
      <c r="BK17" t="s">
        <v>100</v>
      </c>
      <c r="BL17" t="s">
        <v>319</v>
      </c>
      <c r="BM17" t="s">
        <v>320</v>
      </c>
      <c r="BN17" t="s">
        <v>74</v>
      </c>
      <c r="BO17" t="s">
        <v>74</v>
      </c>
      <c r="BP17" t="s">
        <v>74</v>
      </c>
      <c r="BQ17" t="s">
        <v>74</v>
      </c>
      <c r="BR17" t="s">
        <v>104</v>
      </c>
      <c r="BS17" t="s">
        <v>321</v>
      </c>
      <c r="BT17" t="str">
        <f>HYPERLINK("https%3A%2F%2Fwww.webofscience.com%2Fwos%2Fwoscc%2Ffull-record%2FWOS:000284983400011","View Full Record in Web of Science")</f>
        <v>View Full Record in Web of Science</v>
      </c>
    </row>
    <row r="18" spans="1:72" x14ac:dyDescent="0.15">
      <c r="A18" t="s">
        <v>72</v>
      </c>
      <c r="B18" t="s">
        <v>322</v>
      </c>
      <c r="C18" t="s">
        <v>74</v>
      </c>
      <c r="D18" t="s">
        <v>74</v>
      </c>
      <c r="E18" t="s">
        <v>74</v>
      </c>
      <c r="F18" t="s">
        <v>323</v>
      </c>
      <c r="G18" t="s">
        <v>74</v>
      </c>
      <c r="H18" t="s">
        <v>74</v>
      </c>
      <c r="I18" t="s">
        <v>324</v>
      </c>
      <c r="J18" t="s">
        <v>325</v>
      </c>
      <c r="K18" t="s">
        <v>74</v>
      </c>
      <c r="L18" t="s">
        <v>74</v>
      </c>
      <c r="M18" t="s">
        <v>78</v>
      </c>
      <c r="N18" t="s">
        <v>326</v>
      </c>
      <c r="O18" t="s">
        <v>74</v>
      </c>
      <c r="P18" t="s">
        <v>74</v>
      </c>
      <c r="Q18" t="s">
        <v>74</v>
      </c>
      <c r="R18" t="s">
        <v>74</v>
      </c>
      <c r="S18" t="s">
        <v>74</v>
      </c>
      <c r="T18" t="s">
        <v>327</v>
      </c>
      <c r="U18" t="s">
        <v>328</v>
      </c>
      <c r="V18" t="s">
        <v>329</v>
      </c>
      <c r="W18" t="s">
        <v>330</v>
      </c>
      <c r="X18" t="s">
        <v>331</v>
      </c>
      <c r="Y18" t="s">
        <v>332</v>
      </c>
      <c r="Z18" t="s">
        <v>333</v>
      </c>
      <c r="AA18" t="s">
        <v>334</v>
      </c>
      <c r="AB18" t="s">
        <v>335</v>
      </c>
      <c r="AC18" t="s">
        <v>336</v>
      </c>
      <c r="AD18" t="s">
        <v>337</v>
      </c>
      <c r="AE18" t="s">
        <v>74</v>
      </c>
      <c r="AF18" t="s">
        <v>74</v>
      </c>
      <c r="AG18">
        <v>206</v>
      </c>
      <c r="AH18">
        <v>179</v>
      </c>
      <c r="AI18">
        <v>194</v>
      </c>
      <c r="AJ18">
        <v>5</v>
      </c>
      <c r="AK18">
        <v>316</v>
      </c>
      <c r="AL18" t="s">
        <v>338</v>
      </c>
      <c r="AM18" t="s">
        <v>339</v>
      </c>
      <c r="AN18" t="s">
        <v>340</v>
      </c>
      <c r="AO18" t="s">
        <v>341</v>
      </c>
      <c r="AP18" t="s">
        <v>342</v>
      </c>
      <c r="AQ18" t="s">
        <v>74</v>
      </c>
      <c r="AR18" t="s">
        <v>343</v>
      </c>
      <c r="AS18" t="s">
        <v>344</v>
      </c>
      <c r="AT18" t="s">
        <v>97</v>
      </c>
      <c r="AU18">
        <v>2010</v>
      </c>
      <c r="AV18">
        <v>85</v>
      </c>
      <c r="AW18">
        <v>4</v>
      </c>
      <c r="AX18" t="s">
        <v>74</v>
      </c>
      <c r="AY18" t="s">
        <v>74</v>
      </c>
      <c r="AZ18" t="s">
        <v>74</v>
      </c>
      <c r="BA18" t="s">
        <v>74</v>
      </c>
      <c r="BB18">
        <v>703</v>
      </c>
      <c r="BC18">
        <v>727</v>
      </c>
      <c r="BD18" t="s">
        <v>74</v>
      </c>
      <c r="BE18" t="s">
        <v>345</v>
      </c>
      <c r="BF18" t="str">
        <f>HYPERLINK("http://dx.doi.org/10.1111/j.1469-185X.2010.00122.x","http://dx.doi.org/10.1111/j.1469-185X.2010.00122.x")</f>
        <v>http://dx.doi.org/10.1111/j.1469-185X.2010.00122.x</v>
      </c>
      <c r="BG18" t="s">
        <v>74</v>
      </c>
      <c r="BH18" t="s">
        <v>74</v>
      </c>
      <c r="BI18">
        <v>25</v>
      </c>
      <c r="BJ18" t="s">
        <v>346</v>
      </c>
      <c r="BK18" t="s">
        <v>100</v>
      </c>
      <c r="BL18" t="s">
        <v>347</v>
      </c>
      <c r="BM18" t="s">
        <v>348</v>
      </c>
      <c r="BN18">
        <v>20105154</v>
      </c>
      <c r="BO18" t="s">
        <v>74</v>
      </c>
      <c r="BP18" t="s">
        <v>74</v>
      </c>
      <c r="BQ18" t="s">
        <v>74</v>
      </c>
      <c r="BR18" t="s">
        <v>104</v>
      </c>
      <c r="BS18" t="s">
        <v>349</v>
      </c>
      <c r="BT18" t="str">
        <f>HYPERLINK("https%3A%2F%2Fwww.webofscience.com%2Fwos%2Fwoscc%2Ffull-record%2FWOS:000282880900002","View Full Record in Web of Science")</f>
        <v>View Full Record in Web of Science</v>
      </c>
    </row>
    <row r="19" spans="1:72" x14ac:dyDescent="0.15">
      <c r="A19" t="s">
        <v>72</v>
      </c>
      <c r="B19" t="s">
        <v>350</v>
      </c>
      <c r="C19" t="s">
        <v>74</v>
      </c>
      <c r="D19" t="s">
        <v>74</v>
      </c>
      <c r="E19" t="s">
        <v>74</v>
      </c>
      <c r="F19" t="s">
        <v>351</v>
      </c>
      <c r="G19" t="s">
        <v>74</v>
      </c>
      <c r="H19" t="s">
        <v>74</v>
      </c>
      <c r="I19" t="s">
        <v>352</v>
      </c>
      <c r="J19" t="s">
        <v>353</v>
      </c>
      <c r="K19" t="s">
        <v>74</v>
      </c>
      <c r="L19" t="s">
        <v>74</v>
      </c>
      <c r="M19" t="s">
        <v>78</v>
      </c>
      <c r="N19" t="s">
        <v>79</v>
      </c>
      <c r="O19" t="s">
        <v>74</v>
      </c>
      <c r="P19" t="s">
        <v>74</v>
      </c>
      <c r="Q19" t="s">
        <v>74</v>
      </c>
      <c r="R19" t="s">
        <v>74</v>
      </c>
      <c r="S19" t="s">
        <v>74</v>
      </c>
      <c r="T19" t="s">
        <v>354</v>
      </c>
      <c r="U19" t="s">
        <v>355</v>
      </c>
      <c r="V19" t="s">
        <v>356</v>
      </c>
      <c r="W19" t="s">
        <v>357</v>
      </c>
      <c r="X19" t="s">
        <v>358</v>
      </c>
      <c r="Y19" t="s">
        <v>359</v>
      </c>
      <c r="Z19" t="s">
        <v>74</v>
      </c>
      <c r="AA19" t="s">
        <v>360</v>
      </c>
      <c r="AB19" t="s">
        <v>361</v>
      </c>
      <c r="AC19" t="s">
        <v>362</v>
      </c>
      <c r="AD19" t="s">
        <v>363</v>
      </c>
      <c r="AE19" t="s">
        <v>364</v>
      </c>
      <c r="AF19" t="s">
        <v>74</v>
      </c>
      <c r="AG19">
        <v>27</v>
      </c>
      <c r="AH19">
        <v>12</v>
      </c>
      <c r="AI19">
        <v>12</v>
      </c>
      <c r="AJ19">
        <v>0</v>
      </c>
      <c r="AK19">
        <v>8</v>
      </c>
      <c r="AL19" t="s">
        <v>119</v>
      </c>
      <c r="AM19" t="s">
        <v>120</v>
      </c>
      <c r="AN19" t="s">
        <v>121</v>
      </c>
      <c r="AO19" t="s">
        <v>365</v>
      </c>
      <c r="AP19" t="s">
        <v>366</v>
      </c>
      <c r="AQ19" t="s">
        <v>74</v>
      </c>
      <c r="AR19" t="s">
        <v>367</v>
      </c>
      <c r="AS19" t="s">
        <v>368</v>
      </c>
      <c r="AT19" t="s">
        <v>97</v>
      </c>
      <c r="AU19">
        <v>2010</v>
      </c>
      <c r="AV19">
        <v>24</v>
      </c>
      <c r="AW19">
        <v>4</v>
      </c>
      <c r="AX19" t="s">
        <v>74</v>
      </c>
      <c r="AY19" t="s">
        <v>74</v>
      </c>
      <c r="AZ19" t="s">
        <v>74</v>
      </c>
      <c r="BA19" t="s">
        <v>74</v>
      </c>
      <c r="BB19">
        <v>2096</v>
      </c>
      <c r="BC19">
        <v>2101</v>
      </c>
      <c r="BD19" t="s">
        <v>74</v>
      </c>
      <c r="BE19" t="s">
        <v>369</v>
      </c>
      <c r="BF19" t="str">
        <f>HYPERLINK("http://dx.doi.org/10.2478/V10133-010-0084-5","http://dx.doi.org/10.2478/V10133-010-0084-5")</f>
        <v>http://dx.doi.org/10.2478/V10133-010-0084-5</v>
      </c>
      <c r="BG19" t="s">
        <v>74</v>
      </c>
      <c r="BH19" t="s">
        <v>74</v>
      </c>
      <c r="BI19">
        <v>6</v>
      </c>
      <c r="BJ19" t="s">
        <v>370</v>
      </c>
      <c r="BK19" t="s">
        <v>100</v>
      </c>
      <c r="BL19" t="s">
        <v>370</v>
      </c>
      <c r="BM19" t="s">
        <v>371</v>
      </c>
      <c r="BN19" t="s">
        <v>74</v>
      </c>
      <c r="BO19" t="s">
        <v>74</v>
      </c>
      <c r="BP19" t="s">
        <v>74</v>
      </c>
      <c r="BQ19" t="s">
        <v>74</v>
      </c>
      <c r="BR19" t="s">
        <v>104</v>
      </c>
      <c r="BS19" t="s">
        <v>372</v>
      </c>
      <c r="BT19" t="str">
        <f>HYPERLINK("https%3A%2F%2Fwww.webofscience.com%2Fwos%2Fwoscc%2Ffull-record%2FWOS:000284717900010","View Full Record in Web of Science")</f>
        <v>View Full Record in Web of Science</v>
      </c>
    </row>
    <row r="20" spans="1:72" x14ac:dyDescent="0.15">
      <c r="A20" t="s">
        <v>72</v>
      </c>
      <c r="B20" t="s">
        <v>373</v>
      </c>
      <c r="C20" t="s">
        <v>74</v>
      </c>
      <c r="D20" t="s">
        <v>74</v>
      </c>
      <c r="E20" t="s">
        <v>74</v>
      </c>
      <c r="F20" t="s">
        <v>374</v>
      </c>
      <c r="G20" t="s">
        <v>74</v>
      </c>
      <c r="H20" t="s">
        <v>74</v>
      </c>
      <c r="I20" t="s">
        <v>375</v>
      </c>
      <c r="J20" t="s">
        <v>376</v>
      </c>
      <c r="K20" t="s">
        <v>74</v>
      </c>
      <c r="L20" t="s">
        <v>74</v>
      </c>
      <c r="M20" t="s">
        <v>377</v>
      </c>
      <c r="N20" t="s">
        <v>79</v>
      </c>
      <c r="O20" t="s">
        <v>74</v>
      </c>
      <c r="P20" t="s">
        <v>74</v>
      </c>
      <c r="Q20" t="s">
        <v>74</v>
      </c>
      <c r="R20" t="s">
        <v>74</v>
      </c>
      <c r="S20" t="s">
        <v>74</v>
      </c>
      <c r="T20" t="s">
        <v>378</v>
      </c>
      <c r="U20" t="s">
        <v>379</v>
      </c>
      <c r="V20" t="s">
        <v>380</v>
      </c>
      <c r="W20" t="s">
        <v>381</v>
      </c>
      <c r="X20" t="s">
        <v>382</v>
      </c>
      <c r="Y20" t="s">
        <v>383</v>
      </c>
      <c r="Z20" t="s">
        <v>74</v>
      </c>
      <c r="AA20" t="s">
        <v>74</v>
      </c>
      <c r="AB20" t="s">
        <v>384</v>
      </c>
      <c r="AC20" t="s">
        <v>74</v>
      </c>
      <c r="AD20" t="s">
        <v>74</v>
      </c>
      <c r="AE20" t="s">
        <v>74</v>
      </c>
      <c r="AF20" t="s">
        <v>74</v>
      </c>
      <c r="AG20">
        <v>19</v>
      </c>
      <c r="AH20">
        <v>2</v>
      </c>
      <c r="AI20">
        <v>2</v>
      </c>
      <c r="AJ20">
        <v>5</v>
      </c>
      <c r="AK20">
        <v>33</v>
      </c>
      <c r="AL20" t="s">
        <v>385</v>
      </c>
      <c r="AM20" t="s">
        <v>386</v>
      </c>
      <c r="AN20" t="s">
        <v>387</v>
      </c>
      <c r="AO20" t="s">
        <v>388</v>
      </c>
      <c r="AP20" t="s">
        <v>74</v>
      </c>
      <c r="AQ20" t="s">
        <v>74</v>
      </c>
      <c r="AR20" t="s">
        <v>376</v>
      </c>
      <c r="AS20" t="s">
        <v>389</v>
      </c>
      <c r="AT20" t="s">
        <v>97</v>
      </c>
      <c r="AU20">
        <v>2010</v>
      </c>
      <c r="AV20">
        <v>59</v>
      </c>
      <c r="AW20">
        <v>11</v>
      </c>
      <c r="AX20" t="s">
        <v>74</v>
      </c>
      <c r="AY20" t="s">
        <v>74</v>
      </c>
      <c r="AZ20" t="s">
        <v>74</v>
      </c>
      <c r="BA20" t="s">
        <v>74</v>
      </c>
      <c r="BB20">
        <v>967</v>
      </c>
      <c r="BC20">
        <v>984</v>
      </c>
      <c r="BD20" t="s">
        <v>74</v>
      </c>
      <c r="BE20" t="s">
        <v>390</v>
      </c>
      <c r="BF20" t="str">
        <f>HYPERLINK("http://dx.doi.org/10.2116/bunsekikagaku.59.967","http://dx.doi.org/10.2116/bunsekikagaku.59.967")</f>
        <v>http://dx.doi.org/10.2116/bunsekikagaku.59.967</v>
      </c>
      <c r="BG20" t="s">
        <v>74</v>
      </c>
      <c r="BH20" t="s">
        <v>74</v>
      </c>
      <c r="BI20">
        <v>18</v>
      </c>
      <c r="BJ20" t="s">
        <v>391</v>
      </c>
      <c r="BK20" t="s">
        <v>100</v>
      </c>
      <c r="BL20" t="s">
        <v>392</v>
      </c>
      <c r="BM20" t="s">
        <v>393</v>
      </c>
      <c r="BN20" t="s">
        <v>74</v>
      </c>
      <c r="BO20" t="s">
        <v>394</v>
      </c>
      <c r="BP20" t="s">
        <v>74</v>
      </c>
      <c r="BQ20" t="s">
        <v>74</v>
      </c>
      <c r="BR20" t="s">
        <v>104</v>
      </c>
      <c r="BS20" t="s">
        <v>395</v>
      </c>
      <c r="BT20" t="str">
        <f>HYPERLINK("https%3A%2F%2Fwww.webofscience.com%2Fwos%2Fwoscc%2Ffull-record%2FWOS:000284386900004","View Full Record in Web of Science")</f>
        <v>View Full Record in Web of Science</v>
      </c>
    </row>
    <row r="21" spans="1:72" x14ac:dyDescent="0.15">
      <c r="A21" t="s">
        <v>72</v>
      </c>
      <c r="B21" t="s">
        <v>396</v>
      </c>
      <c r="C21" t="s">
        <v>74</v>
      </c>
      <c r="D21" t="s">
        <v>74</v>
      </c>
      <c r="E21" t="s">
        <v>74</v>
      </c>
      <c r="F21" t="s">
        <v>397</v>
      </c>
      <c r="G21" t="s">
        <v>74</v>
      </c>
      <c r="H21" t="s">
        <v>74</v>
      </c>
      <c r="I21" t="s">
        <v>398</v>
      </c>
      <c r="J21" t="s">
        <v>399</v>
      </c>
      <c r="K21" t="s">
        <v>74</v>
      </c>
      <c r="L21" t="s">
        <v>74</v>
      </c>
      <c r="M21" t="s">
        <v>78</v>
      </c>
      <c r="N21" t="s">
        <v>79</v>
      </c>
      <c r="O21" t="s">
        <v>74</v>
      </c>
      <c r="P21" t="s">
        <v>74</v>
      </c>
      <c r="Q21" t="s">
        <v>74</v>
      </c>
      <c r="R21" t="s">
        <v>74</v>
      </c>
      <c r="S21" t="s">
        <v>74</v>
      </c>
      <c r="T21" t="s">
        <v>74</v>
      </c>
      <c r="U21" t="s">
        <v>400</v>
      </c>
      <c r="V21" t="s">
        <v>401</v>
      </c>
      <c r="W21" t="s">
        <v>402</v>
      </c>
      <c r="X21" t="s">
        <v>403</v>
      </c>
      <c r="Y21" t="s">
        <v>404</v>
      </c>
      <c r="Z21" t="s">
        <v>405</v>
      </c>
      <c r="AA21" t="s">
        <v>406</v>
      </c>
      <c r="AB21" t="s">
        <v>407</v>
      </c>
      <c r="AC21" t="s">
        <v>408</v>
      </c>
      <c r="AD21" t="s">
        <v>409</v>
      </c>
      <c r="AE21" t="s">
        <v>410</v>
      </c>
      <c r="AF21" t="s">
        <v>74</v>
      </c>
      <c r="AG21">
        <v>107</v>
      </c>
      <c r="AH21">
        <v>49</v>
      </c>
      <c r="AI21">
        <v>53</v>
      </c>
      <c r="AJ21">
        <v>2</v>
      </c>
      <c r="AK21">
        <v>64</v>
      </c>
      <c r="AL21" t="s">
        <v>411</v>
      </c>
      <c r="AM21" t="s">
        <v>412</v>
      </c>
      <c r="AN21" t="s">
        <v>413</v>
      </c>
      <c r="AO21" t="s">
        <v>414</v>
      </c>
      <c r="AP21" t="s">
        <v>415</v>
      </c>
      <c r="AQ21" t="s">
        <v>74</v>
      </c>
      <c r="AR21" t="s">
        <v>416</v>
      </c>
      <c r="AS21" t="s">
        <v>417</v>
      </c>
      <c r="AT21" t="s">
        <v>97</v>
      </c>
      <c r="AU21">
        <v>2010</v>
      </c>
      <c r="AV21">
        <v>1</v>
      </c>
      <c r="AW21">
        <v>5</v>
      </c>
      <c r="AX21" t="s">
        <v>74</v>
      </c>
      <c r="AY21" t="s">
        <v>74</v>
      </c>
      <c r="AZ21" t="s">
        <v>74</v>
      </c>
      <c r="BA21" t="s">
        <v>74</v>
      </c>
      <c r="BB21">
        <v>538</v>
      </c>
      <c r="BC21">
        <v>551</v>
      </c>
      <c r="BD21" t="s">
        <v>74</v>
      </c>
      <c r="BE21" t="s">
        <v>418</v>
      </c>
      <c r="BF21" t="str">
        <f>HYPERLINK("http://dx.doi.org/10.1039/c0sc00194e","http://dx.doi.org/10.1039/c0sc00194e")</f>
        <v>http://dx.doi.org/10.1039/c0sc00194e</v>
      </c>
      <c r="BG21" t="s">
        <v>74</v>
      </c>
      <c r="BH21" t="s">
        <v>74</v>
      </c>
      <c r="BI21">
        <v>14</v>
      </c>
      <c r="BJ21" t="s">
        <v>419</v>
      </c>
      <c r="BK21" t="s">
        <v>100</v>
      </c>
      <c r="BL21" t="s">
        <v>392</v>
      </c>
      <c r="BM21" t="s">
        <v>420</v>
      </c>
      <c r="BN21" t="s">
        <v>74</v>
      </c>
      <c r="BO21" t="s">
        <v>74</v>
      </c>
      <c r="BP21" t="s">
        <v>74</v>
      </c>
      <c r="BQ21" t="s">
        <v>74</v>
      </c>
      <c r="BR21" t="s">
        <v>104</v>
      </c>
      <c r="BS21" t="s">
        <v>421</v>
      </c>
      <c r="BT21" t="str">
        <f>HYPERLINK("https%3A%2F%2Fwww.webofscience.com%2Fwos%2Fwoscc%2Ffull-record%2FWOS:000283974200001","View Full Record in Web of Science")</f>
        <v>View Full Record in Web of Science</v>
      </c>
    </row>
    <row r="22" spans="1:72" x14ac:dyDescent="0.15">
      <c r="A22" t="s">
        <v>72</v>
      </c>
      <c r="B22" t="s">
        <v>422</v>
      </c>
      <c r="C22" t="s">
        <v>74</v>
      </c>
      <c r="D22" t="s">
        <v>74</v>
      </c>
      <c r="E22" t="s">
        <v>74</v>
      </c>
      <c r="F22" t="s">
        <v>423</v>
      </c>
      <c r="G22" t="s">
        <v>74</v>
      </c>
      <c r="H22" t="s">
        <v>74</v>
      </c>
      <c r="I22" t="s">
        <v>424</v>
      </c>
      <c r="J22" t="s">
        <v>425</v>
      </c>
      <c r="K22" t="s">
        <v>74</v>
      </c>
      <c r="L22" t="s">
        <v>74</v>
      </c>
      <c r="M22" t="s">
        <v>78</v>
      </c>
      <c r="N22" t="s">
        <v>79</v>
      </c>
      <c r="O22" t="s">
        <v>74</v>
      </c>
      <c r="P22" t="s">
        <v>74</v>
      </c>
      <c r="Q22" t="s">
        <v>74</v>
      </c>
      <c r="R22" t="s">
        <v>74</v>
      </c>
      <c r="S22" t="s">
        <v>74</v>
      </c>
      <c r="T22" t="s">
        <v>426</v>
      </c>
      <c r="U22" t="s">
        <v>427</v>
      </c>
      <c r="V22" t="s">
        <v>428</v>
      </c>
      <c r="W22" t="s">
        <v>429</v>
      </c>
      <c r="X22" t="s">
        <v>430</v>
      </c>
      <c r="Y22" t="s">
        <v>431</v>
      </c>
      <c r="Z22" t="s">
        <v>432</v>
      </c>
      <c r="AA22" t="s">
        <v>74</v>
      </c>
      <c r="AB22" t="s">
        <v>74</v>
      </c>
      <c r="AC22" t="s">
        <v>433</v>
      </c>
      <c r="AD22" t="s">
        <v>434</v>
      </c>
      <c r="AE22" t="s">
        <v>435</v>
      </c>
      <c r="AF22" t="s">
        <v>74</v>
      </c>
      <c r="AG22">
        <v>33</v>
      </c>
      <c r="AH22">
        <v>2</v>
      </c>
      <c r="AI22">
        <v>3</v>
      </c>
      <c r="AJ22">
        <v>0</v>
      </c>
      <c r="AK22">
        <v>16</v>
      </c>
      <c r="AL22" t="s">
        <v>436</v>
      </c>
      <c r="AM22" t="s">
        <v>437</v>
      </c>
      <c r="AN22" t="s">
        <v>438</v>
      </c>
      <c r="AO22" t="s">
        <v>439</v>
      </c>
      <c r="AP22" t="s">
        <v>440</v>
      </c>
      <c r="AQ22" t="s">
        <v>74</v>
      </c>
      <c r="AR22" t="s">
        <v>441</v>
      </c>
      <c r="AS22" t="s">
        <v>442</v>
      </c>
      <c r="AT22" t="s">
        <v>97</v>
      </c>
      <c r="AU22">
        <v>2010</v>
      </c>
      <c r="AV22">
        <v>55</v>
      </c>
      <c r="AW22">
        <v>32</v>
      </c>
      <c r="AX22" t="s">
        <v>74</v>
      </c>
      <c r="AY22" t="s">
        <v>74</v>
      </c>
      <c r="AZ22" t="s">
        <v>74</v>
      </c>
      <c r="BA22" t="s">
        <v>74</v>
      </c>
      <c r="BB22">
        <v>3709</v>
      </c>
      <c r="BC22">
        <v>3717</v>
      </c>
      <c r="BD22" t="s">
        <v>74</v>
      </c>
      <c r="BE22" t="s">
        <v>443</v>
      </c>
      <c r="BF22" t="str">
        <f>HYPERLINK("http://dx.doi.org/10.1007/s11434-010-4172-6","http://dx.doi.org/10.1007/s11434-010-4172-6")</f>
        <v>http://dx.doi.org/10.1007/s11434-010-4172-6</v>
      </c>
      <c r="BG22" t="s">
        <v>74</v>
      </c>
      <c r="BH22" t="s">
        <v>74</v>
      </c>
      <c r="BI22">
        <v>9</v>
      </c>
      <c r="BJ22" t="s">
        <v>444</v>
      </c>
      <c r="BK22" t="s">
        <v>100</v>
      </c>
      <c r="BL22" t="s">
        <v>445</v>
      </c>
      <c r="BM22" t="s">
        <v>446</v>
      </c>
      <c r="BN22" t="s">
        <v>74</v>
      </c>
      <c r="BO22" t="s">
        <v>74</v>
      </c>
      <c r="BP22" t="s">
        <v>74</v>
      </c>
      <c r="BQ22" t="s">
        <v>74</v>
      </c>
      <c r="BR22" t="s">
        <v>104</v>
      </c>
      <c r="BS22" t="s">
        <v>447</v>
      </c>
      <c r="BT22" t="str">
        <f>HYPERLINK("https%3A%2F%2Fwww.webofscience.com%2Fwos%2Fwoscc%2Ffull-record%2FWOS:000285026300013","View Full Record in Web of Science")</f>
        <v>View Full Record in Web of Science</v>
      </c>
    </row>
    <row r="23" spans="1:72" x14ac:dyDescent="0.15">
      <c r="A23" t="s">
        <v>72</v>
      </c>
      <c r="B23" t="s">
        <v>448</v>
      </c>
      <c r="C23" t="s">
        <v>74</v>
      </c>
      <c r="D23" t="s">
        <v>74</v>
      </c>
      <c r="E23" t="s">
        <v>74</v>
      </c>
      <c r="F23" t="s">
        <v>449</v>
      </c>
      <c r="G23" t="s">
        <v>74</v>
      </c>
      <c r="H23" t="s">
        <v>74</v>
      </c>
      <c r="I23" t="s">
        <v>450</v>
      </c>
      <c r="J23" t="s">
        <v>451</v>
      </c>
      <c r="K23" t="s">
        <v>74</v>
      </c>
      <c r="L23" t="s">
        <v>74</v>
      </c>
      <c r="M23" t="s">
        <v>78</v>
      </c>
      <c r="N23" t="s">
        <v>79</v>
      </c>
      <c r="O23" t="s">
        <v>74</v>
      </c>
      <c r="P23" t="s">
        <v>74</v>
      </c>
      <c r="Q23" t="s">
        <v>74</v>
      </c>
      <c r="R23" t="s">
        <v>74</v>
      </c>
      <c r="S23" t="s">
        <v>74</v>
      </c>
      <c r="T23" t="s">
        <v>452</v>
      </c>
      <c r="U23" t="s">
        <v>453</v>
      </c>
      <c r="V23" t="s">
        <v>454</v>
      </c>
      <c r="W23" t="s">
        <v>455</v>
      </c>
      <c r="X23" t="s">
        <v>456</v>
      </c>
      <c r="Y23" t="s">
        <v>457</v>
      </c>
      <c r="Z23" t="s">
        <v>458</v>
      </c>
      <c r="AA23" t="s">
        <v>459</v>
      </c>
      <c r="AB23" t="s">
        <v>460</v>
      </c>
      <c r="AC23" t="s">
        <v>461</v>
      </c>
      <c r="AD23" t="s">
        <v>462</v>
      </c>
      <c r="AE23" t="s">
        <v>463</v>
      </c>
      <c r="AF23" t="s">
        <v>74</v>
      </c>
      <c r="AG23">
        <v>38</v>
      </c>
      <c r="AH23">
        <v>17</v>
      </c>
      <c r="AI23">
        <v>17</v>
      </c>
      <c r="AJ23">
        <v>0</v>
      </c>
      <c r="AK23">
        <v>8</v>
      </c>
      <c r="AL23" t="s">
        <v>464</v>
      </c>
      <c r="AM23" t="s">
        <v>310</v>
      </c>
      <c r="AN23" t="s">
        <v>465</v>
      </c>
      <c r="AO23" t="s">
        <v>466</v>
      </c>
      <c r="AP23" t="s">
        <v>467</v>
      </c>
      <c r="AQ23" t="s">
        <v>74</v>
      </c>
      <c r="AR23" t="s">
        <v>468</v>
      </c>
      <c r="AS23" t="s">
        <v>469</v>
      </c>
      <c r="AT23" t="s">
        <v>97</v>
      </c>
      <c r="AU23">
        <v>2010</v>
      </c>
      <c r="AV23">
        <v>35</v>
      </c>
      <c r="AW23">
        <v>6</v>
      </c>
      <c r="AX23" t="s">
        <v>74</v>
      </c>
      <c r="AY23" t="s">
        <v>74</v>
      </c>
      <c r="AZ23" t="s">
        <v>74</v>
      </c>
      <c r="BA23" t="s">
        <v>74</v>
      </c>
      <c r="BB23">
        <v>965</v>
      </c>
      <c r="BC23">
        <v>975</v>
      </c>
      <c r="BD23" t="s">
        <v>74</v>
      </c>
      <c r="BE23" t="s">
        <v>470</v>
      </c>
      <c r="BF23" t="str">
        <f>HYPERLINK("http://dx.doi.org/10.1007/s00382-009-0632-6","http://dx.doi.org/10.1007/s00382-009-0632-6")</f>
        <v>http://dx.doi.org/10.1007/s00382-009-0632-6</v>
      </c>
      <c r="BG23" t="s">
        <v>74</v>
      </c>
      <c r="BH23" t="s">
        <v>74</v>
      </c>
      <c r="BI23">
        <v>11</v>
      </c>
      <c r="BJ23" t="s">
        <v>319</v>
      </c>
      <c r="BK23" t="s">
        <v>100</v>
      </c>
      <c r="BL23" t="s">
        <v>319</v>
      </c>
      <c r="BM23" t="s">
        <v>471</v>
      </c>
      <c r="BN23" t="s">
        <v>74</v>
      </c>
      <c r="BO23" t="s">
        <v>74</v>
      </c>
      <c r="BP23" t="s">
        <v>74</v>
      </c>
      <c r="BQ23" t="s">
        <v>74</v>
      </c>
      <c r="BR23" t="s">
        <v>104</v>
      </c>
      <c r="BS23" t="s">
        <v>472</v>
      </c>
      <c r="BT23" t="str">
        <f>HYPERLINK("https%3A%2F%2Fwww.webofscience.com%2Fwos%2Fwoscc%2Ffull-record%2FWOS:000283298900004","View Full Record in Web of Science")</f>
        <v>View Full Record in Web of Science</v>
      </c>
    </row>
    <row r="24" spans="1:72" x14ac:dyDescent="0.15">
      <c r="A24" t="s">
        <v>72</v>
      </c>
      <c r="B24" t="s">
        <v>473</v>
      </c>
      <c r="C24" t="s">
        <v>74</v>
      </c>
      <c r="D24" t="s">
        <v>74</v>
      </c>
      <c r="E24" t="s">
        <v>74</v>
      </c>
      <c r="F24" t="s">
        <v>474</v>
      </c>
      <c r="G24" t="s">
        <v>74</v>
      </c>
      <c r="H24" t="s">
        <v>74</v>
      </c>
      <c r="I24" t="s">
        <v>475</v>
      </c>
      <c r="J24" t="s">
        <v>476</v>
      </c>
      <c r="K24" t="s">
        <v>74</v>
      </c>
      <c r="L24" t="s">
        <v>74</v>
      </c>
      <c r="M24" t="s">
        <v>78</v>
      </c>
      <c r="N24" t="s">
        <v>79</v>
      </c>
      <c r="O24" t="s">
        <v>74</v>
      </c>
      <c r="P24" t="s">
        <v>74</v>
      </c>
      <c r="Q24" t="s">
        <v>74</v>
      </c>
      <c r="R24" t="s">
        <v>74</v>
      </c>
      <c r="S24" t="s">
        <v>74</v>
      </c>
      <c r="T24" t="s">
        <v>477</v>
      </c>
      <c r="U24" t="s">
        <v>478</v>
      </c>
      <c r="V24" t="s">
        <v>479</v>
      </c>
      <c r="W24" t="s">
        <v>480</v>
      </c>
      <c r="X24" t="s">
        <v>170</v>
      </c>
      <c r="Y24" t="s">
        <v>481</v>
      </c>
      <c r="Z24" t="s">
        <v>482</v>
      </c>
      <c r="AA24" t="s">
        <v>74</v>
      </c>
      <c r="AB24" t="s">
        <v>74</v>
      </c>
      <c r="AC24" t="s">
        <v>483</v>
      </c>
      <c r="AD24" t="s">
        <v>483</v>
      </c>
      <c r="AE24" t="s">
        <v>484</v>
      </c>
      <c r="AF24" t="s">
        <v>74</v>
      </c>
      <c r="AG24">
        <v>47</v>
      </c>
      <c r="AH24">
        <v>59</v>
      </c>
      <c r="AI24">
        <v>71</v>
      </c>
      <c r="AJ24">
        <v>6</v>
      </c>
      <c r="AK24">
        <v>56</v>
      </c>
      <c r="AL24" t="s">
        <v>485</v>
      </c>
      <c r="AM24" t="s">
        <v>486</v>
      </c>
      <c r="AN24" t="s">
        <v>487</v>
      </c>
      <c r="AO24" t="s">
        <v>488</v>
      </c>
      <c r="AP24" t="s">
        <v>74</v>
      </c>
      <c r="AQ24" t="s">
        <v>74</v>
      </c>
      <c r="AR24" t="s">
        <v>476</v>
      </c>
      <c r="AS24" t="s">
        <v>489</v>
      </c>
      <c r="AT24" t="s">
        <v>97</v>
      </c>
      <c r="AU24">
        <v>2010</v>
      </c>
      <c r="AV24">
        <v>112</v>
      </c>
      <c r="AW24">
        <v>4</v>
      </c>
      <c r="AX24" t="s">
        <v>74</v>
      </c>
      <c r="AY24" t="s">
        <v>74</v>
      </c>
      <c r="AZ24" t="s">
        <v>74</v>
      </c>
      <c r="BA24" t="s">
        <v>74</v>
      </c>
      <c r="BB24">
        <v>683</v>
      </c>
      <c r="BC24">
        <v>695</v>
      </c>
      <c r="BD24" t="s">
        <v>74</v>
      </c>
      <c r="BE24" t="s">
        <v>490</v>
      </c>
      <c r="BF24" t="str">
        <f>HYPERLINK("http://dx.doi.org/10.1525/cond.2010.090221","http://dx.doi.org/10.1525/cond.2010.090221")</f>
        <v>http://dx.doi.org/10.1525/cond.2010.090221</v>
      </c>
      <c r="BG24" t="s">
        <v>74</v>
      </c>
      <c r="BH24" t="s">
        <v>74</v>
      </c>
      <c r="BI24">
        <v>13</v>
      </c>
      <c r="BJ24" t="s">
        <v>491</v>
      </c>
      <c r="BK24" t="s">
        <v>100</v>
      </c>
      <c r="BL24" t="s">
        <v>492</v>
      </c>
      <c r="BM24" t="s">
        <v>493</v>
      </c>
      <c r="BN24" t="s">
        <v>74</v>
      </c>
      <c r="BO24" t="s">
        <v>394</v>
      </c>
      <c r="BP24" t="s">
        <v>74</v>
      </c>
      <c r="BQ24" t="s">
        <v>74</v>
      </c>
      <c r="BR24" t="s">
        <v>104</v>
      </c>
      <c r="BS24" t="s">
        <v>494</v>
      </c>
      <c r="BT24" t="str">
        <f>HYPERLINK("https%3A%2F%2Fwww.webofscience.com%2Fwos%2Fwoscc%2Ffull-record%2FWOS:000285727700007","View Full Record in Web of Science")</f>
        <v>View Full Record in Web of Science</v>
      </c>
    </row>
    <row r="25" spans="1:72" x14ac:dyDescent="0.15">
      <c r="A25" t="s">
        <v>72</v>
      </c>
      <c r="B25" t="s">
        <v>495</v>
      </c>
      <c r="C25" t="s">
        <v>74</v>
      </c>
      <c r="D25" t="s">
        <v>74</v>
      </c>
      <c r="E25" t="s">
        <v>74</v>
      </c>
      <c r="F25" t="s">
        <v>496</v>
      </c>
      <c r="G25" t="s">
        <v>74</v>
      </c>
      <c r="H25" t="s">
        <v>74</v>
      </c>
      <c r="I25" t="s">
        <v>497</v>
      </c>
      <c r="J25" t="s">
        <v>498</v>
      </c>
      <c r="K25" t="s">
        <v>74</v>
      </c>
      <c r="L25" t="s">
        <v>74</v>
      </c>
      <c r="M25" t="s">
        <v>78</v>
      </c>
      <c r="N25" t="s">
        <v>79</v>
      </c>
      <c r="O25" t="s">
        <v>74</v>
      </c>
      <c r="P25" t="s">
        <v>74</v>
      </c>
      <c r="Q25" t="s">
        <v>74</v>
      </c>
      <c r="R25" t="s">
        <v>74</v>
      </c>
      <c r="S25" t="s">
        <v>74</v>
      </c>
      <c r="T25" t="s">
        <v>74</v>
      </c>
      <c r="U25" t="s">
        <v>499</v>
      </c>
      <c r="V25" t="s">
        <v>500</v>
      </c>
      <c r="W25" t="s">
        <v>501</v>
      </c>
      <c r="X25" t="s">
        <v>502</v>
      </c>
      <c r="Y25" t="s">
        <v>503</v>
      </c>
      <c r="Z25" t="s">
        <v>74</v>
      </c>
      <c r="AA25" t="s">
        <v>504</v>
      </c>
      <c r="AB25" t="s">
        <v>505</v>
      </c>
      <c r="AC25" t="s">
        <v>506</v>
      </c>
      <c r="AD25" t="s">
        <v>507</v>
      </c>
      <c r="AE25" t="s">
        <v>508</v>
      </c>
      <c r="AF25" t="s">
        <v>74</v>
      </c>
      <c r="AG25">
        <v>61</v>
      </c>
      <c r="AH25">
        <v>14</v>
      </c>
      <c r="AI25">
        <v>15</v>
      </c>
      <c r="AJ25">
        <v>0</v>
      </c>
      <c r="AK25">
        <v>6</v>
      </c>
      <c r="AL25" t="s">
        <v>509</v>
      </c>
      <c r="AM25" t="s">
        <v>510</v>
      </c>
      <c r="AN25" t="s">
        <v>511</v>
      </c>
      <c r="AO25" t="s">
        <v>512</v>
      </c>
      <c r="AP25" t="s">
        <v>74</v>
      </c>
      <c r="AQ25" t="s">
        <v>74</v>
      </c>
      <c r="AR25" t="s">
        <v>513</v>
      </c>
      <c r="AS25" t="s">
        <v>514</v>
      </c>
      <c r="AT25" t="s">
        <v>97</v>
      </c>
      <c r="AU25">
        <v>2010</v>
      </c>
      <c r="AV25">
        <v>25</v>
      </c>
      <c r="AW25">
        <v>2</v>
      </c>
      <c r="AX25" t="s">
        <v>74</v>
      </c>
      <c r="AY25" t="s">
        <v>74</v>
      </c>
      <c r="AZ25" t="s">
        <v>74</v>
      </c>
      <c r="BA25" t="s">
        <v>74</v>
      </c>
      <c r="BB25">
        <v>417</v>
      </c>
      <c r="BC25">
        <v>429</v>
      </c>
      <c r="BD25" t="s">
        <v>74</v>
      </c>
      <c r="BE25" t="s">
        <v>74</v>
      </c>
      <c r="BF25" t="s">
        <v>74</v>
      </c>
      <c r="BG25" t="s">
        <v>74</v>
      </c>
      <c r="BH25" t="s">
        <v>74</v>
      </c>
      <c r="BI25">
        <v>13</v>
      </c>
      <c r="BJ25" t="s">
        <v>515</v>
      </c>
      <c r="BK25" t="s">
        <v>100</v>
      </c>
      <c r="BL25" t="s">
        <v>515</v>
      </c>
      <c r="BM25" t="s">
        <v>516</v>
      </c>
      <c r="BN25" t="s">
        <v>74</v>
      </c>
      <c r="BO25" t="s">
        <v>74</v>
      </c>
      <c r="BP25" t="s">
        <v>74</v>
      </c>
      <c r="BQ25" t="s">
        <v>74</v>
      </c>
      <c r="BR25" t="s">
        <v>104</v>
      </c>
      <c r="BS25" t="s">
        <v>517</v>
      </c>
      <c r="BT25" t="str">
        <f>HYPERLINK("https%3A%2F%2Fwww.webofscience.com%2Fwos%2Fwoscc%2Ffull-record%2FWOS:000284516100013","View Full Record in Web of Science")</f>
        <v>View Full Record in Web of Science</v>
      </c>
    </row>
    <row r="26" spans="1:72" x14ac:dyDescent="0.15">
      <c r="A26" t="s">
        <v>72</v>
      </c>
      <c r="B26" t="s">
        <v>518</v>
      </c>
      <c r="C26" t="s">
        <v>74</v>
      </c>
      <c r="D26" t="s">
        <v>74</v>
      </c>
      <c r="E26" t="s">
        <v>74</v>
      </c>
      <c r="F26" t="s">
        <v>519</v>
      </c>
      <c r="G26" t="s">
        <v>74</v>
      </c>
      <c r="H26" t="s">
        <v>74</v>
      </c>
      <c r="I26" t="s">
        <v>520</v>
      </c>
      <c r="J26" t="s">
        <v>498</v>
      </c>
      <c r="K26" t="s">
        <v>74</v>
      </c>
      <c r="L26" t="s">
        <v>74</v>
      </c>
      <c r="M26" t="s">
        <v>78</v>
      </c>
      <c r="N26" t="s">
        <v>79</v>
      </c>
      <c r="O26" t="s">
        <v>74</v>
      </c>
      <c r="P26" t="s">
        <v>74</v>
      </c>
      <c r="Q26" t="s">
        <v>74</v>
      </c>
      <c r="R26" t="s">
        <v>74</v>
      </c>
      <c r="S26" t="s">
        <v>74</v>
      </c>
      <c r="T26" t="s">
        <v>74</v>
      </c>
      <c r="U26" t="s">
        <v>521</v>
      </c>
      <c r="V26" t="s">
        <v>522</v>
      </c>
      <c r="W26" t="s">
        <v>523</v>
      </c>
      <c r="X26" t="s">
        <v>524</v>
      </c>
      <c r="Y26" t="s">
        <v>525</v>
      </c>
      <c r="Z26" t="s">
        <v>74</v>
      </c>
      <c r="AA26" t="s">
        <v>526</v>
      </c>
      <c r="AB26" t="s">
        <v>527</v>
      </c>
      <c r="AC26" t="s">
        <v>528</v>
      </c>
      <c r="AD26" t="s">
        <v>529</v>
      </c>
      <c r="AE26" t="s">
        <v>530</v>
      </c>
      <c r="AF26" t="s">
        <v>74</v>
      </c>
      <c r="AG26">
        <v>35</v>
      </c>
      <c r="AH26">
        <v>35</v>
      </c>
      <c r="AI26">
        <v>37</v>
      </c>
      <c r="AJ26">
        <v>1</v>
      </c>
      <c r="AK26">
        <v>18</v>
      </c>
      <c r="AL26" t="s">
        <v>119</v>
      </c>
      <c r="AM26" t="s">
        <v>120</v>
      </c>
      <c r="AN26" t="s">
        <v>121</v>
      </c>
      <c r="AO26" t="s">
        <v>512</v>
      </c>
      <c r="AP26" t="s">
        <v>531</v>
      </c>
      <c r="AQ26" t="s">
        <v>74</v>
      </c>
      <c r="AR26" t="s">
        <v>513</v>
      </c>
      <c r="AS26" t="s">
        <v>514</v>
      </c>
      <c r="AT26" t="s">
        <v>97</v>
      </c>
      <c r="AU26">
        <v>2010</v>
      </c>
      <c r="AV26">
        <v>25</v>
      </c>
      <c r="AW26">
        <v>2</v>
      </c>
      <c r="AX26" t="s">
        <v>74</v>
      </c>
      <c r="AY26" t="s">
        <v>74</v>
      </c>
      <c r="AZ26" t="s">
        <v>74</v>
      </c>
      <c r="BA26" t="s">
        <v>74</v>
      </c>
      <c r="BB26">
        <v>431</v>
      </c>
      <c r="BC26">
        <v>443</v>
      </c>
      <c r="BD26" t="s">
        <v>74</v>
      </c>
      <c r="BE26" t="s">
        <v>74</v>
      </c>
      <c r="BF26" t="s">
        <v>74</v>
      </c>
      <c r="BG26" t="s">
        <v>74</v>
      </c>
      <c r="BH26" t="s">
        <v>74</v>
      </c>
      <c r="BI26">
        <v>13</v>
      </c>
      <c r="BJ26" t="s">
        <v>515</v>
      </c>
      <c r="BK26" t="s">
        <v>100</v>
      </c>
      <c r="BL26" t="s">
        <v>515</v>
      </c>
      <c r="BM26" t="s">
        <v>516</v>
      </c>
      <c r="BN26" t="s">
        <v>74</v>
      </c>
      <c r="BO26" t="s">
        <v>74</v>
      </c>
      <c r="BP26" t="s">
        <v>74</v>
      </c>
      <c r="BQ26" t="s">
        <v>74</v>
      </c>
      <c r="BR26" t="s">
        <v>104</v>
      </c>
      <c r="BS26" t="s">
        <v>532</v>
      </c>
      <c r="BT26" t="str">
        <f>HYPERLINK("https%3A%2F%2Fwww.webofscience.com%2Fwos%2Fwoscc%2Ffull-record%2FWOS:000284516100014","View Full Record in Web of Science")</f>
        <v>View Full Record in Web of Science</v>
      </c>
    </row>
    <row r="27" spans="1:72" x14ac:dyDescent="0.15">
      <c r="A27" t="s">
        <v>72</v>
      </c>
      <c r="B27" t="s">
        <v>533</v>
      </c>
      <c r="C27" t="s">
        <v>74</v>
      </c>
      <c r="D27" t="s">
        <v>74</v>
      </c>
      <c r="E27" t="s">
        <v>74</v>
      </c>
      <c r="F27" t="s">
        <v>534</v>
      </c>
      <c r="G27" t="s">
        <v>74</v>
      </c>
      <c r="H27" t="s">
        <v>74</v>
      </c>
      <c r="I27" t="s">
        <v>535</v>
      </c>
      <c r="J27" t="s">
        <v>536</v>
      </c>
      <c r="K27" t="s">
        <v>74</v>
      </c>
      <c r="L27" t="s">
        <v>74</v>
      </c>
      <c r="M27" t="s">
        <v>78</v>
      </c>
      <c r="N27" t="s">
        <v>79</v>
      </c>
      <c r="O27" t="s">
        <v>74</v>
      </c>
      <c r="P27" t="s">
        <v>74</v>
      </c>
      <c r="Q27" t="s">
        <v>74</v>
      </c>
      <c r="R27" t="s">
        <v>74</v>
      </c>
      <c r="S27" t="s">
        <v>74</v>
      </c>
      <c r="T27" t="s">
        <v>537</v>
      </c>
      <c r="U27" t="s">
        <v>538</v>
      </c>
      <c r="V27" t="s">
        <v>539</v>
      </c>
      <c r="W27" t="s">
        <v>540</v>
      </c>
      <c r="X27" t="s">
        <v>541</v>
      </c>
      <c r="Y27" t="s">
        <v>542</v>
      </c>
      <c r="Z27" t="s">
        <v>543</v>
      </c>
      <c r="AA27" t="s">
        <v>544</v>
      </c>
      <c r="AB27" t="s">
        <v>545</v>
      </c>
      <c r="AC27" t="s">
        <v>546</v>
      </c>
      <c r="AD27" t="s">
        <v>547</v>
      </c>
      <c r="AE27" t="s">
        <v>548</v>
      </c>
      <c r="AF27" t="s">
        <v>74</v>
      </c>
      <c r="AG27">
        <v>35</v>
      </c>
      <c r="AH27">
        <v>40</v>
      </c>
      <c r="AI27">
        <v>43</v>
      </c>
      <c r="AJ27">
        <v>0</v>
      </c>
      <c r="AK27">
        <v>22</v>
      </c>
      <c r="AL27" t="s">
        <v>549</v>
      </c>
      <c r="AM27" t="s">
        <v>550</v>
      </c>
      <c r="AN27" t="s">
        <v>551</v>
      </c>
      <c r="AO27" t="s">
        <v>552</v>
      </c>
      <c r="AP27" t="s">
        <v>74</v>
      </c>
      <c r="AQ27" t="s">
        <v>74</v>
      </c>
      <c r="AR27" t="s">
        <v>553</v>
      </c>
      <c r="AS27" t="s">
        <v>554</v>
      </c>
      <c r="AT27" t="s">
        <v>555</v>
      </c>
      <c r="AU27">
        <v>2010</v>
      </c>
      <c r="AV27">
        <v>299</v>
      </c>
      <c r="AW27" t="s">
        <v>556</v>
      </c>
      <c r="AX27" t="s">
        <v>74</v>
      </c>
      <c r="AY27" t="s">
        <v>74</v>
      </c>
      <c r="AZ27" t="s">
        <v>74</v>
      </c>
      <c r="BA27" t="s">
        <v>74</v>
      </c>
      <c r="BB27">
        <v>352</v>
      </c>
      <c r="BC27">
        <v>358</v>
      </c>
      <c r="BD27" t="s">
        <v>74</v>
      </c>
      <c r="BE27" t="s">
        <v>557</v>
      </c>
      <c r="BF27" t="str">
        <f>HYPERLINK("http://dx.doi.org/10.1016/j.epsl.2010.09.015","http://dx.doi.org/10.1016/j.epsl.2010.09.015")</f>
        <v>http://dx.doi.org/10.1016/j.epsl.2010.09.015</v>
      </c>
      <c r="BG27" t="s">
        <v>74</v>
      </c>
      <c r="BH27" t="s">
        <v>74</v>
      </c>
      <c r="BI27">
        <v>7</v>
      </c>
      <c r="BJ27" t="s">
        <v>558</v>
      </c>
      <c r="BK27" t="s">
        <v>100</v>
      </c>
      <c r="BL27" t="s">
        <v>558</v>
      </c>
      <c r="BM27" t="s">
        <v>559</v>
      </c>
      <c r="BN27" t="s">
        <v>74</v>
      </c>
      <c r="BO27" t="s">
        <v>74</v>
      </c>
      <c r="BP27" t="s">
        <v>74</v>
      </c>
      <c r="BQ27" t="s">
        <v>74</v>
      </c>
      <c r="BR27" t="s">
        <v>104</v>
      </c>
      <c r="BS27" t="s">
        <v>560</v>
      </c>
      <c r="BT27" t="str">
        <f>HYPERLINK("https%3A%2F%2Fwww.webofscience.com%2Fwos%2Fwoscc%2Ffull-record%2FWOS:000284751200010","View Full Record in Web of Science")</f>
        <v>View Full Record in Web of Science</v>
      </c>
    </row>
    <row r="28" spans="1:72" x14ac:dyDescent="0.15">
      <c r="A28" t="s">
        <v>72</v>
      </c>
      <c r="B28" t="s">
        <v>561</v>
      </c>
      <c r="C28" t="s">
        <v>74</v>
      </c>
      <c r="D28" t="s">
        <v>74</v>
      </c>
      <c r="E28" t="s">
        <v>74</v>
      </c>
      <c r="F28" t="s">
        <v>562</v>
      </c>
      <c r="G28" t="s">
        <v>74</v>
      </c>
      <c r="H28" t="s">
        <v>74</v>
      </c>
      <c r="I28" t="s">
        <v>563</v>
      </c>
      <c r="J28" t="s">
        <v>564</v>
      </c>
      <c r="K28" t="s">
        <v>74</v>
      </c>
      <c r="L28" t="s">
        <v>74</v>
      </c>
      <c r="M28" t="s">
        <v>78</v>
      </c>
      <c r="N28" t="s">
        <v>79</v>
      </c>
      <c r="O28" t="s">
        <v>74</v>
      </c>
      <c r="P28" t="s">
        <v>74</v>
      </c>
      <c r="Q28" t="s">
        <v>74</v>
      </c>
      <c r="R28" t="s">
        <v>74</v>
      </c>
      <c r="S28" t="s">
        <v>74</v>
      </c>
      <c r="T28" t="s">
        <v>565</v>
      </c>
      <c r="U28" t="s">
        <v>566</v>
      </c>
      <c r="V28" t="s">
        <v>567</v>
      </c>
      <c r="W28" t="s">
        <v>568</v>
      </c>
      <c r="X28" t="s">
        <v>569</v>
      </c>
      <c r="Y28" t="s">
        <v>570</v>
      </c>
      <c r="Z28" t="s">
        <v>571</v>
      </c>
      <c r="AA28" t="s">
        <v>572</v>
      </c>
      <c r="AB28" t="s">
        <v>573</v>
      </c>
      <c r="AC28" t="s">
        <v>574</v>
      </c>
      <c r="AD28" t="s">
        <v>574</v>
      </c>
      <c r="AE28" t="s">
        <v>575</v>
      </c>
      <c r="AF28" t="s">
        <v>74</v>
      </c>
      <c r="AG28">
        <v>88</v>
      </c>
      <c r="AH28">
        <v>28</v>
      </c>
      <c r="AI28">
        <v>31</v>
      </c>
      <c r="AJ28">
        <v>1</v>
      </c>
      <c r="AK28">
        <v>47</v>
      </c>
      <c r="AL28" t="s">
        <v>464</v>
      </c>
      <c r="AM28" t="s">
        <v>576</v>
      </c>
      <c r="AN28" t="s">
        <v>577</v>
      </c>
      <c r="AO28" t="s">
        <v>578</v>
      </c>
      <c r="AP28" t="s">
        <v>579</v>
      </c>
      <c r="AQ28" t="s">
        <v>74</v>
      </c>
      <c r="AR28" t="s">
        <v>580</v>
      </c>
      <c r="AS28" t="s">
        <v>581</v>
      </c>
      <c r="AT28" t="s">
        <v>97</v>
      </c>
      <c r="AU28">
        <v>2010</v>
      </c>
      <c r="AV28">
        <v>24</v>
      </c>
      <c r="AW28">
        <v>6</v>
      </c>
      <c r="AX28" t="s">
        <v>74</v>
      </c>
      <c r="AY28" t="s">
        <v>74</v>
      </c>
      <c r="AZ28" t="s">
        <v>582</v>
      </c>
      <c r="BA28" t="s">
        <v>74</v>
      </c>
      <c r="BB28">
        <v>1365</v>
      </c>
      <c r="BC28">
        <v>1380</v>
      </c>
      <c r="BD28" t="s">
        <v>74</v>
      </c>
      <c r="BE28" t="s">
        <v>583</v>
      </c>
      <c r="BF28" t="str">
        <f>HYPERLINK("http://dx.doi.org/10.1007/s10682-010-9405-2","http://dx.doi.org/10.1007/s10682-010-9405-2")</f>
        <v>http://dx.doi.org/10.1007/s10682-010-9405-2</v>
      </c>
      <c r="BG28" t="s">
        <v>74</v>
      </c>
      <c r="BH28" t="s">
        <v>74</v>
      </c>
      <c r="BI28">
        <v>16</v>
      </c>
      <c r="BJ28" t="s">
        <v>584</v>
      </c>
      <c r="BK28" t="s">
        <v>100</v>
      </c>
      <c r="BL28" t="s">
        <v>585</v>
      </c>
      <c r="BM28" t="s">
        <v>586</v>
      </c>
      <c r="BN28" t="s">
        <v>74</v>
      </c>
      <c r="BO28" t="s">
        <v>74</v>
      </c>
      <c r="BP28" t="s">
        <v>74</v>
      </c>
      <c r="BQ28" t="s">
        <v>74</v>
      </c>
      <c r="BR28" t="s">
        <v>104</v>
      </c>
      <c r="BS28" t="s">
        <v>587</v>
      </c>
      <c r="BT28" t="str">
        <f>HYPERLINK("https%3A%2F%2Fwww.webofscience.com%2Fwos%2Fwoscc%2Ffull-record%2FWOS:000287599900007","View Full Record in Web of Science")</f>
        <v>View Full Record in Web of Science</v>
      </c>
    </row>
    <row r="29" spans="1:72" x14ac:dyDescent="0.15">
      <c r="A29" t="s">
        <v>72</v>
      </c>
      <c r="B29" t="s">
        <v>588</v>
      </c>
      <c r="C29" t="s">
        <v>74</v>
      </c>
      <c r="D29" t="s">
        <v>74</v>
      </c>
      <c r="E29" t="s">
        <v>74</v>
      </c>
      <c r="F29" t="s">
        <v>589</v>
      </c>
      <c r="G29" t="s">
        <v>74</v>
      </c>
      <c r="H29" t="s">
        <v>74</v>
      </c>
      <c r="I29" t="s">
        <v>590</v>
      </c>
      <c r="J29" t="s">
        <v>591</v>
      </c>
      <c r="K29" t="s">
        <v>74</v>
      </c>
      <c r="L29" t="s">
        <v>74</v>
      </c>
      <c r="M29" t="s">
        <v>78</v>
      </c>
      <c r="N29" t="s">
        <v>79</v>
      </c>
      <c r="O29" t="s">
        <v>74</v>
      </c>
      <c r="P29" t="s">
        <v>74</v>
      </c>
      <c r="Q29" t="s">
        <v>74</v>
      </c>
      <c r="R29" t="s">
        <v>74</v>
      </c>
      <c r="S29" t="s">
        <v>74</v>
      </c>
      <c r="T29" t="s">
        <v>74</v>
      </c>
      <c r="U29" t="s">
        <v>592</v>
      </c>
      <c r="V29" t="s">
        <v>593</v>
      </c>
      <c r="W29" t="s">
        <v>594</v>
      </c>
      <c r="X29" t="s">
        <v>595</v>
      </c>
      <c r="Y29" t="s">
        <v>596</v>
      </c>
      <c r="Z29" t="s">
        <v>597</v>
      </c>
      <c r="AA29" t="s">
        <v>598</v>
      </c>
      <c r="AB29" t="s">
        <v>599</v>
      </c>
      <c r="AC29" t="s">
        <v>600</v>
      </c>
      <c r="AD29" t="s">
        <v>601</v>
      </c>
      <c r="AE29" t="s">
        <v>602</v>
      </c>
      <c r="AF29" t="s">
        <v>74</v>
      </c>
      <c r="AG29">
        <v>35</v>
      </c>
      <c r="AH29">
        <v>32</v>
      </c>
      <c r="AI29">
        <v>34</v>
      </c>
      <c r="AJ29">
        <v>0</v>
      </c>
      <c r="AK29">
        <v>12</v>
      </c>
      <c r="AL29" t="s">
        <v>464</v>
      </c>
      <c r="AM29" t="s">
        <v>576</v>
      </c>
      <c r="AN29" t="s">
        <v>577</v>
      </c>
      <c r="AO29" t="s">
        <v>603</v>
      </c>
      <c r="AP29" t="s">
        <v>604</v>
      </c>
      <c r="AQ29" t="s">
        <v>74</v>
      </c>
      <c r="AR29" t="s">
        <v>605</v>
      </c>
      <c r="AS29" t="s">
        <v>606</v>
      </c>
      <c r="AT29" t="s">
        <v>97</v>
      </c>
      <c r="AU29">
        <v>2010</v>
      </c>
      <c r="AV29">
        <v>55</v>
      </c>
      <c r="AW29">
        <v>6</v>
      </c>
      <c r="AX29" t="s">
        <v>74</v>
      </c>
      <c r="AY29" t="s">
        <v>74</v>
      </c>
      <c r="AZ29" t="s">
        <v>74</v>
      </c>
      <c r="BA29" t="s">
        <v>74</v>
      </c>
      <c r="BB29">
        <v>576</v>
      </c>
      <c r="BC29">
        <v>581</v>
      </c>
      <c r="BD29" t="s">
        <v>74</v>
      </c>
      <c r="BE29" t="s">
        <v>607</v>
      </c>
      <c r="BF29" t="str">
        <f>HYPERLINK("http://dx.doi.org/10.1007/s12223-010-0092-8","http://dx.doi.org/10.1007/s12223-010-0092-8")</f>
        <v>http://dx.doi.org/10.1007/s12223-010-0092-8</v>
      </c>
      <c r="BG29" t="s">
        <v>74</v>
      </c>
      <c r="BH29" t="s">
        <v>74</v>
      </c>
      <c r="BI29">
        <v>6</v>
      </c>
      <c r="BJ29" t="s">
        <v>608</v>
      </c>
      <c r="BK29" t="s">
        <v>100</v>
      </c>
      <c r="BL29" t="s">
        <v>608</v>
      </c>
      <c r="BM29" t="s">
        <v>609</v>
      </c>
      <c r="BN29">
        <v>21253901</v>
      </c>
      <c r="BO29" t="s">
        <v>74</v>
      </c>
      <c r="BP29" t="s">
        <v>74</v>
      </c>
      <c r="BQ29" t="s">
        <v>74</v>
      </c>
      <c r="BR29" t="s">
        <v>104</v>
      </c>
      <c r="BS29" t="s">
        <v>610</v>
      </c>
      <c r="BT29" t="str">
        <f>HYPERLINK("https%3A%2F%2Fwww.webofscience.com%2Fwos%2Fwoscc%2Ffull-record%2FWOS:000286466300005","View Full Record in Web of Science")</f>
        <v>View Full Record in Web of Science</v>
      </c>
    </row>
    <row r="30" spans="1:72" x14ac:dyDescent="0.15">
      <c r="A30" t="s">
        <v>72</v>
      </c>
      <c r="B30" t="s">
        <v>611</v>
      </c>
      <c r="C30" t="s">
        <v>74</v>
      </c>
      <c r="D30" t="s">
        <v>74</v>
      </c>
      <c r="E30" t="s">
        <v>74</v>
      </c>
      <c r="F30" t="s">
        <v>612</v>
      </c>
      <c r="G30" t="s">
        <v>74</v>
      </c>
      <c r="H30" t="s">
        <v>74</v>
      </c>
      <c r="I30" t="s">
        <v>613</v>
      </c>
      <c r="J30" t="s">
        <v>614</v>
      </c>
      <c r="K30" t="s">
        <v>74</v>
      </c>
      <c r="L30" t="s">
        <v>74</v>
      </c>
      <c r="M30" t="s">
        <v>78</v>
      </c>
      <c r="N30" t="s">
        <v>79</v>
      </c>
      <c r="O30" t="s">
        <v>74</v>
      </c>
      <c r="P30" t="s">
        <v>74</v>
      </c>
      <c r="Q30" t="s">
        <v>74</v>
      </c>
      <c r="R30" t="s">
        <v>74</v>
      </c>
      <c r="S30" t="s">
        <v>74</v>
      </c>
      <c r="T30" t="s">
        <v>74</v>
      </c>
      <c r="U30" t="s">
        <v>615</v>
      </c>
      <c r="V30" t="s">
        <v>616</v>
      </c>
      <c r="W30" t="s">
        <v>617</v>
      </c>
      <c r="X30" t="s">
        <v>618</v>
      </c>
      <c r="Y30" t="s">
        <v>619</v>
      </c>
      <c r="Z30" t="s">
        <v>620</v>
      </c>
      <c r="AA30" t="s">
        <v>621</v>
      </c>
      <c r="AB30" t="s">
        <v>622</v>
      </c>
      <c r="AC30" t="s">
        <v>623</v>
      </c>
      <c r="AD30" t="s">
        <v>623</v>
      </c>
      <c r="AE30" t="s">
        <v>624</v>
      </c>
      <c r="AF30" t="s">
        <v>74</v>
      </c>
      <c r="AG30">
        <v>52</v>
      </c>
      <c r="AH30">
        <v>87</v>
      </c>
      <c r="AI30">
        <v>90</v>
      </c>
      <c r="AJ30">
        <v>0</v>
      </c>
      <c r="AK30">
        <v>22</v>
      </c>
      <c r="AL30" t="s">
        <v>264</v>
      </c>
      <c r="AM30" t="s">
        <v>265</v>
      </c>
      <c r="AN30" t="s">
        <v>266</v>
      </c>
      <c r="AO30" t="s">
        <v>625</v>
      </c>
      <c r="AP30" t="s">
        <v>626</v>
      </c>
      <c r="AQ30" t="s">
        <v>74</v>
      </c>
      <c r="AR30" t="s">
        <v>627</v>
      </c>
      <c r="AS30" t="s">
        <v>628</v>
      </c>
      <c r="AT30" t="s">
        <v>555</v>
      </c>
      <c r="AU30">
        <v>2010</v>
      </c>
      <c r="AV30">
        <v>74</v>
      </c>
      <c r="AW30">
        <v>21</v>
      </c>
      <c r="AX30" t="s">
        <v>74</v>
      </c>
      <c r="AY30" t="s">
        <v>74</v>
      </c>
      <c r="AZ30" t="s">
        <v>74</v>
      </c>
      <c r="BA30" t="s">
        <v>74</v>
      </c>
      <c r="BB30">
        <v>6218</v>
      </c>
      <c r="BC30">
        <v>6231</v>
      </c>
      <c r="BD30" t="s">
        <v>74</v>
      </c>
      <c r="BE30" t="s">
        <v>629</v>
      </c>
      <c r="BF30" t="str">
        <f>HYPERLINK("http://dx.doi.org/10.1016/j.gca.2010.07.028","http://dx.doi.org/10.1016/j.gca.2010.07.028")</f>
        <v>http://dx.doi.org/10.1016/j.gca.2010.07.028</v>
      </c>
      <c r="BG30" t="s">
        <v>74</v>
      </c>
      <c r="BH30" t="s">
        <v>74</v>
      </c>
      <c r="BI30">
        <v>14</v>
      </c>
      <c r="BJ30" t="s">
        <v>558</v>
      </c>
      <c r="BK30" t="s">
        <v>100</v>
      </c>
      <c r="BL30" t="s">
        <v>558</v>
      </c>
      <c r="BM30" t="s">
        <v>630</v>
      </c>
      <c r="BN30" t="s">
        <v>74</v>
      </c>
      <c r="BO30" t="s">
        <v>631</v>
      </c>
      <c r="BP30" t="s">
        <v>74</v>
      </c>
      <c r="BQ30" t="s">
        <v>74</v>
      </c>
      <c r="BR30" t="s">
        <v>104</v>
      </c>
      <c r="BS30" t="s">
        <v>632</v>
      </c>
      <c r="BT30" t="str">
        <f>HYPERLINK("https%3A%2F%2Fwww.webofscience.com%2Fwos%2Fwoscc%2Ffull-record%2FWOS:000282499700016","View Full Record in Web of Science")</f>
        <v>View Full Record in Web of Science</v>
      </c>
    </row>
    <row r="31" spans="1:72" x14ac:dyDescent="0.15">
      <c r="A31" t="s">
        <v>72</v>
      </c>
      <c r="B31" t="s">
        <v>633</v>
      </c>
      <c r="C31" t="s">
        <v>74</v>
      </c>
      <c r="D31" t="s">
        <v>74</v>
      </c>
      <c r="E31" t="s">
        <v>74</v>
      </c>
      <c r="F31" t="s">
        <v>634</v>
      </c>
      <c r="G31" t="s">
        <v>74</v>
      </c>
      <c r="H31" t="s">
        <v>74</v>
      </c>
      <c r="I31" t="s">
        <v>635</v>
      </c>
      <c r="J31" t="s">
        <v>636</v>
      </c>
      <c r="K31" t="s">
        <v>74</v>
      </c>
      <c r="L31" t="s">
        <v>74</v>
      </c>
      <c r="M31" t="s">
        <v>78</v>
      </c>
      <c r="N31" t="s">
        <v>79</v>
      </c>
      <c r="O31" t="s">
        <v>74</v>
      </c>
      <c r="P31" t="s">
        <v>74</v>
      </c>
      <c r="Q31" t="s">
        <v>74</v>
      </c>
      <c r="R31" t="s">
        <v>74</v>
      </c>
      <c r="S31" t="s">
        <v>74</v>
      </c>
      <c r="T31" t="s">
        <v>637</v>
      </c>
      <c r="U31" t="s">
        <v>638</v>
      </c>
      <c r="V31" t="s">
        <v>639</v>
      </c>
      <c r="W31" t="s">
        <v>640</v>
      </c>
      <c r="X31" t="s">
        <v>641</v>
      </c>
      <c r="Y31" t="s">
        <v>642</v>
      </c>
      <c r="Z31" t="s">
        <v>643</v>
      </c>
      <c r="AA31" t="s">
        <v>74</v>
      </c>
      <c r="AB31" t="s">
        <v>644</v>
      </c>
      <c r="AC31" t="s">
        <v>645</v>
      </c>
      <c r="AD31" t="s">
        <v>646</v>
      </c>
      <c r="AE31" t="s">
        <v>647</v>
      </c>
      <c r="AF31" t="s">
        <v>74</v>
      </c>
      <c r="AG31">
        <v>88</v>
      </c>
      <c r="AH31">
        <v>55</v>
      </c>
      <c r="AI31">
        <v>57</v>
      </c>
      <c r="AJ31">
        <v>0</v>
      </c>
      <c r="AK31">
        <v>16</v>
      </c>
      <c r="AL31" t="s">
        <v>648</v>
      </c>
      <c r="AM31" t="s">
        <v>265</v>
      </c>
      <c r="AN31" t="s">
        <v>649</v>
      </c>
      <c r="AO31" t="s">
        <v>650</v>
      </c>
      <c r="AP31" t="s">
        <v>651</v>
      </c>
      <c r="AQ31" t="s">
        <v>74</v>
      </c>
      <c r="AR31" t="s">
        <v>652</v>
      </c>
      <c r="AS31" t="s">
        <v>653</v>
      </c>
      <c r="AT31" t="s">
        <v>97</v>
      </c>
      <c r="AU31">
        <v>2010</v>
      </c>
      <c r="AV31">
        <v>183</v>
      </c>
      <c r="AW31">
        <v>2</v>
      </c>
      <c r="AX31" t="s">
        <v>74</v>
      </c>
      <c r="AY31" t="s">
        <v>74</v>
      </c>
      <c r="AZ31" t="s">
        <v>74</v>
      </c>
      <c r="BA31" t="s">
        <v>74</v>
      </c>
      <c r="BB31">
        <v>587</v>
      </c>
      <c r="BC31">
        <v>600</v>
      </c>
      <c r="BD31" t="s">
        <v>74</v>
      </c>
      <c r="BE31" t="s">
        <v>654</v>
      </c>
      <c r="BF31" t="str">
        <f>HYPERLINK("http://dx.doi.org/10.1111/j.1365-246X.2010.04781.x","http://dx.doi.org/10.1111/j.1365-246X.2010.04781.x")</f>
        <v>http://dx.doi.org/10.1111/j.1365-246X.2010.04781.x</v>
      </c>
      <c r="BG31" t="s">
        <v>74</v>
      </c>
      <c r="BH31" t="s">
        <v>74</v>
      </c>
      <c r="BI31">
        <v>14</v>
      </c>
      <c r="BJ31" t="s">
        <v>558</v>
      </c>
      <c r="BK31" t="s">
        <v>100</v>
      </c>
      <c r="BL31" t="s">
        <v>558</v>
      </c>
      <c r="BM31" t="s">
        <v>655</v>
      </c>
      <c r="BN31" t="s">
        <v>74</v>
      </c>
      <c r="BO31" t="s">
        <v>123</v>
      </c>
      <c r="BP31" t="s">
        <v>74</v>
      </c>
      <c r="BQ31" t="s">
        <v>74</v>
      </c>
      <c r="BR31" t="s">
        <v>104</v>
      </c>
      <c r="BS31" t="s">
        <v>656</v>
      </c>
      <c r="BT31" t="str">
        <f>HYPERLINK("https%3A%2F%2Fwww.webofscience.com%2Fwos%2Fwoscc%2Ffull-record%2FWOS:000283172100007","View Full Record in Web of Science")</f>
        <v>View Full Record in Web of Science</v>
      </c>
    </row>
    <row r="32" spans="1:72" x14ac:dyDescent="0.15">
      <c r="A32" t="s">
        <v>72</v>
      </c>
      <c r="B32" t="s">
        <v>657</v>
      </c>
      <c r="C32" t="s">
        <v>74</v>
      </c>
      <c r="D32" t="s">
        <v>74</v>
      </c>
      <c r="E32" t="s">
        <v>74</v>
      </c>
      <c r="F32" t="s">
        <v>658</v>
      </c>
      <c r="G32" t="s">
        <v>74</v>
      </c>
      <c r="H32" t="s">
        <v>74</v>
      </c>
      <c r="I32" t="s">
        <v>659</v>
      </c>
      <c r="J32" t="s">
        <v>660</v>
      </c>
      <c r="K32" t="s">
        <v>74</v>
      </c>
      <c r="L32" t="s">
        <v>74</v>
      </c>
      <c r="M32" t="s">
        <v>78</v>
      </c>
      <c r="N32" t="s">
        <v>79</v>
      </c>
      <c r="O32" t="s">
        <v>74</v>
      </c>
      <c r="P32" t="s">
        <v>74</v>
      </c>
      <c r="Q32" t="s">
        <v>74</v>
      </c>
      <c r="R32" t="s">
        <v>74</v>
      </c>
      <c r="S32" t="s">
        <v>74</v>
      </c>
      <c r="T32" t="s">
        <v>661</v>
      </c>
      <c r="U32" t="s">
        <v>662</v>
      </c>
      <c r="V32" t="s">
        <v>663</v>
      </c>
      <c r="W32" t="s">
        <v>664</v>
      </c>
      <c r="X32" t="s">
        <v>665</v>
      </c>
      <c r="Y32" t="s">
        <v>666</v>
      </c>
      <c r="Z32" t="s">
        <v>667</v>
      </c>
      <c r="AA32" t="s">
        <v>668</v>
      </c>
      <c r="AB32" t="s">
        <v>669</v>
      </c>
      <c r="AC32" t="s">
        <v>670</v>
      </c>
      <c r="AD32" t="s">
        <v>671</v>
      </c>
      <c r="AE32" t="s">
        <v>672</v>
      </c>
      <c r="AF32" t="s">
        <v>74</v>
      </c>
      <c r="AG32">
        <v>57</v>
      </c>
      <c r="AH32">
        <v>117</v>
      </c>
      <c r="AI32">
        <v>133</v>
      </c>
      <c r="AJ32">
        <v>2</v>
      </c>
      <c r="AK32">
        <v>120</v>
      </c>
      <c r="AL32" t="s">
        <v>338</v>
      </c>
      <c r="AM32" t="s">
        <v>673</v>
      </c>
      <c r="AN32" t="s">
        <v>674</v>
      </c>
      <c r="AO32" t="s">
        <v>675</v>
      </c>
      <c r="AP32" t="s">
        <v>74</v>
      </c>
      <c r="AQ32" t="s">
        <v>74</v>
      </c>
      <c r="AR32" t="s">
        <v>676</v>
      </c>
      <c r="AS32" t="s">
        <v>677</v>
      </c>
      <c r="AT32" t="s">
        <v>97</v>
      </c>
      <c r="AU32">
        <v>2010</v>
      </c>
      <c r="AV32">
        <v>16</v>
      </c>
      <c r="AW32">
        <v>11</v>
      </c>
      <c r="AX32" t="s">
        <v>74</v>
      </c>
      <c r="AY32" t="s">
        <v>74</v>
      </c>
      <c r="AZ32" t="s">
        <v>74</v>
      </c>
      <c r="BA32" t="s">
        <v>74</v>
      </c>
      <c r="BB32">
        <v>3096</v>
      </c>
      <c r="BC32">
        <v>3110</v>
      </c>
      <c r="BD32" t="s">
        <v>74</v>
      </c>
      <c r="BE32" t="s">
        <v>678</v>
      </c>
      <c r="BF32" t="str">
        <f>HYPERLINK("http://dx.doi.org/10.1111/j.1365-2486.2010.02232.x","http://dx.doi.org/10.1111/j.1365-2486.2010.02232.x")</f>
        <v>http://dx.doi.org/10.1111/j.1365-2486.2010.02232.x</v>
      </c>
      <c r="BG32" t="s">
        <v>74</v>
      </c>
      <c r="BH32" t="s">
        <v>74</v>
      </c>
      <c r="BI32">
        <v>15</v>
      </c>
      <c r="BJ32" t="s">
        <v>679</v>
      </c>
      <c r="BK32" t="s">
        <v>100</v>
      </c>
      <c r="BL32" t="s">
        <v>680</v>
      </c>
      <c r="BM32" t="s">
        <v>681</v>
      </c>
      <c r="BN32" t="s">
        <v>74</v>
      </c>
      <c r="BO32" t="s">
        <v>134</v>
      </c>
      <c r="BP32" t="s">
        <v>74</v>
      </c>
      <c r="BQ32" t="s">
        <v>74</v>
      </c>
      <c r="BR32" t="s">
        <v>104</v>
      </c>
      <c r="BS32" t="s">
        <v>682</v>
      </c>
      <c r="BT32" t="str">
        <f>HYPERLINK("https%3A%2F%2Fwww.webofscience.com%2Fwos%2Fwoscc%2Ffull-record%2FWOS:000282375700016","View Full Record in Web of Science")</f>
        <v>View Full Record in Web of Science</v>
      </c>
    </row>
    <row r="33" spans="1:72" x14ac:dyDescent="0.15">
      <c r="A33" t="s">
        <v>72</v>
      </c>
      <c r="B33" t="s">
        <v>683</v>
      </c>
      <c r="C33" t="s">
        <v>74</v>
      </c>
      <c r="D33" t="s">
        <v>74</v>
      </c>
      <c r="E33" t="s">
        <v>74</v>
      </c>
      <c r="F33" t="s">
        <v>684</v>
      </c>
      <c r="G33" t="s">
        <v>74</v>
      </c>
      <c r="H33" t="s">
        <v>74</v>
      </c>
      <c r="I33" t="s">
        <v>685</v>
      </c>
      <c r="J33" t="s">
        <v>660</v>
      </c>
      <c r="K33" t="s">
        <v>74</v>
      </c>
      <c r="L33" t="s">
        <v>74</v>
      </c>
      <c r="M33" t="s">
        <v>78</v>
      </c>
      <c r="N33" t="s">
        <v>79</v>
      </c>
      <c r="O33" t="s">
        <v>74</v>
      </c>
      <c r="P33" t="s">
        <v>74</v>
      </c>
      <c r="Q33" t="s">
        <v>74</v>
      </c>
      <c r="R33" t="s">
        <v>74</v>
      </c>
      <c r="S33" t="s">
        <v>74</v>
      </c>
      <c r="T33" t="s">
        <v>686</v>
      </c>
      <c r="U33" t="s">
        <v>687</v>
      </c>
      <c r="V33" t="s">
        <v>688</v>
      </c>
      <c r="W33" t="s">
        <v>689</v>
      </c>
      <c r="X33" t="s">
        <v>690</v>
      </c>
      <c r="Y33" t="s">
        <v>691</v>
      </c>
      <c r="Z33" t="s">
        <v>692</v>
      </c>
      <c r="AA33" t="s">
        <v>74</v>
      </c>
      <c r="AB33" t="s">
        <v>74</v>
      </c>
      <c r="AC33" t="s">
        <v>693</v>
      </c>
      <c r="AD33" t="s">
        <v>337</v>
      </c>
      <c r="AE33" t="s">
        <v>74</v>
      </c>
      <c r="AF33" t="s">
        <v>74</v>
      </c>
      <c r="AG33">
        <v>46</v>
      </c>
      <c r="AH33">
        <v>27</v>
      </c>
      <c r="AI33">
        <v>29</v>
      </c>
      <c r="AJ33">
        <v>1</v>
      </c>
      <c r="AK33">
        <v>46</v>
      </c>
      <c r="AL33" t="s">
        <v>338</v>
      </c>
      <c r="AM33" t="s">
        <v>673</v>
      </c>
      <c r="AN33" t="s">
        <v>674</v>
      </c>
      <c r="AO33" t="s">
        <v>675</v>
      </c>
      <c r="AP33" t="s">
        <v>74</v>
      </c>
      <c r="AQ33" t="s">
        <v>74</v>
      </c>
      <c r="AR33" t="s">
        <v>676</v>
      </c>
      <c r="AS33" t="s">
        <v>677</v>
      </c>
      <c r="AT33" t="s">
        <v>97</v>
      </c>
      <c r="AU33">
        <v>2010</v>
      </c>
      <c r="AV33">
        <v>16</v>
      </c>
      <c r="AW33">
        <v>11</v>
      </c>
      <c r="AX33" t="s">
        <v>74</v>
      </c>
      <c r="AY33" t="s">
        <v>74</v>
      </c>
      <c r="AZ33" t="s">
        <v>74</v>
      </c>
      <c r="BA33" t="s">
        <v>74</v>
      </c>
      <c r="BB33">
        <v>3164</v>
      </c>
      <c r="BC33">
        <v>3169</v>
      </c>
      <c r="BD33" t="s">
        <v>74</v>
      </c>
      <c r="BE33" t="s">
        <v>694</v>
      </c>
      <c r="BF33" t="str">
        <f>HYPERLINK("http://dx.doi.org/10.1111/j.1365-2486.2010.02176.x","http://dx.doi.org/10.1111/j.1365-2486.2010.02176.x")</f>
        <v>http://dx.doi.org/10.1111/j.1365-2486.2010.02176.x</v>
      </c>
      <c r="BG33" t="s">
        <v>74</v>
      </c>
      <c r="BH33" t="s">
        <v>74</v>
      </c>
      <c r="BI33">
        <v>6</v>
      </c>
      <c r="BJ33" t="s">
        <v>679</v>
      </c>
      <c r="BK33" t="s">
        <v>100</v>
      </c>
      <c r="BL33" t="s">
        <v>680</v>
      </c>
      <c r="BM33" t="s">
        <v>681</v>
      </c>
      <c r="BN33" t="s">
        <v>74</v>
      </c>
      <c r="BO33" t="s">
        <v>74</v>
      </c>
      <c r="BP33" t="s">
        <v>74</v>
      </c>
      <c r="BQ33" t="s">
        <v>74</v>
      </c>
      <c r="BR33" t="s">
        <v>104</v>
      </c>
      <c r="BS33" t="s">
        <v>695</v>
      </c>
      <c r="BT33" t="str">
        <f>HYPERLINK("https%3A%2F%2Fwww.webofscience.com%2Fwos%2Fwoscc%2Ffull-record%2FWOS:000282375700022","View Full Record in Web of Science")</f>
        <v>View Full Record in Web of Science</v>
      </c>
    </row>
    <row r="34" spans="1:72" x14ac:dyDescent="0.15">
      <c r="A34" t="s">
        <v>72</v>
      </c>
      <c r="B34" t="s">
        <v>696</v>
      </c>
      <c r="C34" t="s">
        <v>74</v>
      </c>
      <c r="D34" t="s">
        <v>74</v>
      </c>
      <c r="E34" t="s">
        <v>74</v>
      </c>
      <c r="F34" t="s">
        <v>697</v>
      </c>
      <c r="G34" t="s">
        <v>74</v>
      </c>
      <c r="H34" t="s">
        <v>74</v>
      </c>
      <c r="I34" t="s">
        <v>698</v>
      </c>
      <c r="J34" t="s">
        <v>699</v>
      </c>
      <c r="K34" t="s">
        <v>74</v>
      </c>
      <c r="L34" t="s">
        <v>74</v>
      </c>
      <c r="M34" t="s">
        <v>78</v>
      </c>
      <c r="N34" t="s">
        <v>79</v>
      </c>
      <c r="O34" t="s">
        <v>74</v>
      </c>
      <c r="P34" t="s">
        <v>74</v>
      </c>
      <c r="Q34" t="s">
        <v>74</v>
      </c>
      <c r="R34" t="s">
        <v>74</v>
      </c>
      <c r="S34" t="s">
        <v>74</v>
      </c>
      <c r="T34" t="s">
        <v>700</v>
      </c>
      <c r="U34" t="s">
        <v>701</v>
      </c>
      <c r="V34" t="s">
        <v>702</v>
      </c>
      <c r="W34" t="s">
        <v>703</v>
      </c>
      <c r="X34" t="s">
        <v>704</v>
      </c>
      <c r="Y34" t="s">
        <v>705</v>
      </c>
      <c r="Z34" t="s">
        <v>706</v>
      </c>
      <c r="AA34" t="s">
        <v>707</v>
      </c>
      <c r="AB34" t="s">
        <v>708</v>
      </c>
      <c r="AC34" t="s">
        <v>74</v>
      </c>
      <c r="AD34" t="s">
        <v>74</v>
      </c>
      <c r="AE34" t="s">
        <v>74</v>
      </c>
      <c r="AF34" t="s">
        <v>74</v>
      </c>
      <c r="AG34">
        <v>30</v>
      </c>
      <c r="AH34">
        <v>22</v>
      </c>
      <c r="AI34">
        <v>25</v>
      </c>
      <c r="AJ34">
        <v>1</v>
      </c>
      <c r="AK34">
        <v>45</v>
      </c>
      <c r="AL34" t="s">
        <v>648</v>
      </c>
      <c r="AM34" t="s">
        <v>265</v>
      </c>
      <c r="AN34" t="s">
        <v>649</v>
      </c>
      <c r="AO34" t="s">
        <v>709</v>
      </c>
      <c r="AP34" t="s">
        <v>74</v>
      </c>
      <c r="AQ34" t="s">
        <v>74</v>
      </c>
      <c r="AR34" t="s">
        <v>710</v>
      </c>
      <c r="AS34" t="s">
        <v>711</v>
      </c>
      <c r="AT34" t="s">
        <v>97</v>
      </c>
      <c r="AU34">
        <v>2010</v>
      </c>
      <c r="AV34">
        <v>67</v>
      </c>
      <c r="AW34">
        <v>8</v>
      </c>
      <c r="AX34" t="s">
        <v>74</v>
      </c>
      <c r="AY34" t="s">
        <v>74</v>
      </c>
      <c r="AZ34" t="s">
        <v>74</v>
      </c>
      <c r="BA34" t="s">
        <v>74</v>
      </c>
      <c r="BB34">
        <v>1739</v>
      </c>
      <c r="BC34">
        <v>1748</v>
      </c>
      <c r="BD34" t="s">
        <v>74</v>
      </c>
      <c r="BE34" t="s">
        <v>712</v>
      </c>
      <c r="BF34" t="str">
        <f>HYPERLINK("http://dx.doi.org/10.1093/icesjms/fsq112","http://dx.doi.org/10.1093/icesjms/fsq112")</f>
        <v>http://dx.doi.org/10.1093/icesjms/fsq112</v>
      </c>
      <c r="BG34" t="s">
        <v>74</v>
      </c>
      <c r="BH34" t="s">
        <v>74</v>
      </c>
      <c r="BI34">
        <v>10</v>
      </c>
      <c r="BJ34" t="s">
        <v>713</v>
      </c>
      <c r="BK34" t="s">
        <v>100</v>
      </c>
      <c r="BL34" t="s">
        <v>713</v>
      </c>
      <c r="BM34" t="s">
        <v>714</v>
      </c>
      <c r="BN34" t="s">
        <v>74</v>
      </c>
      <c r="BO34" t="s">
        <v>74</v>
      </c>
      <c r="BP34" t="s">
        <v>74</v>
      </c>
      <c r="BQ34" t="s">
        <v>74</v>
      </c>
      <c r="BR34" t="s">
        <v>104</v>
      </c>
      <c r="BS34" t="s">
        <v>715</v>
      </c>
      <c r="BT34" t="str">
        <f>HYPERLINK("https%3A%2F%2Fwww.webofscience.com%2Fwos%2Fwoscc%2Ffull-record%2FWOS:000283121900021","View Full Record in Web of Science")</f>
        <v>View Full Record in Web of Science</v>
      </c>
    </row>
    <row r="35" spans="1:72" x14ac:dyDescent="0.15">
      <c r="A35" t="s">
        <v>72</v>
      </c>
      <c r="B35" t="s">
        <v>716</v>
      </c>
      <c r="C35" t="s">
        <v>74</v>
      </c>
      <c r="D35" t="s">
        <v>74</v>
      </c>
      <c r="E35" t="s">
        <v>74</v>
      </c>
      <c r="F35" t="s">
        <v>717</v>
      </c>
      <c r="G35" t="s">
        <v>74</v>
      </c>
      <c r="H35" t="s">
        <v>74</v>
      </c>
      <c r="I35" t="s">
        <v>718</v>
      </c>
      <c r="J35" t="s">
        <v>719</v>
      </c>
      <c r="K35" t="s">
        <v>74</v>
      </c>
      <c r="L35" t="s">
        <v>74</v>
      </c>
      <c r="M35" t="s">
        <v>78</v>
      </c>
      <c r="N35" t="s">
        <v>79</v>
      </c>
      <c r="O35" t="s">
        <v>74</v>
      </c>
      <c r="P35" t="s">
        <v>74</v>
      </c>
      <c r="Q35" t="s">
        <v>74</v>
      </c>
      <c r="R35" t="s">
        <v>74</v>
      </c>
      <c r="S35" t="s">
        <v>74</v>
      </c>
      <c r="T35" t="s">
        <v>74</v>
      </c>
      <c r="U35" t="s">
        <v>720</v>
      </c>
      <c r="V35" t="s">
        <v>721</v>
      </c>
      <c r="W35" t="s">
        <v>722</v>
      </c>
      <c r="X35" t="s">
        <v>723</v>
      </c>
      <c r="Y35" t="s">
        <v>724</v>
      </c>
      <c r="Z35" t="s">
        <v>725</v>
      </c>
      <c r="AA35" t="s">
        <v>74</v>
      </c>
      <c r="AB35" t="s">
        <v>726</v>
      </c>
      <c r="AC35" t="s">
        <v>727</v>
      </c>
      <c r="AD35" t="s">
        <v>728</v>
      </c>
      <c r="AE35" t="s">
        <v>729</v>
      </c>
      <c r="AF35" t="s">
        <v>74</v>
      </c>
      <c r="AG35">
        <v>34</v>
      </c>
      <c r="AH35">
        <v>29</v>
      </c>
      <c r="AI35">
        <v>34</v>
      </c>
      <c r="AJ35">
        <v>1</v>
      </c>
      <c r="AK35">
        <v>14</v>
      </c>
      <c r="AL35" t="s">
        <v>730</v>
      </c>
      <c r="AM35" t="s">
        <v>731</v>
      </c>
      <c r="AN35" t="s">
        <v>732</v>
      </c>
      <c r="AO35" t="s">
        <v>733</v>
      </c>
      <c r="AP35" t="s">
        <v>74</v>
      </c>
      <c r="AQ35" t="s">
        <v>74</v>
      </c>
      <c r="AR35" t="s">
        <v>734</v>
      </c>
      <c r="AS35" t="s">
        <v>735</v>
      </c>
      <c r="AT35" t="s">
        <v>97</v>
      </c>
      <c r="AU35">
        <v>2010</v>
      </c>
      <c r="AV35">
        <v>60</v>
      </c>
      <c r="AW35" t="s">
        <v>74</v>
      </c>
      <c r="AX35">
        <v>11</v>
      </c>
      <c r="AY35" t="s">
        <v>74</v>
      </c>
      <c r="AZ35" t="s">
        <v>74</v>
      </c>
      <c r="BA35" t="s">
        <v>74</v>
      </c>
      <c r="BB35">
        <v>2535</v>
      </c>
      <c r="BC35">
        <v>2539</v>
      </c>
      <c r="BD35" t="s">
        <v>74</v>
      </c>
      <c r="BE35" t="s">
        <v>736</v>
      </c>
      <c r="BF35" t="str">
        <f>HYPERLINK("http://dx.doi.org/10.1099/ijs.0.018754-0","http://dx.doi.org/10.1099/ijs.0.018754-0")</f>
        <v>http://dx.doi.org/10.1099/ijs.0.018754-0</v>
      </c>
      <c r="BG35" t="s">
        <v>74</v>
      </c>
      <c r="BH35" t="s">
        <v>74</v>
      </c>
      <c r="BI35">
        <v>5</v>
      </c>
      <c r="BJ35" t="s">
        <v>737</v>
      </c>
      <c r="BK35" t="s">
        <v>100</v>
      </c>
      <c r="BL35" t="s">
        <v>737</v>
      </c>
      <c r="BM35" t="s">
        <v>738</v>
      </c>
      <c r="BN35">
        <v>19965991</v>
      </c>
      <c r="BO35" t="s">
        <v>394</v>
      </c>
      <c r="BP35" t="s">
        <v>74</v>
      </c>
      <c r="BQ35" t="s">
        <v>74</v>
      </c>
      <c r="BR35" t="s">
        <v>104</v>
      </c>
      <c r="BS35" t="s">
        <v>739</v>
      </c>
      <c r="BT35" t="str">
        <f>HYPERLINK("https%3A%2F%2Fwww.webofscience.com%2Fwos%2Fwoscc%2Ffull-record%2FWOS:000284747600005","View Full Record in Web of Science")</f>
        <v>View Full Record in Web of Science</v>
      </c>
    </row>
    <row r="36" spans="1:72" x14ac:dyDescent="0.15">
      <c r="A36" t="s">
        <v>72</v>
      </c>
      <c r="B36" t="s">
        <v>740</v>
      </c>
      <c r="C36" t="s">
        <v>74</v>
      </c>
      <c r="D36" t="s">
        <v>74</v>
      </c>
      <c r="E36" t="s">
        <v>74</v>
      </c>
      <c r="F36" t="s">
        <v>741</v>
      </c>
      <c r="G36" t="s">
        <v>74</v>
      </c>
      <c r="H36" t="s">
        <v>74</v>
      </c>
      <c r="I36" t="s">
        <v>742</v>
      </c>
      <c r="J36" t="s">
        <v>743</v>
      </c>
      <c r="K36" t="s">
        <v>74</v>
      </c>
      <c r="L36" t="s">
        <v>74</v>
      </c>
      <c r="M36" t="s">
        <v>78</v>
      </c>
      <c r="N36" t="s">
        <v>79</v>
      </c>
      <c r="O36" t="s">
        <v>74</v>
      </c>
      <c r="P36" t="s">
        <v>74</v>
      </c>
      <c r="Q36" t="s">
        <v>74</v>
      </c>
      <c r="R36" t="s">
        <v>74</v>
      </c>
      <c r="S36" t="s">
        <v>74</v>
      </c>
      <c r="T36" t="s">
        <v>74</v>
      </c>
      <c r="U36" t="s">
        <v>74</v>
      </c>
      <c r="V36" t="s">
        <v>744</v>
      </c>
      <c r="W36" t="s">
        <v>745</v>
      </c>
      <c r="X36" t="s">
        <v>746</v>
      </c>
      <c r="Y36" t="s">
        <v>747</v>
      </c>
      <c r="Z36" t="s">
        <v>74</v>
      </c>
      <c r="AA36" t="s">
        <v>74</v>
      </c>
      <c r="AB36" t="s">
        <v>748</v>
      </c>
      <c r="AC36" t="s">
        <v>74</v>
      </c>
      <c r="AD36" t="s">
        <v>74</v>
      </c>
      <c r="AE36" t="s">
        <v>74</v>
      </c>
      <c r="AF36" t="s">
        <v>74</v>
      </c>
      <c r="AG36">
        <v>1</v>
      </c>
      <c r="AH36">
        <v>0</v>
      </c>
      <c r="AI36">
        <v>0</v>
      </c>
      <c r="AJ36">
        <v>0</v>
      </c>
      <c r="AK36">
        <v>9</v>
      </c>
      <c r="AL36" t="s">
        <v>749</v>
      </c>
      <c r="AM36" t="s">
        <v>486</v>
      </c>
      <c r="AN36" t="s">
        <v>750</v>
      </c>
      <c r="AO36" t="s">
        <v>751</v>
      </c>
      <c r="AP36" t="s">
        <v>74</v>
      </c>
      <c r="AQ36" t="s">
        <v>74</v>
      </c>
      <c r="AR36" t="s">
        <v>752</v>
      </c>
      <c r="AS36" t="s">
        <v>753</v>
      </c>
      <c r="AT36" t="s">
        <v>97</v>
      </c>
      <c r="AU36">
        <v>2010</v>
      </c>
      <c r="AV36">
        <v>26</v>
      </c>
      <c r="AW36">
        <v>6</v>
      </c>
      <c r="AX36" t="s">
        <v>74</v>
      </c>
      <c r="AY36" t="s">
        <v>74</v>
      </c>
      <c r="AZ36" t="s">
        <v>74</v>
      </c>
      <c r="BA36" t="s">
        <v>74</v>
      </c>
      <c r="BB36">
        <v>1168</v>
      </c>
      <c r="BC36">
        <v>1171</v>
      </c>
      <c r="BD36" t="s">
        <v>74</v>
      </c>
      <c r="BE36" t="s">
        <v>754</v>
      </c>
      <c r="BF36" t="str">
        <f>HYPERLINK("http://dx.doi.org/10.2112/10A-00005.1","http://dx.doi.org/10.2112/10A-00005.1")</f>
        <v>http://dx.doi.org/10.2112/10A-00005.1</v>
      </c>
      <c r="BG36" t="s">
        <v>74</v>
      </c>
      <c r="BH36" t="s">
        <v>74</v>
      </c>
      <c r="BI36">
        <v>4</v>
      </c>
      <c r="BJ36" t="s">
        <v>755</v>
      </c>
      <c r="BK36" t="s">
        <v>100</v>
      </c>
      <c r="BL36" t="s">
        <v>756</v>
      </c>
      <c r="BM36" t="s">
        <v>757</v>
      </c>
      <c r="BN36" t="s">
        <v>74</v>
      </c>
      <c r="BO36" t="s">
        <v>631</v>
      </c>
      <c r="BP36" t="s">
        <v>74</v>
      </c>
      <c r="BQ36" t="s">
        <v>74</v>
      </c>
      <c r="BR36" t="s">
        <v>104</v>
      </c>
      <c r="BS36" t="s">
        <v>758</v>
      </c>
      <c r="BT36" t="str">
        <f>HYPERLINK("https%3A%2F%2Fwww.webofscience.com%2Fwos%2Fwoscc%2Ffull-record%2FWOS:000284439200020","View Full Record in Web of Science")</f>
        <v>View Full Record in Web of Science</v>
      </c>
    </row>
    <row r="37" spans="1:72" x14ac:dyDescent="0.15">
      <c r="A37" t="s">
        <v>72</v>
      </c>
      <c r="B37" t="s">
        <v>759</v>
      </c>
      <c r="C37" t="s">
        <v>74</v>
      </c>
      <c r="D37" t="s">
        <v>74</v>
      </c>
      <c r="E37" t="s">
        <v>74</v>
      </c>
      <c r="F37" t="s">
        <v>760</v>
      </c>
      <c r="G37" t="s">
        <v>74</v>
      </c>
      <c r="H37" t="s">
        <v>74</v>
      </c>
      <c r="I37" t="s">
        <v>761</v>
      </c>
      <c r="J37" t="s">
        <v>762</v>
      </c>
      <c r="K37" t="s">
        <v>74</v>
      </c>
      <c r="L37" t="s">
        <v>74</v>
      </c>
      <c r="M37" t="s">
        <v>78</v>
      </c>
      <c r="N37" t="s">
        <v>79</v>
      </c>
      <c r="O37" t="s">
        <v>74</v>
      </c>
      <c r="P37" t="s">
        <v>74</v>
      </c>
      <c r="Q37" t="s">
        <v>74</v>
      </c>
      <c r="R37" t="s">
        <v>74</v>
      </c>
      <c r="S37" t="s">
        <v>74</v>
      </c>
      <c r="T37" t="s">
        <v>763</v>
      </c>
      <c r="U37" t="s">
        <v>764</v>
      </c>
      <c r="V37" t="s">
        <v>765</v>
      </c>
      <c r="W37" t="s">
        <v>766</v>
      </c>
      <c r="X37" t="s">
        <v>767</v>
      </c>
      <c r="Y37" t="s">
        <v>768</v>
      </c>
      <c r="Z37" t="s">
        <v>769</v>
      </c>
      <c r="AA37" t="s">
        <v>770</v>
      </c>
      <c r="AB37" t="s">
        <v>771</v>
      </c>
      <c r="AC37" t="s">
        <v>772</v>
      </c>
      <c r="AD37" t="s">
        <v>773</v>
      </c>
      <c r="AE37" t="s">
        <v>774</v>
      </c>
      <c r="AF37" t="s">
        <v>74</v>
      </c>
      <c r="AG37">
        <v>37</v>
      </c>
      <c r="AH37">
        <v>41</v>
      </c>
      <c r="AI37">
        <v>45</v>
      </c>
      <c r="AJ37">
        <v>0</v>
      </c>
      <c r="AK37">
        <v>16</v>
      </c>
      <c r="AL37" t="s">
        <v>775</v>
      </c>
      <c r="AM37" t="s">
        <v>412</v>
      </c>
      <c r="AN37" t="s">
        <v>776</v>
      </c>
      <c r="AO37" t="s">
        <v>777</v>
      </c>
      <c r="AP37" t="s">
        <v>778</v>
      </c>
      <c r="AQ37" t="s">
        <v>74</v>
      </c>
      <c r="AR37" t="s">
        <v>779</v>
      </c>
      <c r="AS37" t="s">
        <v>780</v>
      </c>
      <c r="AT37" t="s">
        <v>555</v>
      </c>
      <c r="AU37">
        <v>2010</v>
      </c>
      <c r="AV37">
        <v>213</v>
      </c>
      <c r="AW37">
        <v>22</v>
      </c>
      <c r="AX37" t="s">
        <v>74</v>
      </c>
      <c r="AY37" t="s">
        <v>74</v>
      </c>
      <c r="AZ37" t="s">
        <v>74</v>
      </c>
      <c r="BA37" t="s">
        <v>74</v>
      </c>
      <c r="BB37">
        <v>3874</v>
      </c>
      <c r="BC37">
        <v>3880</v>
      </c>
      <c r="BD37" t="s">
        <v>74</v>
      </c>
      <c r="BE37" t="s">
        <v>781</v>
      </c>
      <c r="BF37" t="str">
        <f>HYPERLINK("http://dx.doi.org/10.1242/jeb.044057","http://dx.doi.org/10.1242/jeb.044057")</f>
        <v>http://dx.doi.org/10.1242/jeb.044057</v>
      </c>
      <c r="BG37" t="s">
        <v>74</v>
      </c>
      <c r="BH37" t="s">
        <v>74</v>
      </c>
      <c r="BI37">
        <v>7</v>
      </c>
      <c r="BJ37" t="s">
        <v>346</v>
      </c>
      <c r="BK37" t="s">
        <v>100</v>
      </c>
      <c r="BL37" t="s">
        <v>347</v>
      </c>
      <c r="BM37" t="s">
        <v>782</v>
      </c>
      <c r="BN37">
        <v>21037067</v>
      </c>
      <c r="BO37" t="s">
        <v>74</v>
      </c>
      <c r="BP37" t="s">
        <v>74</v>
      </c>
      <c r="BQ37" t="s">
        <v>74</v>
      </c>
      <c r="BR37" t="s">
        <v>104</v>
      </c>
      <c r="BS37" t="s">
        <v>783</v>
      </c>
      <c r="BT37" t="str">
        <f>HYPERLINK("https%3A%2F%2Fwww.webofscience.com%2Fwos%2Fwoscc%2Ffull-record%2FWOS:000283653100019","View Full Record in Web of Science")</f>
        <v>View Full Record in Web of Science</v>
      </c>
    </row>
    <row r="38" spans="1:72" x14ac:dyDescent="0.15">
      <c r="A38" t="s">
        <v>72</v>
      </c>
      <c r="B38" t="s">
        <v>784</v>
      </c>
      <c r="C38" t="s">
        <v>74</v>
      </c>
      <c r="D38" t="s">
        <v>74</v>
      </c>
      <c r="E38" t="s">
        <v>74</v>
      </c>
      <c r="F38" t="s">
        <v>785</v>
      </c>
      <c r="G38" t="s">
        <v>74</v>
      </c>
      <c r="H38" t="s">
        <v>74</v>
      </c>
      <c r="I38" t="s">
        <v>786</v>
      </c>
      <c r="J38" t="s">
        <v>787</v>
      </c>
      <c r="K38" t="s">
        <v>74</v>
      </c>
      <c r="L38" t="s">
        <v>74</v>
      </c>
      <c r="M38" t="s">
        <v>78</v>
      </c>
      <c r="N38" t="s">
        <v>79</v>
      </c>
      <c r="O38" t="s">
        <v>74</v>
      </c>
      <c r="P38" t="s">
        <v>74</v>
      </c>
      <c r="Q38" t="s">
        <v>74</v>
      </c>
      <c r="R38" t="s">
        <v>74</v>
      </c>
      <c r="S38" t="s">
        <v>74</v>
      </c>
      <c r="T38" t="s">
        <v>74</v>
      </c>
      <c r="U38" t="s">
        <v>788</v>
      </c>
      <c r="V38" t="s">
        <v>789</v>
      </c>
      <c r="W38" t="s">
        <v>790</v>
      </c>
      <c r="X38" t="s">
        <v>791</v>
      </c>
      <c r="Y38" t="s">
        <v>792</v>
      </c>
      <c r="Z38" t="s">
        <v>793</v>
      </c>
      <c r="AA38" t="s">
        <v>794</v>
      </c>
      <c r="AB38" t="s">
        <v>795</v>
      </c>
      <c r="AC38" t="s">
        <v>796</v>
      </c>
      <c r="AD38" t="s">
        <v>797</v>
      </c>
      <c r="AE38" t="s">
        <v>798</v>
      </c>
      <c r="AF38" t="s">
        <v>74</v>
      </c>
      <c r="AG38">
        <v>71</v>
      </c>
      <c r="AH38">
        <v>66</v>
      </c>
      <c r="AI38">
        <v>75</v>
      </c>
      <c r="AJ38">
        <v>0</v>
      </c>
      <c r="AK38">
        <v>17</v>
      </c>
      <c r="AL38" t="s">
        <v>799</v>
      </c>
      <c r="AM38" t="s">
        <v>800</v>
      </c>
      <c r="AN38" t="s">
        <v>801</v>
      </c>
      <c r="AO38" t="s">
        <v>802</v>
      </c>
      <c r="AP38" t="s">
        <v>803</v>
      </c>
      <c r="AQ38" t="s">
        <v>74</v>
      </c>
      <c r="AR38" t="s">
        <v>804</v>
      </c>
      <c r="AS38" t="s">
        <v>805</v>
      </c>
      <c r="AT38" t="s">
        <v>97</v>
      </c>
      <c r="AU38">
        <v>2010</v>
      </c>
      <c r="AV38">
        <v>118</v>
      </c>
      <c r="AW38">
        <v>6</v>
      </c>
      <c r="AX38" t="s">
        <v>74</v>
      </c>
      <c r="AY38" t="s">
        <v>74</v>
      </c>
      <c r="AZ38" t="s">
        <v>74</v>
      </c>
      <c r="BA38" t="s">
        <v>74</v>
      </c>
      <c r="BB38">
        <v>601</v>
      </c>
      <c r="BC38">
        <v>619</v>
      </c>
      <c r="BD38" t="s">
        <v>74</v>
      </c>
      <c r="BE38" t="s">
        <v>806</v>
      </c>
      <c r="BF38" t="str">
        <f>HYPERLINK("http://dx.doi.org/10.1086/656385","http://dx.doi.org/10.1086/656385")</f>
        <v>http://dx.doi.org/10.1086/656385</v>
      </c>
      <c r="BG38" t="s">
        <v>74</v>
      </c>
      <c r="BH38" t="s">
        <v>74</v>
      </c>
      <c r="BI38">
        <v>19</v>
      </c>
      <c r="BJ38" t="s">
        <v>807</v>
      </c>
      <c r="BK38" t="s">
        <v>100</v>
      </c>
      <c r="BL38" t="s">
        <v>807</v>
      </c>
      <c r="BM38" t="s">
        <v>808</v>
      </c>
      <c r="BN38" t="s">
        <v>74</v>
      </c>
      <c r="BO38" t="s">
        <v>74</v>
      </c>
      <c r="BP38" t="s">
        <v>74</v>
      </c>
      <c r="BQ38" t="s">
        <v>74</v>
      </c>
      <c r="BR38" t="s">
        <v>104</v>
      </c>
      <c r="BS38" t="s">
        <v>809</v>
      </c>
      <c r="BT38" t="str">
        <f>HYPERLINK("https%3A%2F%2Fwww.webofscience.com%2Fwos%2Fwoscc%2Ffull-record%2FWOS:000282221400002","View Full Record in Web of Science")</f>
        <v>View Full Record in Web of Science</v>
      </c>
    </row>
    <row r="39" spans="1:72" x14ac:dyDescent="0.15">
      <c r="A39" t="s">
        <v>72</v>
      </c>
      <c r="B39" t="s">
        <v>810</v>
      </c>
      <c r="C39" t="s">
        <v>74</v>
      </c>
      <c r="D39" t="s">
        <v>74</v>
      </c>
      <c r="E39" t="s">
        <v>74</v>
      </c>
      <c r="F39" t="s">
        <v>811</v>
      </c>
      <c r="G39" t="s">
        <v>74</v>
      </c>
      <c r="H39" t="s">
        <v>74</v>
      </c>
      <c r="I39" t="s">
        <v>812</v>
      </c>
      <c r="J39" t="s">
        <v>813</v>
      </c>
      <c r="K39" t="s">
        <v>74</v>
      </c>
      <c r="L39" t="s">
        <v>74</v>
      </c>
      <c r="M39" t="s">
        <v>78</v>
      </c>
      <c r="N39" t="s">
        <v>79</v>
      </c>
      <c r="O39" t="s">
        <v>74</v>
      </c>
      <c r="P39" t="s">
        <v>74</v>
      </c>
      <c r="Q39" t="s">
        <v>74</v>
      </c>
      <c r="R39" t="s">
        <v>74</v>
      </c>
      <c r="S39" t="s">
        <v>74</v>
      </c>
      <c r="T39" t="s">
        <v>814</v>
      </c>
      <c r="U39" t="s">
        <v>815</v>
      </c>
      <c r="V39" t="s">
        <v>816</v>
      </c>
      <c r="W39" t="s">
        <v>817</v>
      </c>
      <c r="X39" t="s">
        <v>818</v>
      </c>
      <c r="Y39" t="s">
        <v>819</v>
      </c>
      <c r="Z39" t="s">
        <v>820</v>
      </c>
      <c r="AA39" t="s">
        <v>821</v>
      </c>
      <c r="AB39" t="s">
        <v>822</v>
      </c>
      <c r="AC39" t="s">
        <v>823</v>
      </c>
      <c r="AD39" t="s">
        <v>824</v>
      </c>
      <c r="AE39" t="s">
        <v>825</v>
      </c>
      <c r="AF39" t="s">
        <v>74</v>
      </c>
      <c r="AG39">
        <v>29</v>
      </c>
      <c r="AH39">
        <v>21</v>
      </c>
      <c r="AI39">
        <v>23</v>
      </c>
      <c r="AJ39">
        <v>0</v>
      </c>
      <c r="AK39">
        <v>8</v>
      </c>
      <c r="AL39" t="s">
        <v>826</v>
      </c>
      <c r="AM39" t="s">
        <v>827</v>
      </c>
      <c r="AN39" t="s">
        <v>828</v>
      </c>
      <c r="AO39" t="s">
        <v>829</v>
      </c>
      <c r="AP39" t="s">
        <v>830</v>
      </c>
      <c r="AQ39" t="s">
        <v>74</v>
      </c>
      <c r="AR39" t="s">
        <v>831</v>
      </c>
      <c r="AS39" t="s">
        <v>832</v>
      </c>
      <c r="AT39" t="s">
        <v>316</v>
      </c>
      <c r="AU39">
        <v>2010</v>
      </c>
      <c r="AV39">
        <v>101</v>
      </c>
      <c r="AW39">
        <v>6</v>
      </c>
      <c r="AX39" t="s">
        <v>74</v>
      </c>
      <c r="AY39" t="s">
        <v>74</v>
      </c>
      <c r="AZ39" t="s">
        <v>74</v>
      </c>
      <c r="BA39" t="s">
        <v>74</v>
      </c>
      <c r="BB39">
        <v>775</v>
      </c>
      <c r="BC39">
        <v>779</v>
      </c>
      <c r="BD39" t="s">
        <v>74</v>
      </c>
      <c r="BE39" t="s">
        <v>833</v>
      </c>
      <c r="BF39" t="str">
        <f>HYPERLINK("http://dx.doi.org/10.1093/jhered/esq074","http://dx.doi.org/10.1093/jhered/esq074")</f>
        <v>http://dx.doi.org/10.1093/jhered/esq074</v>
      </c>
      <c r="BG39" t="s">
        <v>74</v>
      </c>
      <c r="BH39" t="s">
        <v>74</v>
      </c>
      <c r="BI39">
        <v>5</v>
      </c>
      <c r="BJ39" t="s">
        <v>834</v>
      </c>
      <c r="BK39" t="s">
        <v>100</v>
      </c>
      <c r="BL39" t="s">
        <v>834</v>
      </c>
      <c r="BM39" t="s">
        <v>835</v>
      </c>
      <c r="BN39">
        <v>20576922</v>
      </c>
      <c r="BO39" t="s">
        <v>394</v>
      </c>
      <c r="BP39" t="s">
        <v>74</v>
      </c>
      <c r="BQ39" t="s">
        <v>74</v>
      </c>
      <c r="BR39" t="s">
        <v>104</v>
      </c>
      <c r="BS39" t="s">
        <v>836</v>
      </c>
      <c r="BT39" t="str">
        <f>HYPERLINK("https%3A%2F%2Fwww.webofscience.com%2Fwos%2Fwoscc%2Ffull-record%2FWOS:000283691400012","View Full Record in Web of Science")</f>
        <v>View Full Record in Web of Science</v>
      </c>
    </row>
    <row r="40" spans="1:72" x14ac:dyDescent="0.15">
      <c r="A40" t="s">
        <v>72</v>
      </c>
      <c r="B40" t="s">
        <v>837</v>
      </c>
      <c r="C40" t="s">
        <v>74</v>
      </c>
      <c r="D40" t="s">
        <v>74</v>
      </c>
      <c r="E40" t="s">
        <v>74</v>
      </c>
      <c r="F40" t="s">
        <v>838</v>
      </c>
      <c r="G40" t="s">
        <v>74</v>
      </c>
      <c r="H40" t="s">
        <v>74</v>
      </c>
      <c r="I40" t="s">
        <v>839</v>
      </c>
      <c r="J40" t="s">
        <v>840</v>
      </c>
      <c r="K40" t="s">
        <v>74</v>
      </c>
      <c r="L40" t="s">
        <v>74</v>
      </c>
      <c r="M40" t="s">
        <v>78</v>
      </c>
      <c r="N40" t="s">
        <v>79</v>
      </c>
      <c r="O40" t="s">
        <v>74</v>
      </c>
      <c r="P40" t="s">
        <v>74</v>
      </c>
      <c r="Q40" t="s">
        <v>74</v>
      </c>
      <c r="R40" t="s">
        <v>74</v>
      </c>
      <c r="S40" t="s">
        <v>74</v>
      </c>
      <c r="T40" t="s">
        <v>74</v>
      </c>
      <c r="U40" t="s">
        <v>841</v>
      </c>
      <c r="V40" t="s">
        <v>842</v>
      </c>
      <c r="W40" t="s">
        <v>843</v>
      </c>
      <c r="X40" t="s">
        <v>844</v>
      </c>
      <c r="Y40" t="s">
        <v>845</v>
      </c>
      <c r="Z40" t="s">
        <v>846</v>
      </c>
      <c r="AA40" t="s">
        <v>74</v>
      </c>
      <c r="AB40" t="s">
        <v>847</v>
      </c>
      <c r="AC40" t="s">
        <v>848</v>
      </c>
      <c r="AD40" t="s">
        <v>849</v>
      </c>
      <c r="AE40" t="s">
        <v>850</v>
      </c>
      <c r="AF40" t="s">
        <v>74</v>
      </c>
      <c r="AG40">
        <v>61</v>
      </c>
      <c r="AH40">
        <v>25</v>
      </c>
      <c r="AI40">
        <v>28</v>
      </c>
      <c r="AJ40">
        <v>0</v>
      </c>
      <c r="AK40">
        <v>7</v>
      </c>
      <c r="AL40" t="s">
        <v>851</v>
      </c>
      <c r="AM40" t="s">
        <v>310</v>
      </c>
      <c r="AN40" t="s">
        <v>852</v>
      </c>
      <c r="AO40" t="s">
        <v>853</v>
      </c>
      <c r="AP40" t="s">
        <v>854</v>
      </c>
      <c r="AQ40" t="s">
        <v>74</v>
      </c>
      <c r="AR40" t="s">
        <v>855</v>
      </c>
      <c r="AS40" t="s">
        <v>856</v>
      </c>
      <c r="AT40" t="s">
        <v>97</v>
      </c>
      <c r="AU40">
        <v>2010</v>
      </c>
      <c r="AV40">
        <v>84</v>
      </c>
      <c r="AW40">
        <v>6</v>
      </c>
      <c r="AX40" t="s">
        <v>74</v>
      </c>
      <c r="AY40" t="s">
        <v>74</v>
      </c>
      <c r="AZ40" t="s">
        <v>74</v>
      </c>
      <c r="BA40" t="s">
        <v>74</v>
      </c>
      <c r="BB40">
        <v>1061</v>
      </c>
      <c r="BC40">
        <v>1070</v>
      </c>
      <c r="BD40" t="s">
        <v>74</v>
      </c>
      <c r="BE40" t="s">
        <v>857</v>
      </c>
      <c r="BF40" t="str">
        <f>HYPERLINK("http://dx.doi.org/10.1666/09-157.1","http://dx.doi.org/10.1666/09-157.1")</f>
        <v>http://dx.doi.org/10.1666/09-157.1</v>
      </c>
      <c r="BG40" t="s">
        <v>74</v>
      </c>
      <c r="BH40" t="s">
        <v>74</v>
      </c>
      <c r="BI40">
        <v>10</v>
      </c>
      <c r="BJ40" t="s">
        <v>858</v>
      </c>
      <c r="BK40" t="s">
        <v>100</v>
      </c>
      <c r="BL40" t="s">
        <v>858</v>
      </c>
      <c r="BM40" t="s">
        <v>859</v>
      </c>
      <c r="BN40" t="s">
        <v>74</v>
      </c>
      <c r="BO40" t="s">
        <v>74</v>
      </c>
      <c r="BP40" t="s">
        <v>74</v>
      </c>
      <c r="BQ40" t="s">
        <v>74</v>
      </c>
      <c r="BR40" t="s">
        <v>104</v>
      </c>
      <c r="BS40" t="s">
        <v>860</v>
      </c>
      <c r="BT40" t="str">
        <f>HYPERLINK("https%3A%2F%2Fwww.webofscience.com%2Fwos%2Fwoscc%2Ffull-record%2FWOS:000284190300006","View Full Record in Web of Science")</f>
        <v>View Full Record in Web of Science</v>
      </c>
    </row>
    <row r="41" spans="1:72" x14ac:dyDescent="0.15">
      <c r="A41" t="s">
        <v>72</v>
      </c>
      <c r="B41" t="s">
        <v>861</v>
      </c>
      <c r="C41" t="s">
        <v>74</v>
      </c>
      <c r="D41" t="s">
        <v>74</v>
      </c>
      <c r="E41" t="s">
        <v>74</v>
      </c>
      <c r="F41" t="s">
        <v>862</v>
      </c>
      <c r="G41" t="s">
        <v>74</v>
      </c>
      <c r="H41" t="s">
        <v>74</v>
      </c>
      <c r="I41" t="s">
        <v>863</v>
      </c>
      <c r="J41" t="s">
        <v>864</v>
      </c>
      <c r="K41" t="s">
        <v>74</v>
      </c>
      <c r="L41" t="s">
        <v>74</v>
      </c>
      <c r="M41" t="s">
        <v>78</v>
      </c>
      <c r="N41" t="s">
        <v>79</v>
      </c>
      <c r="O41" t="s">
        <v>74</v>
      </c>
      <c r="P41" t="s">
        <v>74</v>
      </c>
      <c r="Q41" t="s">
        <v>74</v>
      </c>
      <c r="R41" t="s">
        <v>74</v>
      </c>
      <c r="S41" t="s">
        <v>74</v>
      </c>
      <c r="T41" t="s">
        <v>865</v>
      </c>
      <c r="U41" t="s">
        <v>866</v>
      </c>
      <c r="V41" t="s">
        <v>867</v>
      </c>
      <c r="W41" t="s">
        <v>868</v>
      </c>
      <c r="X41" t="s">
        <v>869</v>
      </c>
      <c r="Y41" t="s">
        <v>870</v>
      </c>
      <c r="Z41" t="s">
        <v>871</v>
      </c>
      <c r="AA41" t="s">
        <v>872</v>
      </c>
      <c r="AB41" t="s">
        <v>873</v>
      </c>
      <c r="AC41" t="s">
        <v>874</v>
      </c>
      <c r="AD41" t="s">
        <v>875</v>
      </c>
      <c r="AE41" t="s">
        <v>876</v>
      </c>
      <c r="AF41" t="s">
        <v>74</v>
      </c>
      <c r="AG41">
        <v>83</v>
      </c>
      <c r="AH41">
        <v>61</v>
      </c>
      <c r="AI41">
        <v>68</v>
      </c>
      <c r="AJ41">
        <v>0</v>
      </c>
      <c r="AK41">
        <v>16</v>
      </c>
      <c r="AL41" t="s">
        <v>648</v>
      </c>
      <c r="AM41" t="s">
        <v>265</v>
      </c>
      <c r="AN41" t="s">
        <v>649</v>
      </c>
      <c r="AO41" t="s">
        <v>877</v>
      </c>
      <c r="AP41" t="s">
        <v>878</v>
      </c>
      <c r="AQ41" t="s">
        <v>74</v>
      </c>
      <c r="AR41" t="s">
        <v>879</v>
      </c>
      <c r="AS41" t="s">
        <v>880</v>
      </c>
      <c r="AT41" t="s">
        <v>97</v>
      </c>
      <c r="AU41">
        <v>2010</v>
      </c>
      <c r="AV41">
        <v>51</v>
      </c>
      <c r="AW41">
        <v>11</v>
      </c>
      <c r="AX41" t="s">
        <v>74</v>
      </c>
      <c r="AY41" t="s">
        <v>74</v>
      </c>
      <c r="AZ41" t="s">
        <v>74</v>
      </c>
      <c r="BA41" t="s">
        <v>74</v>
      </c>
      <c r="BB41">
        <v>2277</v>
      </c>
      <c r="BC41">
        <v>2301</v>
      </c>
      <c r="BD41" t="s">
        <v>74</v>
      </c>
      <c r="BE41" t="s">
        <v>881</v>
      </c>
      <c r="BF41" t="str">
        <f>HYPERLINK("http://dx.doi.org/10.1093/petrology/egq057","http://dx.doi.org/10.1093/petrology/egq057")</f>
        <v>http://dx.doi.org/10.1093/petrology/egq057</v>
      </c>
      <c r="BG41" t="s">
        <v>74</v>
      </c>
      <c r="BH41" t="s">
        <v>74</v>
      </c>
      <c r="BI41">
        <v>25</v>
      </c>
      <c r="BJ41" t="s">
        <v>558</v>
      </c>
      <c r="BK41" t="s">
        <v>100</v>
      </c>
      <c r="BL41" t="s">
        <v>558</v>
      </c>
      <c r="BM41" t="s">
        <v>882</v>
      </c>
      <c r="BN41" t="s">
        <v>74</v>
      </c>
      <c r="BO41" t="s">
        <v>394</v>
      </c>
      <c r="BP41" t="s">
        <v>74</v>
      </c>
      <c r="BQ41" t="s">
        <v>74</v>
      </c>
      <c r="BR41" t="s">
        <v>104</v>
      </c>
      <c r="BS41" t="s">
        <v>883</v>
      </c>
      <c r="BT41" t="str">
        <f>HYPERLINK("https%3A%2F%2Fwww.webofscience.com%2Fwos%2Fwoscc%2Ffull-record%2FWOS:000283675700004","View Full Record in Web of Science")</f>
        <v>View Full Record in Web of Science</v>
      </c>
    </row>
    <row r="42" spans="1:72" x14ac:dyDescent="0.15">
      <c r="A42" t="s">
        <v>72</v>
      </c>
      <c r="B42" t="s">
        <v>884</v>
      </c>
      <c r="C42" t="s">
        <v>74</v>
      </c>
      <c r="D42" t="s">
        <v>74</v>
      </c>
      <c r="E42" t="s">
        <v>74</v>
      </c>
      <c r="F42" t="s">
        <v>885</v>
      </c>
      <c r="G42" t="s">
        <v>74</v>
      </c>
      <c r="H42" t="s">
        <v>74</v>
      </c>
      <c r="I42" t="s">
        <v>886</v>
      </c>
      <c r="J42" t="s">
        <v>887</v>
      </c>
      <c r="K42" t="s">
        <v>74</v>
      </c>
      <c r="L42" t="s">
        <v>74</v>
      </c>
      <c r="M42" t="s">
        <v>78</v>
      </c>
      <c r="N42" t="s">
        <v>79</v>
      </c>
      <c r="O42" t="s">
        <v>74</v>
      </c>
      <c r="P42" t="s">
        <v>74</v>
      </c>
      <c r="Q42" t="s">
        <v>74</v>
      </c>
      <c r="R42" t="s">
        <v>74</v>
      </c>
      <c r="S42" t="s">
        <v>74</v>
      </c>
      <c r="T42" t="s">
        <v>74</v>
      </c>
      <c r="U42" t="s">
        <v>888</v>
      </c>
      <c r="V42" t="s">
        <v>889</v>
      </c>
      <c r="W42" t="s">
        <v>890</v>
      </c>
      <c r="X42" t="s">
        <v>891</v>
      </c>
      <c r="Y42" t="s">
        <v>892</v>
      </c>
      <c r="Z42" t="s">
        <v>893</v>
      </c>
      <c r="AA42" t="s">
        <v>894</v>
      </c>
      <c r="AB42" t="s">
        <v>74</v>
      </c>
      <c r="AC42" t="s">
        <v>895</v>
      </c>
      <c r="AD42" t="s">
        <v>896</v>
      </c>
      <c r="AE42" t="s">
        <v>897</v>
      </c>
      <c r="AF42" t="s">
        <v>74</v>
      </c>
      <c r="AG42">
        <v>44</v>
      </c>
      <c r="AH42">
        <v>30</v>
      </c>
      <c r="AI42">
        <v>35</v>
      </c>
      <c r="AJ42">
        <v>0</v>
      </c>
      <c r="AK42">
        <v>24</v>
      </c>
      <c r="AL42" t="s">
        <v>898</v>
      </c>
      <c r="AM42" t="s">
        <v>899</v>
      </c>
      <c r="AN42" t="s">
        <v>900</v>
      </c>
      <c r="AO42" t="s">
        <v>901</v>
      </c>
      <c r="AP42" t="s">
        <v>902</v>
      </c>
      <c r="AQ42" t="s">
        <v>74</v>
      </c>
      <c r="AR42" t="s">
        <v>903</v>
      </c>
      <c r="AS42" t="s">
        <v>904</v>
      </c>
      <c r="AT42" t="s">
        <v>97</v>
      </c>
      <c r="AU42">
        <v>2010</v>
      </c>
      <c r="AV42">
        <v>128</v>
      </c>
      <c r="AW42">
        <v>5</v>
      </c>
      <c r="AX42" t="s">
        <v>74</v>
      </c>
      <c r="AY42" t="s">
        <v>74</v>
      </c>
      <c r="AZ42" t="s">
        <v>74</v>
      </c>
      <c r="BA42" t="s">
        <v>74</v>
      </c>
      <c r="BB42">
        <v>2664</v>
      </c>
      <c r="BC42">
        <v>2680</v>
      </c>
      <c r="BD42" t="s">
        <v>74</v>
      </c>
      <c r="BE42" t="s">
        <v>905</v>
      </c>
      <c r="BF42" t="str">
        <f>HYPERLINK("http://dx.doi.org/10.1121/1.3488673","http://dx.doi.org/10.1121/1.3488673")</f>
        <v>http://dx.doi.org/10.1121/1.3488673</v>
      </c>
      <c r="BG42" t="s">
        <v>74</v>
      </c>
      <c r="BH42" t="s">
        <v>74</v>
      </c>
      <c r="BI42">
        <v>17</v>
      </c>
      <c r="BJ42" t="s">
        <v>906</v>
      </c>
      <c r="BK42" t="s">
        <v>100</v>
      </c>
      <c r="BL42" t="s">
        <v>906</v>
      </c>
      <c r="BM42" t="s">
        <v>907</v>
      </c>
      <c r="BN42">
        <v>21110563</v>
      </c>
      <c r="BO42" t="s">
        <v>74</v>
      </c>
      <c r="BP42" t="s">
        <v>74</v>
      </c>
      <c r="BQ42" t="s">
        <v>74</v>
      </c>
      <c r="BR42" t="s">
        <v>104</v>
      </c>
      <c r="BS42" t="s">
        <v>908</v>
      </c>
      <c r="BT42" t="str">
        <f>HYPERLINK("https%3A%2F%2Fwww.webofscience.com%2Fwos%2Fwoscc%2Ffull-record%2FWOS:000284617900037","View Full Record in Web of Science")</f>
        <v>View Full Record in Web of Science</v>
      </c>
    </row>
    <row r="43" spans="1:72" x14ac:dyDescent="0.15">
      <c r="A43" t="s">
        <v>72</v>
      </c>
      <c r="B43" t="s">
        <v>909</v>
      </c>
      <c r="C43" t="s">
        <v>74</v>
      </c>
      <c r="D43" t="s">
        <v>74</v>
      </c>
      <c r="E43" t="s">
        <v>74</v>
      </c>
      <c r="F43" t="s">
        <v>910</v>
      </c>
      <c r="G43" t="s">
        <v>74</v>
      </c>
      <c r="H43" t="s">
        <v>74</v>
      </c>
      <c r="I43" t="s">
        <v>911</v>
      </c>
      <c r="J43" t="s">
        <v>912</v>
      </c>
      <c r="K43" t="s">
        <v>74</v>
      </c>
      <c r="L43" t="s">
        <v>74</v>
      </c>
      <c r="M43" t="s">
        <v>78</v>
      </c>
      <c r="N43" t="s">
        <v>79</v>
      </c>
      <c r="O43" t="s">
        <v>74</v>
      </c>
      <c r="P43" t="s">
        <v>74</v>
      </c>
      <c r="Q43" t="s">
        <v>74</v>
      </c>
      <c r="R43" t="s">
        <v>74</v>
      </c>
      <c r="S43" t="s">
        <v>74</v>
      </c>
      <c r="T43" t="s">
        <v>74</v>
      </c>
      <c r="U43" t="s">
        <v>913</v>
      </c>
      <c r="V43" t="s">
        <v>914</v>
      </c>
      <c r="W43" t="s">
        <v>915</v>
      </c>
      <c r="X43" t="s">
        <v>916</v>
      </c>
      <c r="Y43" t="s">
        <v>917</v>
      </c>
      <c r="Z43" t="s">
        <v>918</v>
      </c>
      <c r="AA43" t="s">
        <v>74</v>
      </c>
      <c r="AB43" t="s">
        <v>919</v>
      </c>
      <c r="AC43" t="s">
        <v>920</v>
      </c>
      <c r="AD43" t="s">
        <v>921</v>
      </c>
      <c r="AE43" t="s">
        <v>922</v>
      </c>
      <c r="AF43" t="s">
        <v>74</v>
      </c>
      <c r="AG43">
        <v>39</v>
      </c>
      <c r="AH43">
        <v>41</v>
      </c>
      <c r="AI43">
        <v>47</v>
      </c>
      <c r="AJ43">
        <v>0</v>
      </c>
      <c r="AK43">
        <v>15</v>
      </c>
      <c r="AL43" t="s">
        <v>923</v>
      </c>
      <c r="AM43" t="s">
        <v>339</v>
      </c>
      <c r="AN43" t="s">
        <v>340</v>
      </c>
      <c r="AO43" t="s">
        <v>924</v>
      </c>
      <c r="AP43" t="s">
        <v>925</v>
      </c>
      <c r="AQ43" t="s">
        <v>74</v>
      </c>
      <c r="AR43" t="s">
        <v>926</v>
      </c>
      <c r="AS43" t="s">
        <v>927</v>
      </c>
      <c r="AT43" t="s">
        <v>97</v>
      </c>
      <c r="AU43">
        <v>2010</v>
      </c>
      <c r="AV43">
        <v>55</v>
      </c>
      <c r="AW43">
        <v>6</v>
      </c>
      <c r="AX43" t="s">
        <v>74</v>
      </c>
      <c r="AY43" t="s">
        <v>74</v>
      </c>
      <c r="AZ43" t="s">
        <v>74</v>
      </c>
      <c r="BA43" t="s">
        <v>74</v>
      </c>
      <c r="BB43">
        <v>2526</v>
      </c>
      <c r="BC43">
        <v>2536</v>
      </c>
      <c r="BD43" t="s">
        <v>74</v>
      </c>
      <c r="BE43" t="s">
        <v>928</v>
      </c>
      <c r="BF43" t="str">
        <f>HYPERLINK("http://dx.doi.org/10.4319/lo.2010.55.6.2526","http://dx.doi.org/10.4319/lo.2010.55.6.2526")</f>
        <v>http://dx.doi.org/10.4319/lo.2010.55.6.2526</v>
      </c>
      <c r="BG43" t="s">
        <v>74</v>
      </c>
      <c r="BH43" t="s">
        <v>74</v>
      </c>
      <c r="BI43">
        <v>11</v>
      </c>
      <c r="BJ43" t="s">
        <v>929</v>
      </c>
      <c r="BK43" t="s">
        <v>100</v>
      </c>
      <c r="BL43" t="s">
        <v>930</v>
      </c>
      <c r="BM43" t="s">
        <v>931</v>
      </c>
      <c r="BN43" t="s">
        <v>74</v>
      </c>
      <c r="BO43" t="s">
        <v>394</v>
      </c>
      <c r="BP43" t="s">
        <v>74</v>
      </c>
      <c r="BQ43" t="s">
        <v>74</v>
      </c>
      <c r="BR43" t="s">
        <v>104</v>
      </c>
      <c r="BS43" t="s">
        <v>932</v>
      </c>
      <c r="BT43" t="str">
        <f>HYPERLINK("https%3A%2F%2Fwww.webofscience.com%2Fwos%2Fwoscc%2Ffull-record%2FWOS:000287844700024","View Full Record in Web of Science")</f>
        <v>View Full Record in Web of Science</v>
      </c>
    </row>
    <row r="44" spans="1:72" x14ac:dyDescent="0.15">
      <c r="A44" t="s">
        <v>72</v>
      </c>
      <c r="B44" t="s">
        <v>933</v>
      </c>
      <c r="C44" t="s">
        <v>74</v>
      </c>
      <c r="D44" t="s">
        <v>74</v>
      </c>
      <c r="E44" t="s">
        <v>74</v>
      </c>
      <c r="F44" t="s">
        <v>934</v>
      </c>
      <c r="G44" t="s">
        <v>74</v>
      </c>
      <c r="H44" t="s">
        <v>74</v>
      </c>
      <c r="I44" t="s">
        <v>935</v>
      </c>
      <c r="J44" t="s">
        <v>936</v>
      </c>
      <c r="K44" t="s">
        <v>74</v>
      </c>
      <c r="L44" t="s">
        <v>74</v>
      </c>
      <c r="M44" t="s">
        <v>78</v>
      </c>
      <c r="N44" t="s">
        <v>79</v>
      </c>
      <c r="O44" t="s">
        <v>74</v>
      </c>
      <c r="P44" t="s">
        <v>74</v>
      </c>
      <c r="Q44" t="s">
        <v>74</v>
      </c>
      <c r="R44" t="s">
        <v>74</v>
      </c>
      <c r="S44" t="s">
        <v>74</v>
      </c>
      <c r="T44" t="s">
        <v>74</v>
      </c>
      <c r="U44" t="s">
        <v>937</v>
      </c>
      <c r="V44" t="s">
        <v>938</v>
      </c>
      <c r="W44" t="s">
        <v>939</v>
      </c>
      <c r="X44" t="s">
        <v>940</v>
      </c>
      <c r="Y44" t="s">
        <v>941</v>
      </c>
      <c r="Z44" t="s">
        <v>942</v>
      </c>
      <c r="AA44" t="s">
        <v>943</v>
      </c>
      <c r="AB44" t="s">
        <v>944</v>
      </c>
      <c r="AC44" t="s">
        <v>693</v>
      </c>
      <c r="AD44" t="s">
        <v>337</v>
      </c>
      <c r="AE44" t="s">
        <v>74</v>
      </c>
      <c r="AF44" t="s">
        <v>74</v>
      </c>
      <c r="AG44">
        <v>43</v>
      </c>
      <c r="AH44">
        <v>40</v>
      </c>
      <c r="AI44">
        <v>42</v>
      </c>
      <c r="AJ44">
        <v>0</v>
      </c>
      <c r="AK44">
        <v>33</v>
      </c>
      <c r="AL44" t="s">
        <v>945</v>
      </c>
      <c r="AM44" t="s">
        <v>946</v>
      </c>
      <c r="AN44" t="s">
        <v>947</v>
      </c>
      <c r="AO44" t="s">
        <v>948</v>
      </c>
      <c r="AP44" t="s">
        <v>949</v>
      </c>
      <c r="AQ44" t="s">
        <v>74</v>
      </c>
      <c r="AR44" t="s">
        <v>950</v>
      </c>
      <c r="AS44" t="s">
        <v>951</v>
      </c>
      <c r="AT44" t="s">
        <v>97</v>
      </c>
      <c r="AU44">
        <v>2010</v>
      </c>
      <c r="AV44">
        <v>157</v>
      </c>
      <c r="AW44">
        <v>11</v>
      </c>
      <c r="AX44" t="s">
        <v>74</v>
      </c>
      <c r="AY44" t="s">
        <v>74</v>
      </c>
      <c r="AZ44" t="s">
        <v>74</v>
      </c>
      <c r="BA44" t="s">
        <v>74</v>
      </c>
      <c r="BB44">
        <v>2383</v>
      </c>
      <c r="BC44">
        <v>2396</v>
      </c>
      <c r="BD44" t="s">
        <v>74</v>
      </c>
      <c r="BE44" t="s">
        <v>952</v>
      </c>
      <c r="BF44" t="str">
        <f>HYPERLINK("http://dx.doi.org/10.1007/s00227-010-1503-8","http://dx.doi.org/10.1007/s00227-010-1503-8")</f>
        <v>http://dx.doi.org/10.1007/s00227-010-1503-8</v>
      </c>
      <c r="BG44" t="s">
        <v>74</v>
      </c>
      <c r="BH44" t="s">
        <v>74</v>
      </c>
      <c r="BI44">
        <v>14</v>
      </c>
      <c r="BJ44" t="s">
        <v>515</v>
      </c>
      <c r="BK44" t="s">
        <v>100</v>
      </c>
      <c r="BL44" t="s">
        <v>515</v>
      </c>
      <c r="BM44" t="s">
        <v>953</v>
      </c>
      <c r="BN44" t="s">
        <v>74</v>
      </c>
      <c r="BO44" t="s">
        <v>74</v>
      </c>
      <c r="BP44" t="s">
        <v>74</v>
      </c>
      <c r="BQ44" t="s">
        <v>74</v>
      </c>
      <c r="BR44" t="s">
        <v>104</v>
      </c>
      <c r="BS44" t="s">
        <v>954</v>
      </c>
      <c r="BT44" t="str">
        <f>HYPERLINK("https%3A%2F%2Fwww.webofscience.com%2Fwos%2Fwoscc%2Ffull-record%2FWOS:000282828900004","View Full Record in Web of Science")</f>
        <v>View Full Record in Web of Science</v>
      </c>
    </row>
    <row r="45" spans="1:72" x14ac:dyDescent="0.15">
      <c r="A45" t="s">
        <v>72</v>
      </c>
      <c r="B45" t="s">
        <v>955</v>
      </c>
      <c r="C45" t="s">
        <v>74</v>
      </c>
      <c r="D45" t="s">
        <v>74</v>
      </c>
      <c r="E45" t="s">
        <v>74</v>
      </c>
      <c r="F45" t="s">
        <v>956</v>
      </c>
      <c r="G45" t="s">
        <v>74</v>
      </c>
      <c r="H45" t="s">
        <v>74</v>
      </c>
      <c r="I45" t="s">
        <v>957</v>
      </c>
      <c r="J45" t="s">
        <v>958</v>
      </c>
      <c r="K45" t="s">
        <v>74</v>
      </c>
      <c r="L45" t="s">
        <v>74</v>
      </c>
      <c r="M45" t="s">
        <v>78</v>
      </c>
      <c r="N45" t="s">
        <v>79</v>
      </c>
      <c r="O45" t="s">
        <v>74</v>
      </c>
      <c r="P45" t="s">
        <v>74</v>
      </c>
      <c r="Q45" t="s">
        <v>74</v>
      </c>
      <c r="R45" t="s">
        <v>74</v>
      </c>
      <c r="S45" t="s">
        <v>74</v>
      </c>
      <c r="T45" t="s">
        <v>959</v>
      </c>
      <c r="U45" t="s">
        <v>960</v>
      </c>
      <c r="V45" t="s">
        <v>961</v>
      </c>
      <c r="W45" t="s">
        <v>962</v>
      </c>
      <c r="X45" t="s">
        <v>963</v>
      </c>
      <c r="Y45" t="s">
        <v>964</v>
      </c>
      <c r="Z45" t="s">
        <v>965</v>
      </c>
      <c r="AA45" t="s">
        <v>966</v>
      </c>
      <c r="AB45" t="s">
        <v>967</v>
      </c>
      <c r="AC45" t="s">
        <v>968</v>
      </c>
      <c r="AD45" t="s">
        <v>969</v>
      </c>
      <c r="AE45" t="s">
        <v>970</v>
      </c>
      <c r="AF45" t="s">
        <v>74</v>
      </c>
      <c r="AG45">
        <v>67</v>
      </c>
      <c r="AH45">
        <v>53</v>
      </c>
      <c r="AI45">
        <v>60</v>
      </c>
      <c r="AJ45">
        <v>3</v>
      </c>
      <c r="AK45">
        <v>34</v>
      </c>
      <c r="AL45" t="s">
        <v>464</v>
      </c>
      <c r="AM45" t="s">
        <v>310</v>
      </c>
      <c r="AN45" t="s">
        <v>971</v>
      </c>
      <c r="AO45" t="s">
        <v>972</v>
      </c>
      <c r="AP45" t="s">
        <v>973</v>
      </c>
      <c r="AQ45" t="s">
        <v>74</v>
      </c>
      <c r="AR45" t="s">
        <v>974</v>
      </c>
      <c r="AS45" t="s">
        <v>975</v>
      </c>
      <c r="AT45" t="s">
        <v>97</v>
      </c>
      <c r="AU45">
        <v>2010</v>
      </c>
      <c r="AV45">
        <v>12</v>
      </c>
      <c r="AW45">
        <v>6</v>
      </c>
      <c r="AX45" t="s">
        <v>74</v>
      </c>
      <c r="AY45" t="s">
        <v>74</v>
      </c>
      <c r="AZ45" t="s">
        <v>74</v>
      </c>
      <c r="BA45" t="s">
        <v>74</v>
      </c>
      <c r="BB45">
        <v>630</v>
      </c>
      <c r="BC45">
        <v>639</v>
      </c>
      <c r="BD45" t="s">
        <v>74</v>
      </c>
      <c r="BE45" t="s">
        <v>976</v>
      </c>
      <c r="BF45" t="str">
        <f>HYPERLINK("http://dx.doi.org/10.1007/s10126-009-9250-x","http://dx.doi.org/10.1007/s10126-009-9250-x")</f>
        <v>http://dx.doi.org/10.1007/s10126-009-9250-x</v>
      </c>
      <c r="BG45" t="s">
        <v>74</v>
      </c>
      <c r="BH45" t="s">
        <v>74</v>
      </c>
      <c r="BI45">
        <v>10</v>
      </c>
      <c r="BJ45" t="s">
        <v>977</v>
      </c>
      <c r="BK45" t="s">
        <v>100</v>
      </c>
      <c r="BL45" t="s">
        <v>977</v>
      </c>
      <c r="BM45" t="s">
        <v>978</v>
      </c>
      <c r="BN45">
        <v>20024694</v>
      </c>
      <c r="BO45" t="s">
        <v>74</v>
      </c>
      <c r="BP45" t="s">
        <v>74</v>
      </c>
      <c r="BQ45" t="s">
        <v>74</v>
      </c>
      <c r="BR45" t="s">
        <v>104</v>
      </c>
      <c r="BS45" t="s">
        <v>979</v>
      </c>
      <c r="BT45" t="str">
        <f>HYPERLINK("https%3A%2F%2Fwww.webofscience.com%2Fwos%2Fwoscc%2Ffull-record%2FWOS:000284599000002","View Full Record in Web of Science")</f>
        <v>View Full Record in Web of Science</v>
      </c>
    </row>
    <row r="46" spans="1:72" x14ac:dyDescent="0.15">
      <c r="A46" t="s">
        <v>72</v>
      </c>
      <c r="B46" t="s">
        <v>980</v>
      </c>
      <c r="C46" t="s">
        <v>74</v>
      </c>
      <c r="D46" t="s">
        <v>74</v>
      </c>
      <c r="E46" t="s">
        <v>74</v>
      </c>
      <c r="F46" t="s">
        <v>981</v>
      </c>
      <c r="G46" t="s">
        <v>74</v>
      </c>
      <c r="H46" t="s">
        <v>74</v>
      </c>
      <c r="I46" t="s">
        <v>982</v>
      </c>
      <c r="J46" t="s">
        <v>983</v>
      </c>
      <c r="K46" t="s">
        <v>74</v>
      </c>
      <c r="L46" t="s">
        <v>74</v>
      </c>
      <c r="M46" t="s">
        <v>78</v>
      </c>
      <c r="N46" t="s">
        <v>79</v>
      </c>
      <c r="O46" t="s">
        <v>74</v>
      </c>
      <c r="P46" t="s">
        <v>74</v>
      </c>
      <c r="Q46" t="s">
        <v>74</v>
      </c>
      <c r="R46" t="s">
        <v>74</v>
      </c>
      <c r="S46" t="s">
        <v>74</v>
      </c>
      <c r="T46" t="s">
        <v>984</v>
      </c>
      <c r="U46" t="s">
        <v>74</v>
      </c>
      <c r="V46" t="s">
        <v>985</v>
      </c>
      <c r="W46" t="s">
        <v>986</v>
      </c>
      <c r="X46" t="s">
        <v>74</v>
      </c>
      <c r="Y46" t="s">
        <v>987</v>
      </c>
      <c r="Z46" t="s">
        <v>988</v>
      </c>
      <c r="AA46" t="s">
        <v>74</v>
      </c>
      <c r="AB46" t="s">
        <v>74</v>
      </c>
      <c r="AC46" t="s">
        <v>74</v>
      </c>
      <c r="AD46" t="s">
        <v>74</v>
      </c>
      <c r="AE46" t="s">
        <v>74</v>
      </c>
      <c r="AF46" t="s">
        <v>74</v>
      </c>
      <c r="AG46">
        <v>15</v>
      </c>
      <c r="AH46">
        <v>6</v>
      </c>
      <c r="AI46">
        <v>6</v>
      </c>
      <c r="AJ46">
        <v>0</v>
      </c>
      <c r="AK46">
        <v>19</v>
      </c>
      <c r="AL46" t="s">
        <v>989</v>
      </c>
      <c r="AM46" t="s">
        <v>990</v>
      </c>
      <c r="AN46" t="s">
        <v>991</v>
      </c>
      <c r="AO46" t="s">
        <v>992</v>
      </c>
      <c r="AP46" t="s">
        <v>993</v>
      </c>
      <c r="AQ46" t="s">
        <v>74</v>
      </c>
      <c r="AR46" t="s">
        <v>994</v>
      </c>
      <c r="AS46" t="s">
        <v>995</v>
      </c>
      <c r="AT46" t="s">
        <v>316</v>
      </c>
      <c r="AU46">
        <v>2010</v>
      </c>
      <c r="AV46">
        <v>44</v>
      </c>
      <c r="AW46">
        <v>6</v>
      </c>
      <c r="AX46" t="s">
        <v>74</v>
      </c>
      <c r="AY46" t="s">
        <v>74</v>
      </c>
      <c r="AZ46" t="s">
        <v>74</v>
      </c>
      <c r="BA46" t="s">
        <v>74</v>
      </c>
      <c r="BB46">
        <v>156</v>
      </c>
      <c r="BC46">
        <v>165</v>
      </c>
      <c r="BD46" t="s">
        <v>74</v>
      </c>
      <c r="BE46" t="s">
        <v>996</v>
      </c>
      <c r="BF46" t="str">
        <f>HYPERLINK("http://dx.doi.org/10.4031/MTSJ.44.6.22","http://dx.doi.org/10.4031/MTSJ.44.6.22")</f>
        <v>http://dx.doi.org/10.4031/MTSJ.44.6.22</v>
      </c>
      <c r="BG46" t="s">
        <v>74</v>
      </c>
      <c r="BH46" t="s">
        <v>74</v>
      </c>
      <c r="BI46">
        <v>10</v>
      </c>
      <c r="BJ46" t="s">
        <v>997</v>
      </c>
      <c r="BK46" t="s">
        <v>100</v>
      </c>
      <c r="BL46" t="s">
        <v>998</v>
      </c>
      <c r="BM46" t="s">
        <v>999</v>
      </c>
      <c r="BN46" t="s">
        <v>74</v>
      </c>
      <c r="BO46" t="s">
        <v>1000</v>
      </c>
      <c r="BP46" t="s">
        <v>74</v>
      </c>
      <c r="BQ46" t="s">
        <v>74</v>
      </c>
      <c r="BR46" t="s">
        <v>104</v>
      </c>
      <c r="BS46" t="s">
        <v>1001</v>
      </c>
      <c r="BT46" t="str">
        <f>HYPERLINK("https%3A%2F%2Fwww.webofscience.com%2Fwos%2Fwoscc%2Ffull-record%2FWOS:000286649500020","View Full Record in Web of Science")</f>
        <v>View Full Record in Web of Science</v>
      </c>
    </row>
    <row r="47" spans="1:72" x14ac:dyDescent="0.15">
      <c r="A47" t="s">
        <v>72</v>
      </c>
      <c r="B47" t="s">
        <v>1002</v>
      </c>
      <c r="C47" t="s">
        <v>74</v>
      </c>
      <c r="D47" t="s">
        <v>74</v>
      </c>
      <c r="E47" t="s">
        <v>74</v>
      </c>
      <c r="F47" t="s">
        <v>1003</v>
      </c>
      <c r="G47" t="s">
        <v>74</v>
      </c>
      <c r="H47" t="s">
        <v>74</v>
      </c>
      <c r="I47" t="s">
        <v>1004</v>
      </c>
      <c r="J47" t="s">
        <v>1005</v>
      </c>
      <c r="K47" t="s">
        <v>74</v>
      </c>
      <c r="L47" t="s">
        <v>74</v>
      </c>
      <c r="M47" t="s">
        <v>78</v>
      </c>
      <c r="N47" t="s">
        <v>79</v>
      </c>
      <c r="O47" t="s">
        <v>74</v>
      </c>
      <c r="P47" t="s">
        <v>74</v>
      </c>
      <c r="Q47" t="s">
        <v>74</v>
      </c>
      <c r="R47" t="s">
        <v>74</v>
      </c>
      <c r="S47" t="s">
        <v>74</v>
      </c>
      <c r="T47" t="s">
        <v>74</v>
      </c>
      <c r="U47" t="s">
        <v>1006</v>
      </c>
      <c r="V47" t="s">
        <v>1007</v>
      </c>
      <c r="W47" t="s">
        <v>1008</v>
      </c>
      <c r="X47" t="s">
        <v>1009</v>
      </c>
      <c r="Y47" t="s">
        <v>1010</v>
      </c>
      <c r="Z47" t="s">
        <v>1011</v>
      </c>
      <c r="AA47" t="s">
        <v>1012</v>
      </c>
      <c r="AB47" t="s">
        <v>1013</v>
      </c>
      <c r="AC47" t="s">
        <v>1014</v>
      </c>
      <c r="AD47" t="s">
        <v>1015</v>
      </c>
      <c r="AE47" t="s">
        <v>1016</v>
      </c>
      <c r="AF47" t="s">
        <v>74</v>
      </c>
      <c r="AG47">
        <v>54</v>
      </c>
      <c r="AH47">
        <v>55</v>
      </c>
      <c r="AI47">
        <v>59</v>
      </c>
      <c r="AJ47">
        <v>0</v>
      </c>
      <c r="AK47">
        <v>29</v>
      </c>
      <c r="AL47" t="s">
        <v>464</v>
      </c>
      <c r="AM47" t="s">
        <v>310</v>
      </c>
      <c r="AN47" t="s">
        <v>971</v>
      </c>
      <c r="AO47" t="s">
        <v>1017</v>
      </c>
      <c r="AP47" t="s">
        <v>1018</v>
      </c>
      <c r="AQ47" t="s">
        <v>74</v>
      </c>
      <c r="AR47" t="s">
        <v>1019</v>
      </c>
      <c r="AS47" t="s">
        <v>1020</v>
      </c>
      <c r="AT47" t="s">
        <v>97</v>
      </c>
      <c r="AU47">
        <v>2010</v>
      </c>
      <c r="AV47">
        <v>60</v>
      </c>
      <c r="AW47">
        <v>4</v>
      </c>
      <c r="AX47" t="s">
        <v>74</v>
      </c>
      <c r="AY47" t="s">
        <v>74</v>
      </c>
      <c r="AZ47" t="s">
        <v>74</v>
      </c>
      <c r="BA47" t="s">
        <v>74</v>
      </c>
      <c r="BB47">
        <v>740</v>
      </c>
      <c r="BC47">
        <v>752</v>
      </c>
      <c r="BD47" t="s">
        <v>74</v>
      </c>
      <c r="BE47" t="s">
        <v>1021</v>
      </c>
      <c r="BF47" t="str">
        <f>HYPERLINK("http://dx.doi.org/10.1007/s00248-010-9684-8","http://dx.doi.org/10.1007/s00248-010-9684-8")</f>
        <v>http://dx.doi.org/10.1007/s00248-010-9684-8</v>
      </c>
      <c r="BG47" t="s">
        <v>74</v>
      </c>
      <c r="BH47" t="s">
        <v>74</v>
      </c>
      <c r="BI47">
        <v>13</v>
      </c>
      <c r="BJ47" t="s">
        <v>1022</v>
      </c>
      <c r="BK47" t="s">
        <v>100</v>
      </c>
      <c r="BL47" t="s">
        <v>1023</v>
      </c>
      <c r="BM47" t="s">
        <v>1024</v>
      </c>
      <c r="BN47">
        <v>20473490</v>
      </c>
      <c r="BO47" t="s">
        <v>1025</v>
      </c>
      <c r="BP47" t="s">
        <v>74</v>
      </c>
      <c r="BQ47" t="s">
        <v>74</v>
      </c>
      <c r="BR47" t="s">
        <v>104</v>
      </c>
      <c r="BS47" t="s">
        <v>1026</v>
      </c>
      <c r="BT47" t="str">
        <f>HYPERLINK("https%3A%2F%2Fwww.webofscience.com%2Fwos%2Fwoscc%2Ffull-record%2FWOS:000284255700005","View Full Record in Web of Science")</f>
        <v>View Full Record in Web of Science</v>
      </c>
    </row>
    <row r="48" spans="1:72" x14ac:dyDescent="0.15">
      <c r="A48" t="s">
        <v>72</v>
      </c>
      <c r="B48" t="s">
        <v>1027</v>
      </c>
      <c r="C48" t="s">
        <v>74</v>
      </c>
      <c r="D48" t="s">
        <v>74</v>
      </c>
      <c r="E48" t="s">
        <v>74</v>
      </c>
      <c r="F48" t="s">
        <v>1028</v>
      </c>
      <c r="G48" t="s">
        <v>74</v>
      </c>
      <c r="H48" t="s">
        <v>74</v>
      </c>
      <c r="I48" t="s">
        <v>1029</v>
      </c>
      <c r="J48" t="s">
        <v>1030</v>
      </c>
      <c r="K48" t="s">
        <v>74</v>
      </c>
      <c r="L48" t="s">
        <v>74</v>
      </c>
      <c r="M48" t="s">
        <v>78</v>
      </c>
      <c r="N48" t="s">
        <v>79</v>
      </c>
      <c r="O48" t="s">
        <v>74</v>
      </c>
      <c r="P48" t="s">
        <v>74</v>
      </c>
      <c r="Q48" t="s">
        <v>74</v>
      </c>
      <c r="R48" t="s">
        <v>74</v>
      </c>
      <c r="S48" t="s">
        <v>74</v>
      </c>
      <c r="T48" t="s">
        <v>1031</v>
      </c>
      <c r="U48" t="s">
        <v>1032</v>
      </c>
      <c r="V48" t="s">
        <v>1033</v>
      </c>
      <c r="W48" t="s">
        <v>1034</v>
      </c>
      <c r="X48" t="s">
        <v>1035</v>
      </c>
      <c r="Y48" t="s">
        <v>1036</v>
      </c>
      <c r="Z48" t="s">
        <v>1037</v>
      </c>
      <c r="AA48" t="s">
        <v>74</v>
      </c>
      <c r="AB48" t="s">
        <v>74</v>
      </c>
      <c r="AC48" t="s">
        <v>74</v>
      </c>
      <c r="AD48" t="s">
        <v>74</v>
      </c>
      <c r="AE48" t="s">
        <v>74</v>
      </c>
      <c r="AF48" t="s">
        <v>74</v>
      </c>
      <c r="AG48">
        <v>50</v>
      </c>
      <c r="AH48">
        <v>2</v>
      </c>
      <c r="AI48">
        <v>3</v>
      </c>
      <c r="AJ48">
        <v>2</v>
      </c>
      <c r="AK48">
        <v>36</v>
      </c>
      <c r="AL48" t="s">
        <v>1038</v>
      </c>
      <c r="AM48" t="s">
        <v>550</v>
      </c>
      <c r="AN48" t="s">
        <v>1039</v>
      </c>
      <c r="AO48" t="s">
        <v>1040</v>
      </c>
      <c r="AP48" t="s">
        <v>1041</v>
      </c>
      <c r="AQ48" t="s">
        <v>74</v>
      </c>
      <c r="AR48" t="s">
        <v>1042</v>
      </c>
      <c r="AS48" t="s">
        <v>1043</v>
      </c>
      <c r="AT48" t="s">
        <v>97</v>
      </c>
      <c r="AU48">
        <v>2010</v>
      </c>
      <c r="AV48">
        <v>96</v>
      </c>
      <c r="AW48">
        <v>2</v>
      </c>
      <c r="AX48" t="s">
        <v>74</v>
      </c>
      <c r="AY48" t="s">
        <v>74</v>
      </c>
      <c r="AZ48" t="s">
        <v>582</v>
      </c>
      <c r="BA48" t="s">
        <v>74</v>
      </c>
      <c r="BB48">
        <v>187</v>
      </c>
      <c r="BC48">
        <v>189</v>
      </c>
      <c r="BD48" t="s">
        <v>74</v>
      </c>
      <c r="BE48" t="s">
        <v>1044</v>
      </c>
      <c r="BF48" t="str">
        <f>HYPERLINK("http://dx.doi.org/10.1016/j.microc.2010.07.004","http://dx.doi.org/10.1016/j.microc.2010.07.004")</f>
        <v>http://dx.doi.org/10.1016/j.microc.2010.07.004</v>
      </c>
      <c r="BG48" t="s">
        <v>74</v>
      </c>
      <c r="BH48" t="s">
        <v>74</v>
      </c>
      <c r="BI48">
        <v>3</v>
      </c>
      <c r="BJ48" t="s">
        <v>391</v>
      </c>
      <c r="BK48" t="s">
        <v>100</v>
      </c>
      <c r="BL48" t="s">
        <v>392</v>
      </c>
      <c r="BM48" t="s">
        <v>1045</v>
      </c>
      <c r="BN48" t="s">
        <v>74</v>
      </c>
      <c r="BO48" t="s">
        <v>74</v>
      </c>
      <c r="BP48" t="s">
        <v>74</v>
      </c>
      <c r="BQ48" t="s">
        <v>74</v>
      </c>
      <c r="BR48" t="s">
        <v>104</v>
      </c>
      <c r="BS48" t="s">
        <v>1046</v>
      </c>
      <c r="BT48" t="str">
        <f>HYPERLINK("https%3A%2F%2Fwww.webofscience.com%2Fwos%2Fwoscc%2Ffull-record%2FWOS:000282929800002","View Full Record in Web of Science")</f>
        <v>View Full Record in Web of Science</v>
      </c>
    </row>
    <row r="49" spans="1:72" x14ac:dyDescent="0.15">
      <c r="A49" t="s">
        <v>72</v>
      </c>
      <c r="B49" t="s">
        <v>1027</v>
      </c>
      <c r="C49" t="s">
        <v>74</v>
      </c>
      <c r="D49" t="s">
        <v>74</v>
      </c>
      <c r="E49" t="s">
        <v>74</v>
      </c>
      <c r="F49" t="s">
        <v>1028</v>
      </c>
      <c r="G49" t="s">
        <v>74</v>
      </c>
      <c r="H49" t="s">
        <v>74</v>
      </c>
      <c r="I49" t="s">
        <v>1047</v>
      </c>
      <c r="J49" t="s">
        <v>1030</v>
      </c>
      <c r="K49" t="s">
        <v>74</v>
      </c>
      <c r="L49" t="s">
        <v>74</v>
      </c>
      <c r="M49" t="s">
        <v>78</v>
      </c>
      <c r="N49" t="s">
        <v>79</v>
      </c>
      <c r="O49" t="s">
        <v>74</v>
      </c>
      <c r="P49" t="s">
        <v>74</v>
      </c>
      <c r="Q49" t="s">
        <v>74</v>
      </c>
      <c r="R49" t="s">
        <v>74</v>
      </c>
      <c r="S49" t="s">
        <v>74</v>
      </c>
      <c r="T49" t="s">
        <v>1048</v>
      </c>
      <c r="U49" t="s">
        <v>74</v>
      </c>
      <c r="V49" t="s">
        <v>1049</v>
      </c>
      <c r="W49" t="s">
        <v>1034</v>
      </c>
      <c r="X49" t="s">
        <v>1035</v>
      </c>
      <c r="Y49" t="s">
        <v>1036</v>
      </c>
      <c r="Z49" t="s">
        <v>1037</v>
      </c>
      <c r="AA49" t="s">
        <v>74</v>
      </c>
      <c r="AB49" t="s">
        <v>74</v>
      </c>
      <c r="AC49" t="s">
        <v>74</v>
      </c>
      <c r="AD49" t="s">
        <v>74</v>
      </c>
      <c r="AE49" t="s">
        <v>74</v>
      </c>
      <c r="AF49" t="s">
        <v>74</v>
      </c>
      <c r="AG49">
        <v>10</v>
      </c>
      <c r="AH49">
        <v>5</v>
      </c>
      <c r="AI49">
        <v>5</v>
      </c>
      <c r="AJ49">
        <v>1</v>
      </c>
      <c r="AK49">
        <v>11</v>
      </c>
      <c r="AL49" t="s">
        <v>549</v>
      </c>
      <c r="AM49" t="s">
        <v>550</v>
      </c>
      <c r="AN49" t="s">
        <v>551</v>
      </c>
      <c r="AO49" t="s">
        <v>1040</v>
      </c>
      <c r="AP49" t="s">
        <v>74</v>
      </c>
      <c r="AQ49" t="s">
        <v>74</v>
      </c>
      <c r="AR49" t="s">
        <v>1042</v>
      </c>
      <c r="AS49" t="s">
        <v>1043</v>
      </c>
      <c r="AT49" t="s">
        <v>97</v>
      </c>
      <c r="AU49">
        <v>2010</v>
      </c>
      <c r="AV49">
        <v>96</v>
      </c>
      <c r="AW49">
        <v>2</v>
      </c>
      <c r="AX49" t="s">
        <v>74</v>
      </c>
      <c r="AY49" t="s">
        <v>74</v>
      </c>
      <c r="AZ49" t="s">
        <v>582</v>
      </c>
      <c r="BA49" t="s">
        <v>74</v>
      </c>
      <c r="BB49">
        <v>190</v>
      </c>
      <c r="BC49">
        <v>193</v>
      </c>
      <c r="BD49" t="s">
        <v>74</v>
      </c>
      <c r="BE49" t="s">
        <v>1050</v>
      </c>
      <c r="BF49" t="str">
        <f>HYPERLINK("http://dx.doi.org/10.1016/j.microc.2010.06.016","http://dx.doi.org/10.1016/j.microc.2010.06.016")</f>
        <v>http://dx.doi.org/10.1016/j.microc.2010.06.016</v>
      </c>
      <c r="BG49" t="s">
        <v>74</v>
      </c>
      <c r="BH49" t="s">
        <v>74</v>
      </c>
      <c r="BI49">
        <v>4</v>
      </c>
      <c r="BJ49" t="s">
        <v>391</v>
      </c>
      <c r="BK49" t="s">
        <v>100</v>
      </c>
      <c r="BL49" t="s">
        <v>392</v>
      </c>
      <c r="BM49" t="s">
        <v>1045</v>
      </c>
      <c r="BN49" t="s">
        <v>74</v>
      </c>
      <c r="BO49" t="s">
        <v>74</v>
      </c>
      <c r="BP49" t="s">
        <v>74</v>
      </c>
      <c r="BQ49" t="s">
        <v>74</v>
      </c>
      <c r="BR49" t="s">
        <v>104</v>
      </c>
      <c r="BS49" t="s">
        <v>1051</v>
      </c>
      <c r="BT49" t="str">
        <f>HYPERLINK("https%3A%2F%2Fwww.webofscience.com%2Fwos%2Fwoscc%2Ffull-record%2FWOS:000282929800003","View Full Record in Web of Science")</f>
        <v>View Full Record in Web of Science</v>
      </c>
    </row>
    <row r="50" spans="1:72" x14ac:dyDescent="0.15">
      <c r="A50" t="s">
        <v>72</v>
      </c>
      <c r="B50" t="s">
        <v>1052</v>
      </c>
      <c r="C50" t="s">
        <v>74</v>
      </c>
      <c r="D50" t="s">
        <v>74</v>
      </c>
      <c r="E50" t="s">
        <v>74</v>
      </c>
      <c r="F50" t="s">
        <v>1053</v>
      </c>
      <c r="G50" t="s">
        <v>74</v>
      </c>
      <c r="H50" t="s">
        <v>74</v>
      </c>
      <c r="I50" t="s">
        <v>1054</v>
      </c>
      <c r="J50" t="s">
        <v>1030</v>
      </c>
      <c r="K50" t="s">
        <v>74</v>
      </c>
      <c r="L50" t="s">
        <v>74</v>
      </c>
      <c r="M50" t="s">
        <v>78</v>
      </c>
      <c r="N50" t="s">
        <v>79</v>
      </c>
      <c r="O50" t="s">
        <v>74</v>
      </c>
      <c r="P50" t="s">
        <v>74</v>
      </c>
      <c r="Q50" t="s">
        <v>74</v>
      </c>
      <c r="R50" t="s">
        <v>74</v>
      </c>
      <c r="S50" t="s">
        <v>74</v>
      </c>
      <c r="T50" t="s">
        <v>1055</v>
      </c>
      <c r="U50" t="s">
        <v>1056</v>
      </c>
      <c r="V50" t="s">
        <v>1057</v>
      </c>
      <c r="W50" t="s">
        <v>1058</v>
      </c>
      <c r="X50" t="s">
        <v>1059</v>
      </c>
      <c r="Y50" t="s">
        <v>1060</v>
      </c>
      <c r="Z50" t="s">
        <v>1061</v>
      </c>
      <c r="AA50" t="s">
        <v>1062</v>
      </c>
      <c r="AB50" t="s">
        <v>1063</v>
      </c>
      <c r="AC50" t="s">
        <v>1064</v>
      </c>
      <c r="AD50" t="s">
        <v>1064</v>
      </c>
      <c r="AE50" t="s">
        <v>1065</v>
      </c>
      <c r="AF50" t="s">
        <v>74</v>
      </c>
      <c r="AG50">
        <v>45</v>
      </c>
      <c r="AH50">
        <v>8</v>
      </c>
      <c r="AI50">
        <v>8</v>
      </c>
      <c r="AJ50">
        <v>0</v>
      </c>
      <c r="AK50">
        <v>21</v>
      </c>
      <c r="AL50" t="s">
        <v>1038</v>
      </c>
      <c r="AM50" t="s">
        <v>550</v>
      </c>
      <c r="AN50" t="s">
        <v>1039</v>
      </c>
      <c r="AO50" t="s">
        <v>1040</v>
      </c>
      <c r="AP50" t="s">
        <v>1041</v>
      </c>
      <c r="AQ50" t="s">
        <v>74</v>
      </c>
      <c r="AR50" t="s">
        <v>1042</v>
      </c>
      <c r="AS50" t="s">
        <v>1043</v>
      </c>
      <c r="AT50" t="s">
        <v>97</v>
      </c>
      <c r="AU50">
        <v>2010</v>
      </c>
      <c r="AV50">
        <v>96</v>
      </c>
      <c r="AW50">
        <v>2</v>
      </c>
      <c r="AX50" t="s">
        <v>74</v>
      </c>
      <c r="AY50" t="s">
        <v>74</v>
      </c>
      <c r="AZ50" t="s">
        <v>582</v>
      </c>
      <c r="BA50" t="s">
        <v>74</v>
      </c>
      <c r="BB50">
        <v>194</v>
      </c>
      <c r="BC50">
        <v>202</v>
      </c>
      <c r="BD50" t="s">
        <v>74</v>
      </c>
      <c r="BE50" t="s">
        <v>1066</v>
      </c>
      <c r="BF50" t="str">
        <f>HYPERLINK("http://dx.doi.org/10.1016/j.microc.2009.07.014","http://dx.doi.org/10.1016/j.microc.2009.07.014")</f>
        <v>http://dx.doi.org/10.1016/j.microc.2009.07.014</v>
      </c>
      <c r="BG50" t="s">
        <v>74</v>
      </c>
      <c r="BH50" t="s">
        <v>74</v>
      </c>
      <c r="BI50">
        <v>9</v>
      </c>
      <c r="BJ50" t="s">
        <v>391</v>
      </c>
      <c r="BK50" t="s">
        <v>100</v>
      </c>
      <c r="BL50" t="s">
        <v>392</v>
      </c>
      <c r="BM50" t="s">
        <v>1045</v>
      </c>
      <c r="BN50" t="s">
        <v>74</v>
      </c>
      <c r="BO50" t="s">
        <v>74</v>
      </c>
      <c r="BP50" t="s">
        <v>74</v>
      </c>
      <c r="BQ50" t="s">
        <v>74</v>
      </c>
      <c r="BR50" t="s">
        <v>104</v>
      </c>
      <c r="BS50" t="s">
        <v>1067</v>
      </c>
      <c r="BT50" t="str">
        <f>HYPERLINK("https%3A%2F%2Fwww.webofscience.com%2Fwos%2Fwoscc%2Ffull-record%2FWOS:000282929800004","View Full Record in Web of Science")</f>
        <v>View Full Record in Web of Science</v>
      </c>
    </row>
    <row r="51" spans="1:72" x14ac:dyDescent="0.15">
      <c r="A51" t="s">
        <v>72</v>
      </c>
      <c r="B51" t="s">
        <v>1068</v>
      </c>
      <c r="C51" t="s">
        <v>74</v>
      </c>
      <c r="D51" t="s">
        <v>74</v>
      </c>
      <c r="E51" t="s">
        <v>74</v>
      </c>
      <c r="F51" t="s">
        <v>1069</v>
      </c>
      <c r="G51" t="s">
        <v>74</v>
      </c>
      <c r="H51" t="s">
        <v>74</v>
      </c>
      <c r="I51" t="s">
        <v>1070</v>
      </c>
      <c r="J51" t="s">
        <v>1030</v>
      </c>
      <c r="K51" t="s">
        <v>74</v>
      </c>
      <c r="L51" t="s">
        <v>74</v>
      </c>
      <c r="M51" t="s">
        <v>78</v>
      </c>
      <c r="N51" t="s">
        <v>79</v>
      </c>
      <c r="O51" t="s">
        <v>74</v>
      </c>
      <c r="P51" t="s">
        <v>74</v>
      </c>
      <c r="Q51" t="s">
        <v>74</v>
      </c>
      <c r="R51" t="s">
        <v>74</v>
      </c>
      <c r="S51" t="s">
        <v>74</v>
      </c>
      <c r="T51" t="s">
        <v>1071</v>
      </c>
      <c r="U51" t="s">
        <v>1072</v>
      </c>
      <c r="V51" t="s">
        <v>1073</v>
      </c>
      <c r="W51" t="s">
        <v>1074</v>
      </c>
      <c r="X51" t="s">
        <v>1075</v>
      </c>
      <c r="Y51" t="s">
        <v>1076</v>
      </c>
      <c r="Z51" t="s">
        <v>1077</v>
      </c>
      <c r="AA51" t="s">
        <v>1078</v>
      </c>
      <c r="AB51" t="s">
        <v>1079</v>
      </c>
      <c r="AC51" t="s">
        <v>1080</v>
      </c>
      <c r="AD51" t="s">
        <v>1081</v>
      </c>
      <c r="AE51" t="s">
        <v>1082</v>
      </c>
      <c r="AF51" t="s">
        <v>74</v>
      </c>
      <c r="AG51">
        <v>47</v>
      </c>
      <c r="AH51">
        <v>48</v>
      </c>
      <c r="AI51">
        <v>49</v>
      </c>
      <c r="AJ51">
        <v>1</v>
      </c>
      <c r="AK51">
        <v>22</v>
      </c>
      <c r="AL51" t="s">
        <v>1038</v>
      </c>
      <c r="AM51" t="s">
        <v>550</v>
      </c>
      <c r="AN51" t="s">
        <v>1039</v>
      </c>
      <c r="AO51" t="s">
        <v>1040</v>
      </c>
      <c r="AP51" t="s">
        <v>1041</v>
      </c>
      <c r="AQ51" t="s">
        <v>74</v>
      </c>
      <c r="AR51" t="s">
        <v>1042</v>
      </c>
      <c r="AS51" t="s">
        <v>1043</v>
      </c>
      <c r="AT51" t="s">
        <v>97</v>
      </c>
      <c r="AU51">
        <v>2010</v>
      </c>
      <c r="AV51">
        <v>96</v>
      </c>
      <c r="AW51">
        <v>2</v>
      </c>
      <c r="AX51" t="s">
        <v>74</v>
      </c>
      <c r="AY51" t="s">
        <v>74</v>
      </c>
      <c r="AZ51" t="s">
        <v>582</v>
      </c>
      <c r="BA51" t="s">
        <v>74</v>
      </c>
      <c r="BB51">
        <v>203</v>
      </c>
      <c r="BC51">
        <v>212</v>
      </c>
      <c r="BD51" t="s">
        <v>74</v>
      </c>
      <c r="BE51" t="s">
        <v>1083</v>
      </c>
      <c r="BF51" t="str">
        <f>HYPERLINK("http://dx.doi.org/10.1016/j.microc.2009.07.016","http://dx.doi.org/10.1016/j.microc.2009.07.016")</f>
        <v>http://dx.doi.org/10.1016/j.microc.2009.07.016</v>
      </c>
      <c r="BG51" t="s">
        <v>74</v>
      </c>
      <c r="BH51" t="s">
        <v>74</v>
      </c>
      <c r="BI51">
        <v>10</v>
      </c>
      <c r="BJ51" t="s">
        <v>391</v>
      </c>
      <c r="BK51" t="s">
        <v>100</v>
      </c>
      <c r="BL51" t="s">
        <v>392</v>
      </c>
      <c r="BM51" t="s">
        <v>1045</v>
      </c>
      <c r="BN51" t="s">
        <v>74</v>
      </c>
      <c r="BO51" t="s">
        <v>74</v>
      </c>
      <c r="BP51" t="s">
        <v>74</v>
      </c>
      <c r="BQ51" t="s">
        <v>74</v>
      </c>
      <c r="BR51" t="s">
        <v>104</v>
      </c>
      <c r="BS51" t="s">
        <v>1084</v>
      </c>
      <c r="BT51" t="str">
        <f>HYPERLINK("https%3A%2F%2Fwww.webofscience.com%2Fwos%2Fwoscc%2Ffull-record%2FWOS:000282929800005","View Full Record in Web of Science")</f>
        <v>View Full Record in Web of Science</v>
      </c>
    </row>
    <row r="52" spans="1:72" x14ac:dyDescent="0.15">
      <c r="A52" t="s">
        <v>72</v>
      </c>
      <c r="B52" t="s">
        <v>1085</v>
      </c>
      <c r="C52" t="s">
        <v>74</v>
      </c>
      <c r="D52" t="s">
        <v>74</v>
      </c>
      <c r="E52" t="s">
        <v>74</v>
      </c>
      <c r="F52" t="s">
        <v>1086</v>
      </c>
      <c r="G52" t="s">
        <v>74</v>
      </c>
      <c r="H52" t="s">
        <v>74</v>
      </c>
      <c r="I52" t="s">
        <v>1087</v>
      </c>
      <c r="J52" t="s">
        <v>1030</v>
      </c>
      <c r="K52" t="s">
        <v>74</v>
      </c>
      <c r="L52" t="s">
        <v>74</v>
      </c>
      <c r="M52" t="s">
        <v>78</v>
      </c>
      <c r="N52" t="s">
        <v>79</v>
      </c>
      <c r="O52" t="s">
        <v>74</v>
      </c>
      <c r="P52" t="s">
        <v>74</v>
      </c>
      <c r="Q52" t="s">
        <v>74</v>
      </c>
      <c r="R52" t="s">
        <v>74</v>
      </c>
      <c r="S52" t="s">
        <v>74</v>
      </c>
      <c r="T52" t="s">
        <v>1088</v>
      </c>
      <c r="U52" t="s">
        <v>1089</v>
      </c>
      <c r="V52" t="s">
        <v>1090</v>
      </c>
      <c r="W52" t="s">
        <v>1091</v>
      </c>
      <c r="X52" t="s">
        <v>1092</v>
      </c>
      <c r="Y52" t="s">
        <v>1093</v>
      </c>
      <c r="Z52" t="s">
        <v>1094</v>
      </c>
      <c r="AA52" t="s">
        <v>1095</v>
      </c>
      <c r="AB52" t="s">
        <v>1096</v>
      </c>
      <c r="AC52" t="s">
        <v>1097</v>
      </c>
      <c r="AD52" t="s">
        <v>1098</v>
      </c>
      <c r="AE52" t="s">
        <v>1099</v>
      </c>
      <c r="AF52" t="s">
        <v>74</v>
      </c>
      <c r="AG52">
        <v>33</v>
      </c>
      <c r="AH52">
        <v>18</v>
      </c>
      <c r="AI52">
        <v>21</v>
      </c>
      <c r="AJ52">
        <v>2</v>
      </c>
      <c r="AK52">
        <v>53</v>
      </c>
      <c r="AL52" t="s">
        <v>549</v>
      </c>
      <c r="AM52" t="s">
        <v>550</v>
      </c>
      <c r="AN52" t="s">
        <v>551</v>
      </c>
      <c r="AO52" t="s">
        <v>1040</v>
      </c>
      <c r="AP52" t="s">
        <v>1041</v>
      </c>
      <c r="AQ52" t="s">
        <v>74</v>
      </c>
      <c r="AR52" t="s">
        <v>1042</v>
      </c>
      <c r="AS52" t="s">
        <v>1043</v>
      </c>
      <c r="AT52" t="s">
        <v>97</v>
      </c>
      <c r="AU52">
        <v>2010</v>
      </c>
      <c r="AV52">
        <v>96</v>
      </c>
      <c r="AW52">
        <v>2</v>
      </c>
      <c r="AX52" t="s">
        <v>74</v>
      </c>
      <c r="AY52" t="s">
        <v>74</v>
      </c>
      <c r="AZ52" t="s">
        <v>582</v>
      </c>
      <c r="BA52" t="s">
        <v>74</v>
      </c>
      <c r="BB52">
        <v>213</v>
      </c>
      <c r="BC52">
        <v>217</v>
      </c>
      <c r="BD52" t="s">
        <v>74</v>
      </c>
      <c r="BE52" t="s">
        <v>1100</v>
      </c>
      <c r="BF52" t="str">
        <f>HYPERLINK("http://dx.doi.org/10.1016/j.microc.2009.07.013","http://dx.doi.org/10.1016/j.microc.2009.07.013")</f>
        <v>http://dx.doi.org/10.1016/j.microc.2009.07.013</v>
      </c>
      <c r="BG52" t="s">
        <v>74</v>
      </c>
      <c r="BH52" t="s">
        <v>74</v>
      </c>
      <c r="BI52">
        <v>5</v>
      </c>
      <c r="BJ52" t="s">
        <v>391</v>
      </c>
      <c r="BK52" t="s">
        <v>100</v>
      </c>
      <c r="BL52" t="s">
        <v>392</v>
      </c>
      <c r="BM52" t="s">
        <v>1045</v>
      </c>
      <c r="BN52" t="s">
        <v>74</v>
      </c>
      <c r="BO52" t="s">
        <v>134</v>
      </c>
      <c r="BP52" t="s">
        <v>74</v>
      </c>
      <c r="BQ52" t="s">
        <v>74</v>
      </c>
      <c r="BR52" t="s">
        <v>104</v>
      </c>
      <c r="BS52" t="s">
        <v>1101</v>
      </c>
      <c r="BT52" t="str">
        <f>HYPERLINK("https%3A%2F%2Fwww.webofscience.com%2Fwos%2Fwoscc%2Ffull-record%2FWOS:000282929800006","View Full Record in Web of Science")</f>
        <v>View Full Record in Web of Science</v>
      </c>
    </row>
    <row r="53" spans="1:72" x14ac:dyDescent="0.15">
      <c r="A53" t="s">
        <v>72</v>
      </c>
      <c r="B53" t="s">
        <v>1102</v>
      </c>
      <c r="C53" t="s">
        <v>74</v>
      </c>
      <c r="D53" t="s">
        <v>74</v>
      </c>
      <c r="E53" t="s">
        <v>74</v>
      </c>
      <c r="F53" t="s">
        <v>1103</v>
      </c>
      <c r="G53" t="s">
        <v>74</v>
      </c>
      <c r="H53" t="s">
        <v>1104</v>
      </c>
      <c r="I53" t="s">
        <v>1105</v>
      </c>
      <c r="J53" t="s">
        <v>1106</v>
      </c>
      <c r="K53" t="s">
        <v>74</v>
      </c>
      <c r="L53" t="s">
        <v>74</v>
      </c>
      <c r="M53" t="s">
        <v>78</v>
      </c>
      <c r="N53" t="s">
        <v>79</v>
      </c>
      <c r="O53" t="s">
        <v>74</v>
      </c>
      <c r="P53" t="s">
        <v>74</v>
      </c>
      <c r="Q53" t="s">
        <v>74</v>
      </c>
      <c r="R53" t="s">
        <v>74</v>
      </c>
      <c r="S53" t="s">
        <v>74</v>
      </c>
      <c r="T53" t="s">
        <v>74</v>
      </c>
      <c r="U53" t="s">
        <v>74</v>
      </c>
      <c r="V53" t="s">
        <v>1107</v>
      </c>
      <c r="W53" t="s">
        <v>1108</v>
      </c>
      <c r="X53" t="s">
        <v>1109</v>
      </c>
      <c r="Y53" t="s">
        <v>1110</v>
      </c>
      <c r="Z53" t="s">
        <v>74</v>
      </c>
      <c r="AA53" t="s">
        <v>1111</v>
      </c>
      <c r="AB53" t="s">
        <v>1112</v>
      </c>
      <c r="AC53" t="s">
        <v>74</v>
      </c>
      <c r="AD53" t="s">
        <v>74</v>
      </c>
      <c r="AE53" t="s">
        <v>74</v>
      </c>
      <c r="AF53" t="s">
        <v>74</v>
      </c>
      <c r="AG53">
        <v>0</v>
      </c>
      <c r="AH53">
        <v>30</v>
      </c>
      <c r="AI53">
        <v>31</v>
      </c>
      <c r="AJ53">
        <v>3</v>
      </c>
      <c r="AK53">
        <v>50</v>
      </c>
      <c r="AL53" t="s">
        <v>923</v>
      </c>
      <c r="AM53" t="s">
        <v>339</v>
      </c>
      <c r="AN53" t="s">
        <v>340</v>
      </c>
      <c r="AO53" t="s">
        <v>1113</v>
      </c>
      <c r="AP53" t="s">
        <v>1114</v>
      </c>
      <c r="AQ53" t="s">
        <v>74</v>
      </c>
      <c r="AR53" t="s">
        <v>1115</v>
      </c>
      <c r="AS53" t="s">
        <v>1116</v>
      </c>
      <c r="AT53" t="s">
        <v>97</v>
      </c>
      <c r="AU53">
        <v>2010</v>
      </c>
      <c r="AV53">
        <v>10</v>
      </c>
      <c r="AW53">
        <v>6</v>
      </c>
      <c r="AX53" t="s">
        <v>74</v>
      </c>
      <c r="AY53" t="s">
        <v>74</v>
      </c>
      <c r="AZ53" t="s">
        <v>74</v>
      </c>
      <c r="BA53" t="s">
        <v>74</v>
      </c>
      <c r="BB53">
        <v>1106</v>
      </c>
      <c r="BC53">
        <v>1108</v>
      </c>
      <c r="BD53" t="s">
        <v>74</v>
      </c>
      <c r="BE53" t="s">
        <v>1117</v>
      </c>
      <c r="BF53" t="str">
        <f>HYPERLINK("http://dx.doi.org/10.1111/j.1755-0998.2010.02916.x","http://dx.doi.org/10.1111/j.1755-0998.2010.02916.x")</f>
        <v>http://dx.doi.org/10.1111/j.1755-0998.2010.02916.x</v>
      </c>
      <c r="BG53" t="s">
        <v>74</v>
      </c>
      <c r="BH53" t="s">
        <v>74</v>
      </c>
      <c r="BI53">
        <v>3</v>
      </c>
      <c r="BJ53" t="s">
        <v>1118</v>
      </c>
      <c r="BK53" t="s">
        <v>100</v>
      </c>
      <c r="BL53" t="s">
        <v>1119</v>
      </c>
      <c r="BM53" t="s">
        <v>1120</v>
      </c>
      <c r="BN53">
        <v>21565125</v>
      </c>
      <c r="BO53" t="s">
        <v>74</v>
      </c>
      <c r="BP53" t="s">
        <v>74</v>
      </c>
      <c r="BQ53" t="s">
        <v>74</v>
      </c>
      <c r="BR53" t="s">
        <v>104</v>
      </c>
      <c r="BS53" t="s">
        <v>1121</v>
      </c>
      <c r="BT53" t="str">
        <f>HYPERLINK("https%3A%2F%2Fwww.webofscience.com%2Fwos%2Fwoscc%2Ffull-record%2FWOS:000282876300024","View Full Record in Web of Science")</f>
        <v>View Full Record in Web of Science</v>
      </c>
    </row>
    <row r="54" spans="1:72" x14ac:dyDescent="0.15">
      <c r="A54" t="s">
        <v>72</v>
      </c>
      <c r="B54" t="s">
        <v>1122</v>
      </c>
      <c r="C54" t="s">
        <v>74</v>
      </c>
      <c r="D54" t="s">
        <v>74</v>
      </c>
      <c r="E54" t="s">
        <v>74</v>
      </c>
      <c r="F54" t="s">
        <v>1123</v>
      </c>
      <c r="G54" t="s">
        <v>74</v>
      </c>
      <c r="H54" t="s">
        <v>74</v>
      </c>
      <c r="I54" t="s">
        <v>1124</v>
      </c>
      <c r="J54" t="s">
        <v>1125</v>
      </c>
      <c r="K54" t="s">
        <v>74</v>
      </c>
      <c r="L54" t="s">
        <v>74</v>
      </c>
      <c r="M54" t="s">
        <v>78</v>
      </c>
      <c r="N54" t="s">
        <v>79</v>
      </c>
      <c r="O54" t="s">
        <v>74</v>
      </c>
      <c r="P54" t="s">
        <v>74</v>
      </c>
      <c r="Q54" t="s">
        <v>74</v>
      </c>
      <c r="R54" t="s">
        <v>74</v>
      </c>
      <c r="S54" t="s">
        <v>74</v>
      </c>
      <c r="T54" t="s">
        <v>1126</v>
      </c>
      <c r="U54" t="s">
        <v>1127</v>
      </c>
      <c r="V54" t="s">
        <v>1128</v>
      </c>
      <c r="W54" t="s">
        <v>1129</v>
      </c>
      <c r="X54" t="s">
        <v>1130</v>
      </c>
      <c r="Y54" t="s">
        <v>1131</v>
      </c>
      <c r="Z54" t="s">
        <v>1132</v>
      </c>
      <c r="AA54" t="s">
        <v>74</v>
      </c>
      <c r="AB54" t="s">
        <v>74</v>
      </c>
      <c r="AC54" t="s">
        <v>1133</v>
      </c>
      <c r="AD54" t="s">
        <v>1134</v>
      </c>
      <c r="AE54" t="s">
        <v>1135</v>
      </c>
      <c r="AF54" t="s">
        <v>74</v>
      </c>
      <c r="AG54">
        <v>42</v>
      </c>
      <c r="AH54">
        <v>11</v>
      </c>
      <c r="AI54">
        <v>12</v>
      </c>
      <c r="AJ54">
        <v>0</v>
      </c>
      <c r="AK54">
        <v>7</v>
      </c>
      <c r="AL54" t="s">
        <v>1136</v>
      </c>
      <c r="AM54" t="s">
        <v>1137</v>
      </c>
      <c r="AN54" t="s">
        <v>1138</v>
      </c>
      <c r="AO54" t="s">
        <v>1139</v>
      </c>
      <c r="AP54" t="s">
        <v>1140</v>
      </c>
      <c r="AQ54" t="s">
        <v>74</v>
      </c>
      <c r="AR54" t="s">
        <v>1141</v>
      </c>
      <c r="AS54" t="s">
        <v>1142</v>
      </c>
      <c r="AT54" t="s">
        <v>97</v>
      </c>
      <c r="AU54">
        <v>2010</v>
      </c>
      <c r="AV54">
        <v>57</v>
      </c>
      <c r="AW54">
        <v>2</v>
      </c>
      <c r="AX54" t="s">
        <v>74</v>
      </c>
      <c r="AY54" t="s">
        <v>74</v>
      </c>
      <c r="AZ54" t="s">
        <v>74</v>
      </c>
      <c r="BA54" t="s">
        <v>74</v>
      </c>
      <c r="BB54">
        <v>518</v>
      </c>
      <c r="BC54">
        <v>527</v>
      </c>
      <c r="BD54" t="s">
        <v>74</v>
      </c>
      <c r="BE54" t="s">
        <v>1143</v>
      </c>
      <c r="BF54" t="str">
        <f>HYPERLINK("http://dx.doi.org/10.1016/j.ympev.2010.07.007","http://dx.doi.org/10.1016/j.ympev.2010.07.007")</f>
        <v>http://dx.doi.org/10.1016/j.ympev.2010.07.007</v>
      </c>
      <c r="BG54" t="s">
        <v>74</v>
      </c>
      <c r="BH54" t="s">
        <v>74</v>
      </c>
      <c r="BI54">
        <v>10</v>
      </c>
      <c r="BJ54" t="s">
        <v>1144</v>
      </c>
      <c r="BK54" t="s">
        <v>100</v>
      </c>
      <c r="BL54" t="s">
        <v>1144</v>
      </c>
      <c r="BM54" t="s">
        <v>1145</v>
      </c>
      <c r="BN54">
        <v>20654723</v>
      </c>
      <c r="BO54" t="s">
        <v>74</v>
      </c>
      <c r="BP54" t="s">
        <v>74</v>
      </c>
      <c r="BQ54" t="s">
        <v>74</v>
      </c>
      <c r="BR54" t="s">
        <v>104</v>
      </c>
      <c r="BS54" t="s">
        <v>1146</v>
      </c>
      <c r="BT54" t="str">
        <f>HYPERLINK("https%3A%2F%2Fwww.webofscience.com%2Fwos%2Fwoscc%2Ffull-record%2FWOS:000284176800004","View Full Record in Web of Science")</f>
        <v>View Full Record in Web of Science</v>
      </c>
    </row>
    <row r="55" spans="1:72" x14ac:dyDescent="0.15">
      <c r="A55" t="s">
        <v>72</v>
      </c>
      <c r="B55" t="s">
        <v>1147</v>
      </c>
      <c r="C55" t="s">
        <v>74</v>
      </c>
      <c r="D55" t="s">
        <v>74</v>
      </c>
      <c r="E55" t="s">
        <v>74</v>
      </c>
      <c r="F55" t="s">
        <v>1148</v>
      </c>
      <c r="G55" t="s">
        <v>74</v>
      </c>
      <c r="H55" t="s">
        <v>74</v>
      </c>
      <c r="I55" t="s">
        <v>1149</v>
      </c>
      <c r="J55" t="s">
        <v>1150</v>
      </c>
      <c r="K55" t="s">
        <v>74</v>
      </c>
      <c r="L55" t="s">
        <v>74</v>
      </c>
      <c r="M55" t="s">
        <v>78</v>
      </c>
      <c r="N55" t="s">
        <v>79</v>
      </c>
      <c r="O55" t="s">
        <v>74</v>
      </c>
      <c r="P55" t="s">
        <v>74</v>
      </c>
      <c r="Q55" t="s">
        <v>74</v>
      </c>
      <c r="R55" t="s">
        <v>74</v>
      </c>
      <c r="S55" t="s">
        <v>74</v>
      </c>
      <c r="T55" t="s">
        <v>1151</v>
      </c>
      <c r="U55" t="s">
        <v>1152</v>
      </c>
      <c r="V55" t="s">
        <v>1153</v>
      </c>
      <c r="W55" t="s">
        <v>1154</v>
      </c>
      <c r="X55" t="s">
        <v>1155</v>
      </c>
      <c r="Y55" t="s">
        <v>1156</v>
      </c>
      <c r="Z55" t="s">
        <v>1157</v>
      </c>
      <c r="AA55" t="s">
        <v>74</v>
      </c>
      <c r="AB55" t="s">
        <v>74</v>
      </c>
      <c r="AC55" t="s">
        <v>1158</v>
      </c>
      <c r="AD55" t="s">
        <v>1159</v>
      </c>
      <c r="AE55" t="s">
        <v>1160</v>
      </c>
      <c r="AF55" t="s">
        <v>74</v>
      </c>
      <c r="AG55">
        <v>55</v>
      </c>
      <c r="AH55">
        <v>45</v>
      </c>
      <c r="AI55">
        <v>57</v>
      </c>
      <c r="AJ55">
        <v>1</v>
      </c>
      <c r="AK55">
        <v>49</v>
      </c>
      <c r="AL55" t="s">
        <v>1161</v>
      </c>
      <c r="AM55" t="s">
        <v>1162</v>
      </c>
      <c r="AN55" t="s">
        <v>1163</v>
      </c>
      <c r="AO55" t="s">
        <v>1164</v>
      </c>
      <c r="AP55" t="s">
        <v>1165</v>
      </c>
      <c r="AQ55" t="s">
        <v>74</v>
      </c>
      <c r="AR55" t="s">
        <v>1150</v>
      </c>
      <c r="AS55" t="s">
        <v>1166</v>
      </c>
      <c r="AT55" t="s">
        <v>316</v>
      </c>
      <c r="AU55">
        <v>2010</v>
      </c>
      <c r="AV55">
        <v>102</v>
      </c>
      <c r="AW55">
        <v>6</v>
      </c>
      <c r="AX55" t="s">
        <v>74</v>
      </c>
      <c r="AY55" t="s">
        <v>74</v>
      </c>
      <c r="AZ55" t="s">
        <v>74</v>
      </c>
      <c r="BA55" t="s">
        <v>74</v>
      </c>
      <c r="BB55">
        <v>1417</v>
      </c>
      <c r="BC55">
        <v>1425</v>
      </c>
      <c r="BD55" t="s">
        <v>74</v>
      </c>
      <c r="BE55" t="s">
        <v>1167</v>
      </c>
      <c r="BF55" t="str">
        <f>HYPERLINK("http://dx.doi.org/10.3852/10-048","http://dx.doi.org/10.3852/10-048")</f>
        <v>http://dx.doi.org/10.3852/10-048</v>
      </c>
      <c r="BG55" t="s">
        <v>74</v>
      </c>
      <c r="BH55" t="s">
        <v>74</v>
      </c>
      <c r="BI55">
        <v>9</v>
      </c>
      <c r="BJ55" t="s">
        <v>1168</v>
      </c>
      <c r="BK55" t="s">
        <v>100</v>
      </c>
      <c r="BL55" t="s">
        <v>1168</v>
      </c>
      <c r="BM55" t="s">
        <v>1169</v>
      </c>
      <c r="BN55">
        <v>20943538</v>
      </c>
      <c r="BO55" t="s">
        <v>134</v>
      </c>
      <c r="BP55" t="s">
        <v>74</v>
      </c>
      <c r="BQ55" t="s">
        <v>74</v>
      </c>
      <c r="BR55" t="s">
        <v>104</v>
      </c>
      <c r="BS55" t="s">
        <v>1170</v>
      </c>
      <c r="BT55" t="str">
        <f>HYPERLINK("https%3A%2F%2Fwww.webofscience.com%2Fwos%2Fwoscc%2Ffull-record%2FWOS:000283484300017","View Full Record in Web of Science")</f>
        <v>View Full Record in Web of Science</v>
      </c>
    </row>
    <row r="56" spans="1:72" x14ac:dyDescent="0.15">
      <c r="A56" t="s">
        <v>72</v>
      </c>
      <c r="B56" t="s">
        <v>1171</v>
      </c>
      <c r="C56" t="s">
        <v>74</v>
      </c>
      <c r="D56" t="s">
        <v>74</v>
      </c>
      <c r="E56" t="s">
        <v>74</v>
      </c>
      <c r="F56" t="s">
        <v>1172</v>
      </c>
      <c r="G56" t="s">
        <v>74</v>
      </c>
      <c r="H56" t="s">
        <v>74</v>
      </c>
      <c r="I56" t="s">
        <v>1173</v>
      </c>
      <c r="J56" t="s">
        <v>1174</v>
      </c>
      <c r="K56" t="s">
        <v>74</v>
      </c>
      <c r="L56" t="s">
        <v>74</v>
      </c>
      <c r="M56" t="s">
        <v>78</v>
      </c>
      <c r="N56" t="s">
        <v>79</v>
      </c>
      <c r="O56" t="s">
        <v>74</v>
      </c>
      <c r="P56" t="s">
        <v>74</v>
      </c>
      <c r="Q56" t="s">
        <v>74</v>
      </c>
      <c r="R56" t="s">
        <v>74</v>
      </c>
      <c r="S56" t="s">
        <v>74</v>
      </c>
      <c r="T56" t="s">
        <v>74</v>
      </c>
      <c r="U56" t="s">
        <v>1175</v>
      </c>
      <c r="V56" t="s">
        <v>1176</v>
      </c>
      <c r="W56" t="s">
        <v>1177</v>
      </c>
      <c r="X56" t="s">
        <v>1178</v>
      </c>
      <c r="Y56" t="s">
        <v>1179</v>
      </c>
      <c r="Z56" t="s">
        <v>1180</v>
      </c>
      <c r="AA56" t="s">
        <v>1181</v>
      </c>
      <c r="AB56" t="s">
        <v>1182</v>
      </c>
      <c r="AC56" t="s">
        <v>1183</v>
      </c>
      <c r="AD56" t="s">
        <v>1184</v>
      </c>
      <c r="AE56" t="s">
        <v>1185</v>
      </c>
      <c r="AF56" t="s">
        <v>74</v>
      </c>
      <c r="AG56">
        <v>27</v>
      </c>
      <c r="AH56">
        <v>54</v>
      </c>
      <c r="AI56">
        <v>65</v>
      </c>
      <c r="AJ56">
        <v>4</v>
      </c>
      <c r="AK56">
        <v>49</v>
      </c>
      <c r="AL56" t="s">
        <v>1186</v>
      </c>
      <c r="AM56" t="s">
        <v>1187</v>
      </c>
      <c r="AN56" t="s">
        <v>1188</v>
      </c>
      <c r="AO56" t="s">
        <v>1189</v>
      </c>
      <c r="AP56" t="s">
        <v>1190</v>
      </c>
      <c r="AQ56" t="s">
        <v>74</v>
      </c>
      <c r="AR56" t="s">
        <v>1191</v>
      </c>
      <c r="AS56" t="s">
        <v>1192</v>
      </c>
      <c r="AT56" t="s">
        <v>97</v>
      </c>
      <c r="AU56">
        <v>2010</v>
      </c>
      <c r="AV56">
        <v>3</v>
      </c>
      <c r="AW56">
        <v>11</v>
      </c>
      <c r="AX56" t="s">
        <v>74</v>
      </c>
      <c r="AY56" t="s">
        <v>74</v>
      </c>
      <c r="AZ56" t="s">
        <v>74</v>
      </c>
      <c r="BA56" t="s">
        <v>74</v>
      </c>
      <c r="BB56">
        <v>770</v>
      </c>
      <c r="BC56">
        <v>773</v>
      </c>
      <c r="BD56" t="s">
        <v>74</v>
      </c>
      <c r="BE56" t="s">
        <v>1193</v>
      </c>
      <c r="BF56" t="str">
        <f>HYPERLINK("http://dx.doi.org/10.1038/NGEO987","http://dx.doi.org/10.1038/NGEO987")</f>
        <v>http://dx.doi.org/10.1038/NGEO987</v>
      </c>
      <c r="BG56" t="s">
        <v>74</v>
      </c>
      <c r="BH56" t="s">
        <v>74</v>
      </c>
      <c r="BI56">
        <v>4</v>
      </c>
      <c r="BJ56" t="s">
        <v>1194</v>
      </c>
      <c r="BK56" t="s">
        <v>100</v>
      </c>
      <c r="BL56" t="s">
        <v>807</v>
      </c>
      <c r="BM56" t="s">
        <v>1195</v>
      </c>
      <c r="BN56" t="s">
        <v>74</v>
      </c>
      <c r="BO56" t="s">
        <v>134</v>
      </c>
      <c r="BP56" t="s">
        <v>74</v>
      </c>
      <c r="BQ56" t="s">
        <v>74</v>
      </c>
      <c r="BR56" t="s">
        <v>104</v>
      </c>
      <c r="BS56" t="s">
        <v>1196</v>
      </c>
      <c r="BT56" t="str">
        <f>HYPERLINK("https%3A%2F%2Fwww.webofscience.com%2Fwos%2Fwoscc%2Ffull-record%2FWOS:000283648800020","View Full Record in Web of Science")</f>
        <v>View Full Record in Web of Science</v>
      </c>
    </row>
    <row r="57" spans="1:72" x14ac:dyDescent="0.15">
      <c r="A57" t="s">
        <v>72</v>
      </c>
      <c r="B57" t="s">
        <v>1197</v>
      </c>
      <c r="C57" t="s">
        <v>74</v>
      </c>
      <c r="D57" t="s">
        <v>74</v>
      </c>
      <c r="E57" t="s">
        <v>74</v>
      </c>
      <c r="F57" t="s">
        <v>1198</v>
      </c>
      <c r="G57" t="s">
        <v>74</v>
      </c>
      <c r="H57" t="s">
        <v>1199</v>
      </c>
      <c r="I57" t="s">
        <v>1200</v>
      </c>
      <c r="J57" t="s">
        <v>1201</v>
      </c>
      <c r="K57" t="s">
        <v>74</v>
      </c>
      <c r="L57" t="s">
        <v>74</v>
      </c>
      <c r="M57" t="s">
        <v>78</v>
      </c>
      <c r="N57" t="s">
        <v>1202</v>
      </c>
      <c r="O57" t="s">
        <v>1203</v>
      </c>
      <c r="P57" t="s">
        <v>1204</v>
      </c>
      <c r="Q57" t="s">
        <v>1205</v>
      </c>
      <c r="R57" t="s">
        <v>74</v>
      </c>
      <c r="S57" t="s">
        <v>74</v>
      </c>
      <c r="T57" t="s">
        <v>1206</v>
      </c>
      <c r="U57" t="s">
        <v>1207</v>
      </c>
      <c r="V57" t="s">
        <v>1208</v>
      </c>
      <c r="W57" t="s">
        <v>1209</v>
      </c>
      <c r="X57" t="s">
        <v>1210</v>
      </c>
      <c r="Y57" t="s">
        <v>1211</v>
      </c>
      <c r="Z57" t="s">
        <v>1212</v>
      </c>
      <c r="AA57" t="s">
        <v>74</v>
      </c>
      <c r="AB57" t="s">
        <v>74</v>
      </c>
      <c r="AC57" t="s">
        <v>74</v>
      </c>
      <c r="AD57" t="s">
        <v>74</v>
      </c>
      <c r="AE57" t="s">
        <v>74</v>
      </c>
      <c r="AF57" t="s">
        <v>74</v>
      </c>
      <c r="AG57">
        <v>26</v>
      </c>
      <c r="AH57">
        <v>1</v>
      </c>
      <c r="AI57">
        <v>1</v>
      </c>
      <c r="AJ57">
        <v>0</v>
      </c>
      <c r="AK57">
        <v>0</v>
      </c>
      <c r="AL57" t="s">
        <v>1038</v>
      </c>
      <c r="AM57" t="s">
        <v>550</v>
      </c>
      <c r="AN57" t="s">
        <v>1039</v>
      </c>
      <c r="AO57" t="s">
        <v>1213</v>
      </c>
      <c r="AP57" t="s">
        <v>1214</v>
      </c>
      <c r="AQ57" t="s">
        <v>74</v>
      </c>
      <c r="AR57" t="s">
        <v>1215</v>
      </c>
      <c r="AS57" t="s">
        <v>1216</v>
      </c>
      <c r="AT57" t="s">
        <v>555</v>
      </c>
      <c r="AU57">
        <v>2010</v>
      </c>
      <c r="AV57">
        <v>623</v>
      </c>
      <c r="AW57">
        <v>1</v>
      </c>
      <c r="AX57" t="s">
        <v>74</v>
      </c>
      <c r="AY57" t="s">
        <v>74</v>
      </c>
      <c r="AZ57" t="s">
        <v>74</v>
      </c>
      <c r="BA57" t="s">
        <v>74</v>
      </c>
      <c r="BB57">
        <v>413</v>
      </c>
      <c r="BC57">
        <v>415</v>
      </c>
      <c r="BD57" t="s">
        <v>74</v>
      </c>
      <c r="BE57" t="s">
        <v>1217</v>
      </c>
      <c r="BF57" t="str">
        <f>HYPERLINK("http://dx.doi.org/10.1016/j.nima.2010.03.020","http://dx.doi.org/10.1016/j.nima.2010.03.020")</f>
        <v>http://dx.doi.org/10.1016/j.nima.2010.03.020</v>
      </c>
      <c r="BG57" t="s">
        <v>74</v>
      </c>
      <c r="BH57" t="s">
        <v>74</v>
      </c>
      <c r="BI57">
        <v>3</v>
      </c>
      <c r="BJ57" t="s">
        <v>1218</v>
      </c>
      <c r="BK57" t="s">
        <v>1219</v>
      </c>
      <c r="BL57" t="s">
        <v>1220</v>
      </c>
      <c r="BM57" t="s">
        <v>1221</v>
      </c>
      <c r="BN57" t="s">
        <v>74</v>
      </c>
      <c r="BO57" t="s">
        <v>74</v>
      </c>
      <c r="BP57" t="s">
        <v>74</v>
      </c>
      <c r="BQ57" t="s">
        <v>74</v>
      </c>
      <c r="BR57" t="s">
        <v>104</v>
      </c>
      <c r="BS57" t="s">
        <v>1222</v>
      </c>
      <c r="BT57" t="str">
        <f>HYPERLINK("https%3A%2F%2Fwww.webofscience.com%2Fwos%2Fwoscc%2Ffull-record%2FWOS:000283954800127","View Full Record in Web of Science")</f>
        <v>View Full Record in Web of Science</v>
      </c>
    </row>
    <row r="58" spans="1:72" x14ac:dyDescent="0.15">
      <c r="A58" t="s">
        <v>72</v>
      </c>
      <c r="B58" t="s">
        <v>1223</v>
      </c>
      <c r="C58" t="s">
        <v>74</v>
      </c>
      <c r="D58" t="s">
        <v>74</v>
      </c>
      <c r="E58" t="s">
        <v>74</v>
      </c>
      <c r="F58" t="s">
        <v>1224</v>
      </c>
      <c r="G58" t="s">
        <v>74</v>
      </c>
      <c r="H58" t="s">
        <v>74</v>
      </c>
      <c r="I58" t="s">
        <v>1225</v>
      </c>
      <c r="J58" t="s">
        <v>1226</v>
      </c>
      <c r="K58" t="s">
        <v>74</v>
      </c>
      <c r="L58" t="s">
        <v>74</v>
      </c>
      <c r="M58" t="s">
        <v>78</v>
      </c>
      <c r="N58" t="s">
        <v>79</v>
      </c>
      <c r="O58" t="s">
        <v>74</v>
      </c>
      <c r="P58" t="s">
        <v>74</v>
      </c>
      <c r="Q58" t="s">
        <v>74</v>
      </c>
      <c r="R58" t="s">
        <v>74</v>
      </c>
      <c r="S58" t="s">
        <v>74</v>
      </c>
      <c r="T58" t="s">
        <v>1227</v>
      </c>
      <c r="U58" t="s">
        <v>1228</v>
      </c>
      <c r="V58" t="s">
        <v>1229</v>
      </c>
      <c r="W58" t="s">
        <v>1230</v>
      </c>
      <c r="X58" t="s">
        <v>1231</v>
      </c>
      <c r="Y58" t="s">
        <v>1232</v>
      </c>
      <c r="Z58" t="s">
        <v>1233</v>
      </c>
      <c r="AA58" t="s">
        <v>1234</v>
      </c>
      <c r="AB58" t="s">
        <v>1235</v>
      </c>
      <c r="AC58" t="s">
        <v>74</v>
      </c>
      <c r="AD58" t="s">
        <v>74</v>
      </c>
      <c r="AE58" t="s">
        <v>74</v>
      </c>
      <c r="AF58" t="s">
        <v>74</v>
      </c>
      <c r="AG58">
        <v>68</v>
      </c>
      <c r="AH58">
        <v>33</v>
      </c>
      <c r="AI58">
        <v>37</v>
      </c>
      <c r="AJ58">
        <v>1</v>
      </c>
      <c r="AK58">
        <v>37</v>
      </c>
      <c r="AL58" t="s">
        <v>1038</v>
      </c>
      <c r="AM58" t="s">
        <v>550</v>
      </c>
      <c r="AN58" t="s">
        <v>1039</v>
      </c>
      <c r="AO58" t="s">
        <v>1236</v>
      </c>
      <c r="AP58" t="s">
        <v>1237</v>
      </c>
      <c r="AQ58" t="s">
        <v>74</v>
      </c>
      <c r="AR58" t="s">
        <v>1238</v>
      </c>
      <c r="AS58" t="s">
        <v>1239</v>
      </c>
      <c r="AT58" t="s">
        <v>555</v>
      </c>
      <c r="AU58">
        <v>2010</v>
      </c>
      <c r="AV58">
        <v>297</v>
      </c>
      <c r="AW58">
        <v>1</v>
      </c>
      <c r="AX58" t="s">
        <v>74</v>
      </c>
      <c r="AY58" t="s">
        <v>74</v>
      </c>
      <c r="AZ58" t="s">
        <v>74</v>
      </c>
      <c r="BA58" t="s">
        <v>74</v>
      </c>
      <c r="BB58">
        <v>26</v>
      </c>
      <c r="BC58">
        <v>36</v>
      </c>
      <c r="BD58" t="s">
        <v>74</v>
      </c>
      <c r="BE58" t="s">
        <v>1240</v>
      </c>
      <c r="BF58" t="str">
        <f>HYPERLINK("http://dx.doi.org/10.1016/j.palaeo.2010.07.011","http://dx.doi.org/10.1016/j.palaeo.2010.07.011")</f>
        <v>http://dx.doi.org/10.1016/j.palaeo.2010.07.011</v>
      </c>
      <c r="BG58" t="s">
        <v>74</v>
      </c>
      <c r="BH58" t="s">
        <v>74</v>
      </c>
      <c r="BI58">
        <v>11</v>
      </c>
      <c r="BJ58" t="s">
        <v>1241</v>
      </c>
      <c r="BK58" t="s">
        <v>100</v>
      </c>
      <c r="BL58" t="s">
        <v>1242</v>
      </c>
      <c r="BM58" t="s">
        <v>1243</v>
      </c>
      <c r="BN58" t="s">
        <v>74</v>
      </c>
      <c r="BO58" t="s">
        <v>74</v>
      </c>
      <c r="BP58" t="s">
        <v>74</v>
      </c>
      <c r="BQ58" t="s">
        <v>74</v>
      </c>
      <c r="BR58" t="s">
        <v>104</v>
      </c>
      <c r="BS58" t="s">
        <v>1244</v>
      </c>
      <c r="BT58" t="str">
        <f>HYPERLINK("https%3A%2F%2Fwww.webofscience.com%2Fwos%2Fwoscc%2Ffull-record%2FWOS:000283211500003","View Full Record in Web of Science")</f>
        <v>View Full Record in Web of Science</v>
      </c>
    </row>
    <row r="59" spans="1:72" x14ac:dyDescent="0.15">
      <c r="A59" t="s">
        <v>72</v>
      </c>
      <c r="B59" t="s">
        <v>1245</v>
      </c>
      <c r="C59" t="s">
        <v>74</v>
      </c>
      <c r="D59" t="s">
        <v>74</v>
      </c>
      <c r="E59" t="s">
        <v>74</v>
      </c>
      <c r="F59" t="s">
        <v>1246</v>
      </c>
      <c r="G59" t="s">
        <v>74</v>
      </c>
      <c r="H59" t="s">
        <v>74</v>
      </c>
      <c r="I59" t="s">
        <v>1247</v>
      </c>
      <c r="J59" t="s">
        <v>1226</v>
      </c>
      <c r="K59" t="s">
        <v>74</v>
      </c>
      <c r="L59" t="s">
        <v>74</v>
      </c>
      <c r="M59" t="s">
        <v>78</v>
      </c>
      <c r="N59" t="s">
        <v>79</v>
      </c>
      <c r="O59" t="s">
        <v>74</v>
      </c>
      <c r="P59" t="s">
        <v>74</v>
      </c>
      <c r="Q59" t="s">
        <v>74</v>
      </c>
      <c r="R59" t="s">
        <v>74</v>
      </c>
      <c r="S59" t="s">
        <v>74</v>
      </c>
      <c r="T59" t="s">
        <v>1248</v>
      </c>
      <c r="U59" t="s">
        <v>1249</v>
      </c>
      <c r="V59" t="s">
        <v>1250</v>
      </c>
      <c r="W59" t="s">
        <v>1251</v>
      </c>
      <c r="X59" t="s">
        <v>1252</v>
      </c>
      <c r="Y59" t="s">
        <v>1253</v>
      </c>
      <c r="Z59" t="s">
        <v>1254</v>
      </c>
      <c r="AA59" t="s">
        <v>1255</v>
      </c>
      <c r="AB59" t="s">
        <v>1256</v>
      </c>
      <c r="AC59" t="s">
        <v>1257</v>
      </c>
      <c r="AD59" t="s">
        <v>1258</v>
      </c>
      <c r="AE59" t="s">
        <v>1259</v>
      </c>
      <c r="AF59" t="s">
        <v>74</v>
      </c>
      <c r="AG59">
        <v>41</v>
      </c>
      <c r="AH59">
        <v>23</v>
      </c>
      <c r="AI59">
        <v>27</v>
      </c>
      <c r="AJ59">
        <v>0</v>
      </c>
      <c r="AK59">
        <v>31</v>
      </c>
      <c r="AL59" t="s">
        <v>549</v>
      </c>
      <c r="AM59" t="s">
        <v>550</v>
      </c>
      <c r="AN59" t="s">
        <v>551</v>
      </c>
      <c r="AO59" t="s">
        <v>1236</v>
      </c>
      <c r="AP59" t="s">
        <v>1237</v>
      </c>
      <c r="AQ59" t="s">
        <v>74</v>
      </c>
      <c r="AR59" t="s">
        <v>1238</v>
      </c>
      <c r="AS59" t="s">
        <v>1239</v>
      </c>
      <c r="AT59" t="s">
        <v>555</v>
      </c>
      <c r="AU59">
        <v>2010</v>
      </c>
      <c r="AV59">
        <v>297</v>
      </c>
      <c r="AW59">
        <v>1</v>
      </c>
      <c r="AX59" t="s">
        <v>74</v>
      </c>
      <c r="AY59" t="s">
        <v>74</v>
      </c>
      <c r="AZ59" t="s">
        <v>74</v>
      </c>
      <c r="BA59" t="s">
        <v>74</v>
      </c>
      <c r="BB59">
        <v>70</v>
      </c>
      <c r="BC59">
        <v>82</v>
      </c>
      <c r="BD59" t="s">
        <v>74</v>
      </c>
      <c r="BE59" t="s">
        <v>1260</v>
      </c>
      <c r="BF59" t="str">
        <f>HYPERLINK("http://dx.doi.org/10.1016/j.palaeo.2010.07.016","http://dx.doi.org/10.1016/j.palaeo.2010.07.016")</f>
        <v>http://dx.doi.org/10.1016/j.palaeo.2010.07.016</v>
      </c>
      <c r="BG59" t="s">
        <v>74</v>
      </c>
      <c r="BH59" t="s">
        <v>74</v>
      </c>
      <c r="BI59">
        <v>13</v>
      </c>
      <c r="BJ59" t="s">
        <v>1241</v>
      </c>
      <c r="BK59" t="s">
        <v>100</v>
      </c>
      <c r="BL59" t="s">
        <v>1242</v>
      </c>
      <c r="BM59" t="s">
        <v>1243</v>
      </c>
      <c r="BN59" t="s">
        <v>74</v>
      </c>
      <c r="BO59" t="s">
        <v>74</v>
      </c>
      <c r="BP59" t="s">
        <v>74</v>
      </c>
      <c r="BQ59" t="s">
        <v>74</v>
      </c>
      <c r="BR59" t="s">
        <v>104</v>
      </c>
      <c r="BS59" t="s">
        <v>1261</v>
      </c>
      <c r="BT59" t="str">
        <f>HYPERLINK("https%3A%2F%2Fwww.webofscience.com%2Fwos%2Fwoscc%2Ffull-record%2FWOS:000283211500006","View Full Record in Web of Science")</f>
        <v>View Full Record in Web of Science</v>
      </c>
    </row>
    <row r="60" spans="1:72" x14ac:dyDescent="0.15">
      <c r="A60" t="s">
        <v>72</v>
      </c>
      <c r="B60" t="s">
        <v>1262</v>
      </c>
      <c r="C60" t="s">
        <v>74</v>
      </c>
      <c r="D60" t="s">
        <v>74</v>
      </c>
      <c r="E60" t="s">
        <v>74</v>
      </c>
      <c r="F60" t="s">
        <v>1263</v>
      </c>
      <c r="G60" t="s">
        <v>74</v>
      </c>
      <c r="H60" t="s">
        <v>74</v>
      </c>
      <c r="I60" t="s">
        <v>1264</v>
      </c>
      <c r="J60" t="s">
        <v>1265</v>
      </c>
      <c r="K60" t="s">
        <v>74</v>
      </c>
      <c r="L60" t="s">
        <v>74</v>
      </c>
      <c r="M60" t="s">
        <v>78</v>
      </c>
      <c r="N60" t="s">
        <v>79</v>
      </c>
      <c r="O60" t="s">
        <v>74</v>
      </c>
      <c r="P60" t="s">
        <v>74</v>
      </c>
      <c r="Q60" t="s">
        <v>74</v>
      </c>
      <c r="R60" t="s">
        <v>74</v>
      </c>
      <c r="S60" t="s">
        <v>74</v>
      </c>
      <c r="T60" t="s">
        <v>1266</v>
      </c>
      <c r="U60" t="s">
        <v>1267</v>
      </c>
      <c r="V60" t="s">
        <v>1268</v>
      </c>
      <c r="W60" t="s">
        <v>1269</v>
      </c>
      <c r="X60" t="s">
        <v>1270</v>
      </c>
      <c r="Y60" t="s">
        <v>1271</v>
      </c>
      <c r="Z60" t="s">
        <v>1272</v>
      </c>
      <c r="AA60" t="s">
        <v>74</v>
      </c>
      <c r="AB60" t="s">
        <v>1273</v>
      </c>
      <c r="AC60" t="s">
        <v>1274</v>
      </c>
      <c r="AD60" t="s">
        <v>1275</v>
      </c>
      <c r="AE60" t="s">
        <v>1276</v>
      </c>
      <c r="AF60" t="s">
        <v>74</v>
      </c>
      <c r="AG60">
        <v>78</v>
      </c>
      <c r="AH60">
        <v>57</v>
      </c>
      <c r="AI60">
        <v>65</v>
      </c>
      <c r="AJ60">
        <v>2</v>
      </c>
      <c r="AK60">
        <v>18</v>
      </c>
      <c r="AL60" t="s">
        <v>464</v>
      </c>
      <c r="AM60" t="s">
        <v>310</v>
      </c>
      <c r="AN60" t="s">
        <v>465</v>
      </c>
      <c r="AO60" t="s">
        <v>1277</v>
      </c>
      <c r="AP60" t="s">
        <v>1278</v>
      </c>
      <c r="AQ60" t="s">
        <v>74</v>
      </c>
      <c r="AR60" t="s">
        <v>1279</v>
      </c>
      <c r="AS60" t="s">
        <v>1280</v>
      </c>
      <c r="AT60" t="s">
        <v>97</v>
      </c>
      <c r="AU60">
        <v>2010</v>
      </c>
      <c r="AV60">
        <v>33</v>
      </c>
      <c r="AW60">
        <v>11</v>
      </c>
      <c r="AX60" t="s">
        <v>74</v>
      </c>
      <c r="AY60" t="s">
        <v>74</v>
      </c>
      <c r="AZ60" t="s">
        <v>74</v>
      </c>
      <c r="BA60" t="s">
        <v>74</v>
      </c>
      <c r="BB60">
        <v>1463</v>
      </c>
      <c r="BC60">
        <v>1484</v>
      </c>
      <c r="BD60" t="s">
        <v>74</v>
      </c>
      <c r="BE60" t="s">
        <v>1281</v>
      </c>
      <c r="BF60" t="str">
        <f>HYPERLINK("http://dx.doi.org/10.1007/s00300-010-0794-z","http://dx.doi.org/10.1007/s00300-010-0794-z")</f>
        <v>http://dx.doi.org/10.1007/s00300-010-0794-z</v>
      </c>
      <c r="BG60" t="s">
        <v>74</v>
      </c>
      <c r="BH60" t="s">
        <v>74</v>
      </c>
      <c r="BI60">
        <v>22</v>
      </c>
      <c r="BJ60" t="s">
        <v>1282</v>
      </c>
      <c r="BK60" t="s">
        <v>100</v>
      </c>
      <c r="BL60" t="s">
        <v>680</v>
      </c>
      <c r="BM60" t="s">
        <v>1283</v>
      </c>
      <c r="BN60" t="s">
        <v>74</v>
      </c>
      <c r="BO60" t="s">
        <v>1284</v>
      </c>
      <c r="BP60" t="s">
        <v>74</v>
      </c>
      <c r="BQ60" t="s">
        <v>74</v>
      </c>
      <c r="BR60" t="s">
        <v>104</v>
      </c>
      <c r="BS60" t="s">
        <v>1285</v>
      </c>
      <c r="BT60" t="str">
        <f>HYPERLINK("https%3A%2F%2Fwww.webofscience.com%2Fwos%2Fwoscc%2Ffull-record%2FWOS:000284545700002","View Full Record in Web of Science")</f>
        <v>View Full Record in Web of Science</v>
      </c>
    </row>
    <row r="61" spans="1:72" x14ac:dyDescent="0.15">
      <c r="A61" t="s">
        <v>72</v>
      </c>
      <c r="B61" t="s">
        <v>1286</v>
      </c>
      <c r="C61" t="s">
        <v>74</v>
      </c>
      <c r="D61" t="s">
        <v>74</v>
      </c>
      <c r="E61" t="s">
        <v>74</v>
      </c>
      <c r="F61" t="s">
        <v>1287</v>
      </c>
      <c r="G61" t="s">
        <v>74</v>
      </c>
      <c r="H61" t="s">
        <v>74</v>
      </c>
      <c r="I61" t="s">
        <v>1288</v>
      </c>
      <c r="J61" t="s">
        <v>1265</v>
      </c>
      <c r="K61" t="s">
        <v>74</v>
      </c>
      <c r="L61" t="s">
        <v>74</v>
      </c>
      <c r="M61" t="s">
        <v>78</v>
      </c>
      <c r="N61" t="s">
        <v>79</v>
      </c>
      <c r="O61" t="s">
        <v>74</v>
      </c>
      <c r="P61" t="s">
        <v>74</v>
      </c>
      <c r="Q61" t="s">
        <v>74</v>
      </c>
      <c r="R61" t="s">
        <v>74</v>
      </c>
      <c r="S61" t="s">
        <v>74</v>
      </c>
      <c r="T61" t="s">
        <v>1289</v>
      </c>
      <c r="U61" t="s">
        <v>1290</v>
      </c>
      <c r="V61" t="s">
        <v>1291</v>
      </c>
      <c r="W61" t="s">
        <v>1292</v>
      </c>
      <c r="X61" t="s">
        <v>1293</v>
      </c>
      <c r="Y61" t="s">
        <v>1294</v>
      </c>
      <c r="Z61" t="s">
        <v>1295</v>
      </c>
      <c r="AA61" t="s">
        <v>1296</v>
      </c>
      <c r="AB61" t="s">
        <v>1297</v>
      </c>
      <c r="AC61" t="s">
        <v>1298</v>
      </c>
      <c r="AD61" t="s">
        <v>1298</v>
      </c>
      <c r="AE61" t="s">
        <v>1299</v>
      </c>
      <c r="AF61" t="s">
        <v>74</v>
      </c>
      <c r="AG61">
        <v>96</v>
      </c>
      <c r="AH61">
        <v>4</v>
      </c>
      <c r="AI61">
        <v>4</v>
      </c>
      <c r="AJ61">
        <v>0</v>
      </c>
      <c r="AK61">
        <v>6</v>
      </c>
      <c r="AL61" t="s">
        <v>464</v>
      </c>
      <c r="AM61" t="s">
        <v>310</v>
      </c>
      <c r="AN61" t="s">
        <v>971</v>
      </c>
      <c r="AO61" t="s">
        <v>1277</v>
      </c>
      <c r="AP61" t="s">
        <v>1278</v>
      </c>
      <c r="AQ61" t="s">
        <v>74</v>
      </c>
      <c r="AR61" t="s">
        <v>1279</v>
      </c>
      <c r="AS61" t="s">
        <v>1280</v>
      </c>
      <c r="AT61" t="s">
        <v>97</v>
      </c>
      <c r="AU61">
        <v>2010</v>
      </c>
      <c r="AV61">
        <v>33</v>
      </c>
      <c r="AW61">
        <v>11</v>
      </c>
      <c r="AX61" t="s">
        <v>74</v>
      </c>
      <c r="AY61" t="s">
        <v>74</v>
      </c>
      <c r="AZ61" t="s">
        <v>74</v>
      </c>
      <c r="BA61" t="s">
        <v>74</v>
      </c>
      <c r="BB61">
        <v>1485</v>
      </c>
      <c r="BC61">
        <v>1504</v>
      </c>
      <c r="BD61" t="s">
        <v>74</v>
      </c>
      <c r="BE61" t="s">
        <v>1300</v>
      </c>
      <c r="BF61" t="str">
        <f>HYPERLINK("http://dx.doi.org/10.1007/s00300-010-0836-6","http://dx.doi.org/10.1007/s00300-010-0836-6")</f>
        <v>http://dx.doi.org/10.1007/s00300-010-0836-6</v>
      </c>
      <c r="BG61" t="s">
        <v>74</v>
      </c>
      <c r="BH61" t="s">
        <v>74</v>
      </c>
      <c r="BI61">
        <v>20</v>
      </c>
      <c r="BJ61" t="s">
        <v>1282</v>
      </c>
      <c r="BK61" t="s">
        <v>100</v>
      </c>
      <c r="BL61" t="s">
        <v>680</v>
      </c>
      <c r="BM61" t="s">
        <v>1283</v>
      </c>
      <c r="BN61" t="s">
        <v>74</v>
      </c>
      <c r="BO61" t="s">
        <v>74</v>
      </c>
      <c r="BP61" t="s">
        <v>74</v>
      </c>
      <c r="BQ61" t="s">
        <v>74</v>
      </c>
      <c r="BR61" t="s">
        <v>104</v>
      </c>
      <c r="BS61" t="s">
        <v>1301</v>
      </c>
      <c r="BT61" t="str">
        <f>HYPERLINK("https%3A%2F%2Fwww.webofscience.com%2Fwos%2Fwoscc%2Ffull-record%2FWOS:000284545700003","View Full Record in Web of Science")</f>
        <v>View Full Record in Web of Science</v>
      </c>
    </row>
    <row r="62" spans="1:72" x14ac:dyDescent="0.15">
      <c r="A62" t="s">
        <v>72</v>
      </c>
      <c r="B62" t="s">
        <v>1302</v>
      </c>
      <c r="C62" t="s">
        <v>74</v>
      </c>
      <c r="D62" t="s">
        <v>74</v>
      </c>
      <c r="E62" t="s">
        <v>74</v>
      </c>
      <c r="F62" t="s">
        <v>1303</v>
      </c>
      <c r="G62" t="s">
        <v>74</v>
      </c>
      <c r="H62" t="s">
        <v>74</v>
      </c>
      <c r="I62" t="s">
        <v>1304</v>
      </c>
      <c r="J62" t="s">
        <v>1265</v>
      </c>
      <c r="K62" t="s">
        <v>74</v>
      </c>
      <c r="L62" t="s">
        <v>74</v>
      </c>
      <c r="M62" t="s">
        <v>78</v>
      </c>
      <c r="N62" t="s">
        <v>79</v>
      </c>
      <c r="O62" t="s">
        <v>74</v>
      </c>
      <c r="P62" t="s">
        <v>74</v>
      </c>
      <c r="Q62" t="s">
        <v>74</v>
      </c>
      <c r="R62" t="s">
        <v>74</v>
      </c>
      <c r="S62" t="s">
        <v>74</v>
      </c>
      <c r="T62" t="s">
        <v>1305</v>
      </c>
      <c r="U62" t="s">
        <v>1306</v>
      </c>
      <c r="V62" t="s">
        <v>1307</v>
      </c>
      <c r="W62" t="s">
        <v>1308</v>
      </c>
      <c r="X62" t="s">
        <v>1309</v>
      </c>
      <c r="Y62" t="s">
        <v>1310</v>
      </c>
      <c r="Z62" t="s">
        <v>1311</v>
      </c>
      <c r="AA62" t="s">
        <v>1312</v>
      </c>
      <c r="AB62" t="s">
        <v>1313</v>
      </c>
      <c r="AC62" t="s">
        <v>1314</v>
      </c>
      <c r="AD62" t="s">
        <v>1315</v>
      </c>
      <c r="AE62" t="s">
        <v>1316</v>
      </c>
      <c r="AF62" t="s">
        <v>74</v>
      </c>
      <c r="AG62">
        <v>44</v>
      </c>
      <c r="AH62">
        <v>10</v>
      </c>
      <c r="AI62">
        <v>11</v>
      </c>
      <c r="AJ62">
        <v>0</v>
      </c>
      <c r="AK62">
        <v>13</v>
      </c>
      <c r="AL62" t="s">
        <v>464</v>
      </c>
      <c r="AM62" t="s">
        <v>310</v>
      </c>
      <c r="AN62" t="s">
        <v>465</v>
      </c>
      <c r="AO62" t="s">
        <v>1277</v>
      </c>
      <c r="AP62" t="s">
        <v>74</v>
      </c>
      <c r="AQ62" t="s">
        <v>74</v>
      </c>
      <c r="AR62" t="s">
        <v>1279</v>
      </c>
      <c r="AS62" t="s">
        <v>1280</v>
      </c>
      <c r="AT62" t="s">
        <v>97</v>
      </c>
      <c r="AU62">
        <v>2010</v>
      </c>
      <c r="AV62">
        <v>33</v>
      </c>
      <c r="AW62">
        <v>11</v>
      </c>
      <c r="AX62" t="s">
        <v>74</v>
      </c>
      <c r="AY62" t="s">
        <v>74</v>
      </c>
      <c r="AZ62" t="s">
        <v>74</v>
      </c>
      <c r="BA62" t="s">
        <v>74</v>
      </c>
      <c r="BB62">
        <v>1537</v>
      </c>
      <c r="BC62">
        <v>1546</v>
      </c>
      <c r="BD62" t="s">
        <v>74</v>
      </c>
      <c r="BE62" t="s">
        <v>1317</v>
      </c>
      <c r="BF62" t="str">
        <f>HYPERLINK("http://dx.doi.org/10.1007/s00300-010-0843-7","http://dx.doi.org/10.1007/s00300-010-0843-7")</f>
        <v>http://dx.doi.org/10.1007/s00300-010-0843-7</v>
      </c>
      <c r="BG62" t="s">
        <v>74</v>
      </c>
      <c r="BH62" t="s">
        <v>74</v>
      </c>
      <c r="BI62">
        <v>10</v>
      </c>
      <c r="BJ62" t="s">
        <v>1282</v>
      </c>
      <c r="BK62" t="s">
        <v>100</v>
      </c>
      <c r="BL62" t="s">
        <v>680</v>
      </c>
      <c r="BM62" t="s">
        <v>1283</v>
      </c>
      <c r="BN62" t="s">
        <v>74</v>
      </c>
      <c r="BO62" t="s">
        <v>74</v>
      </c>
      <c r="BP62" t="s">
        <v>74</v>
      </c>
      <c r="BQ62" t="s">
        <v>74</v>
      </c>
      <c r="BR62" t="s">
        <v>104</v>
      </c>
      <c r="BS62" t="s">
        <v>1318</v>
      </c>
      <c r="BT62" t="str">
        <f>HYPERLINK("https%3A%2F%2Fwww.webofscience.com%2Fwos%2Fwoscc%2Ffull-record%2FWOS:000284545700006","View Full Record in Web of Science")</f>
        <v>View Full Record in Web of Science</v>
      </c>
    </row>
    <row r="63" spans="1:72" x14ac:dyDescent="0.15">
      <c r="A63" t="s">
        <v>72</v>
      </c>
      <c r="B63" t="s">
        <v>1319</v>
      </c>
      <c r="C63" t="s">
        <v>74</v>
      </c>
      <c r="D63" t="s">
        <v>74</v>
      </c>
      <c r="E63" t="s">
        <v>74</v>
      </c>
      <c r="F63" t="s">
        <v>1320</v>
      </c>
      <c r="G63" t="s">
        <v>74</v>
      </c>
      <c r="H63" t="s">
        <v>74</v>
      </c>
      <c r="I63" t="s">
        <v>1321</v>
      </c>
      <c r="J63" t="s">
        <v>1265</v>
      </c>
      <c r="K63" t="s">
        <v>74</v>
      </c>
      <c r="L63" t="s">
        <v>74</v>
      </c>
      <c r="M63" t="s">
        <v>78</v>
      </c>
      <c r="N63" t="s">
        <v>79</v>
      </c>
      <c r="O63" t="s">
        <v>74</v>
      </c>
      <c r="P63" t="s">
        <v>74</v>
      </c>
      <c r="Q63" t="s">
        <v>74</v>
      </c>
      <c r="R63" t="s">
        <v>74</v>
      </c>
      <c r="S63" t="s">
        <v>74</v>
      </c>
      <c r="T63" t="s">
        <v>1322</v>
      </c>
      <c r="U63" t="s">
        <v>1323</v>
      </c>
      <c r="V63" t="s">
        <v>1324</v>
      </c>
      <c r="W63" t="s">
        <v>1325</v>
      </c>
      <c r="X63" t="s">
        <v>1326</v>
      </c>
      <c r="Y63" t="s">
        <v>1327</v>
      </c>
      <c r="Z63" t="s">
        <v>1328</v>
      </c>
      <c r="AA63" t="s">
        <v>1329</v>
      </c>
      <c r="AB63" t="s">
        <v>1330</v>
      </c>
      <c r="AC63" t="s">
        <v>1331</v>
      </c>
      <c r="AD63" t="s">
        <v>1332</v>
      </c>
      <c r="AE63" t="s">
        <v>1333</v>
      </c>
      <c r="AF63" t="s">
        <v>74</v>
      </c>
      <c r="AG63">
        <v>56</v>
      </c>
      <c r="AH63">
        <v>45</v>
      </c>
      <c r="AI63">
        <v>53</v>
      </c>
      <c r="AJ63">
        <v>0</v>
      </c>
      <c r="AK63">
        <v>27</v>
      </c>
      <c r="AL63" t="s">
        <v>464</v>
      </c>
      <c r="AM63" t="s">
        <v>310</v>
      </c>
      <c r="AN63" t="s">
        <v>465</v>
      </c>
      <c r="AO63" t="s">
        <v>1277</v>
      </c>
      <c r="AP63" t="s">
        <v>1278</v>
      </c>
      <c r="AQ63" t="s">
        <v>74</v>
      </c>
      <c r="AR63" t="s">
        <v>1279</v>
      </c>
      <c r="AS63" t="s">
        <v>1280</v>
      </c>
      <c r="AT63" t="s">
        <v>97</v>
      </c>
      <c r="AU63">
        <v>2010</v>
      </c>
      <c r="AV63">
        <v>33</v>
      </c>
      <c r="AW63">
        <v>11</v>
      </c>
      <c r="AX63" t="s">
        <v>74</v>
      </c>
      <c r="AY63" t="s">
        <v>74</v>
      </c>
      <c r="AZ63" t="s">
        <v>74</v>
      </c>
      <c r="BA63" t="s">
        <v>74</v>
      </c>
      <c r="BB63">
        <v>1547</v>
      </c>
      <c r="BC63">
        <v>1556</v>
      </c>
      <c r="BD63" t="s">
        <v>74</v>
      </c>
      <c r="BE63" t="s">
        <v>1334</v>
      </c>
      <c r="BF63" t="str">
        <f>HYPERLINK("http://dx.doi.org/10.1007/s00300-010-0844-6","http://dx.doi.org/10.1007/s00300-010-0844-6")</f>
        <v>http://dx.doi.org/10.1007/s00300-010-0844-6</v>
      </c>
      <c r="BG63" t="s">
        <v>74</v>
      </c>
      <c r="BH63" t="s">
        <v>74</v>
      </c>
      <c r="BI63">
        <v>10</v>
      </c>
      <c r="BJ63" t="s">
        <v>1282</v>
      </c>
      <c r="BK63" t="s">
        <v>100</v>
      </c>
      <c r="BL63" t="s">
        <v>680</v>
      </c>
      <c r="BM63" t="s">
        <v>1283</v>
      </c>
      <c r="BN63" t="s">
        <v>74</v>
      </c>
      <c r="BO63" t="s">
        <v>74</v>
      </c>
      <c r="BP63" t="s">
        <v>74</v>
      </c>
      <c r="BQ63" t="s">
        <v>74</v>
      </c>
      <c r="BR63" t="s">
        <v>104</v>
      </c>
      <c r="BS63" t="s">
        <v>1335</v>
      </c>
      <c r="BT63" t="str">
        <f>HYPERLINK("https%3A%2F%2Fwww.webofscience.com%2Fwos%2Fwoscc%2Ffull-record%2FWOS:000284545700007","View Full Record in Web of Science")</f>
        <v>View Full Record in Web of Science</v>
      </c>
    </row>
    <row r="64" spans="1:72" x14ac:dyDescent="0.15">
      <c r="A64" t="s">
        <v>72</v>
      </c>
      <c r="B64" t="s">
        <v>1336</v>
      </c>
      <c r="C64" t="s">
        <v>74</v>
      </c>
      <c r="D64" t="s">
        <v>74</v>
      </c>
      <c r="E64" t="s">
        <v>74</v>
      </c>
      <c r="F64" t="s">
        <v>1337</v>
      </c>
      <c r="G64" t="s">
        <v>74</v>
      </c>
      <c r="H64" t="s">
        <v>74</v>
      </c>
      <c r="I64" t="s">
        <v>1338</v>
      </c>
      <c r="J64" t="s">
        <v>1265</v>
      </c>
      <c r="K64" t="s">
        <v>74</v>
      </c>
      <c r="L64" t="s">
        <v>74</v>
      </c>
      <c r="M64" t="s">
        <v>78</v>
      </c>
      <c r="N64" t="s">
        <v>79</v>
      </c>
      <c r="O64" t="s">
        <v>74</v>
      </c>
      <c r="P64" t="s">
        <v>74</v>
      </c>
      <c r="Q64" t="s">
        <v>74</v>
      </c>
      <c r="R64" t="s">
        <v>74</v>
      </c>
      <c r="S64" t="s">
        <v>74</v>
      </c>
      <c r="T64" t="s">
        <v>1339</v>
      </c>
      <c r="U64" t="s">
        <v>1340</v>
      </c>
      <c r="V64" t="s">
        <v>1341</v>
      </c>
      <c r="W64" t="s">
        <v>1342</v>
      </c>
      <c r="X64" t="s">
        <v>1343</v>
      </c>
      <c r="Y64" t="s">
        <v>1344</v>
      </c>
      <c r="Z64" t="s">
        <v>1345</v>
      </c>
      <c r="AA64" t="s">
        <v>74</v>
      </c>
      <c r="AB64" t="s">
        <v>1346</v>
      </c>
      <c r="AC64" t="s">
        <v>1347</v>
      </c>
      <c r="AD64" t="s">
        <v>1348</v>
      </c>
      <c r="AE64" t="s">
        <v>1349</v>
      </c>
      <c r="AF64" t="s">
        <v>74</v>
      </c>
      <c r="AG64">
        <v>63</v>
      </c>
      <c r="AH64">
        <v>6</v>
      </c>
      <c r="AI64">
        <v>8</v>
      </c>
      <c r="AJ64">
        <v>1</v>
      </c>
      <c r="AK64">
        <v>14</v>
      </c>
      <c r="AL64" t="s">
        <v>464</v>
      </c>
      <c r="AM64" t="s">
        <v>310</v>
      </c>
      <c r="AN64" t="s">
        <v>971</v>
      </c>
      <c r="AO64" t="s">
        <v>1277</v>
      </c>
      <c r="AP64" t="s">
        <v>1278</v>
      </c>
      <c r="AQ64" t="s">
        <v>74</v>
      </c>
      <c r="AR64" t="s">
        <v>1279</v>
      </c>
      <c r="AS64" t="s">
        <v>1280</v>
      </c>
      <c r="AT64" t="s">
        <v>97</v>
      </c>
      <c r="AU64">
        <v>2010</v>
      </c>
      <c r="AV64">
        <v>33</v>
      </c>
      <c r="AW64">
        <v>11</v>
      </c>
      <c r="AX64" t="s">
        <v>74</v>
      </c>
      <c r="AY64" t="s">
        <v>74</v>
      </c>
      <c r="AZ64" t="s">
        <v>74</v>
      </c>
      <c r="BA64" t="s">
        <v>74</v>
      </c>
      <c r="BB64">
        <v>1567</v>
      </c>
      <c r="BC64">
        <v>1576</v>
      </c>
      <c r="BD64" t="s">
        <v>74</v>
      </c>
      <c r="BE64" t="s">
        <v>1350</v>
      </c>
      <c r="BF64" t="str">
        <f>HYPERLINK("http://dx.doi.org/10.1007/s00300-010-0848-2","http://dx.doi.org/10.1007/s00300-010-0848-2")</f>
        <v>http://dx.doi.org/10.1007/s00300-010-0848-2</v>
      </c>
      <c r="BG64" t="s">
        <v>74</v>
      </c>
      <c r="BH64" t="s">
        <v>74</v>
      </c>
      <c r="BI64">
        <v>10</v>
      </c>
      <c r="BJ64" t="s">
        <v>1282</v>
      </c>
      <c r="BK64" t="s">
        <v>100</v>
      </c>
      <c r="BL64" t="s">
        <v>680</v>
      </c>
      <c r="BM64" t="s">
        <v>1283</v>
      </c>
      <c r="BN64" t="s">
        <v>74</v>
      </c>
      <c r="BO64" t="s">
        <v>74</v>
      </c>
      <c r="BP64" t="s">
        <v>74</v>
      </c>
      <c r="BQ64" t="s">
        <v>74</v>
      </c>
      <c r="BR64" t="s">
        <v>104</v>
      </c>
      <c r="BS64" t="s">
        <v>1351</v>
      </c>
      <c r="BT64" t="str">
        <f>HYPERLINK("https%3A%2F%2Fwww.webofscience.com%2Fwos%2Fwoscc%2Ffull-record%2FWOS:000284545700009","View Full Record in Web of Science")</f>
        <v>View Full Record in Web of Science</v>
      </c>
    </row>
    <row r="65" spans="1:72" x14ac:dyDescent="0.15">
      <c r="A65" t="s">
        <v>72</v>
      </c>
      <c r="B65" t="s">
        <v>1352</v>
      </c>
      <c r="C65" t="s">
        <v>74</v>
      </c>
      <c r="D65" t="s">
        <v>74</v>
      </c>
      <c r="E65" t="s">
        <v>74</v>
      </c>
      <c r="F65" t="s">
        <v>1353</v>
      </c>
      <c r="G65" t="s">
        <v>74</v>
      </c>
      <c r="H65" t="s">
        <v>74</v>
      </c>
      <c r="I65" t="s">
        <v>1354</v>
      </c>
      <c r="J65" t="s">
        <v>1265</v>
      </c>
      <c r="K65" t="s">
        <v>74</v>
      </c>
      <c r="L65" t="s">
        <v>74</v>
      </c>
      <c r="M65" t="s">
        <v>78</v>
      </c>
      <c r="N65" t="s">
        <v>79</v>
      </c>
      <c r="O65" t="s">
        <v>74</v>
      </c>
      <c r="P65" t="s">
        <v>74</v>
      </c>
      <c r="Q65" t="s">
        <v>74</v>
      </c>
      <c r="R65" t="s">
        <v>74</v>
      </c>
      <c r="S65" t="s">
        <v>74</v>
      </c>
      <c r="T65" t="s">
        <v>1355</v>
      </c>
      <c r="U65" t="s">
        <v>1356</v>
      </c>
      <c r="V65" t="s">
        <v>1357</v>
      </c>
      <c r="W65" t="s">
        <v>1358</v>
      </c>
      <c r="X65" t="s">
        <v>1359</v>
      </c>
      <c r="Y65" t="s">
        <v>1360</v>
      </c>
      <c r="Z65" t="s">
        <v>1361</v>
      </c>
      <c r="AA65" t="s">
        <v>74</v>
      </c>
      <c r="AB65" t="s">
        <v>74</v>
      </c>
      <c r="AC65" t="s">
        <v>74</v>
      </c>
      <c r="AD65" t="s">
        <v>74</v>
      </c>
      <c r="AE65" t="s">
        <v>74</v>
      </c>
      <c r="AF65" t="s">
        <v>74</v>
      </c>
      <c r="AG65">
        <v>23</v>
      </c>
      <c r="AH65">
        <v>21</v>
      </c>
      <c r="AI65">
        <v>22</v>
      </c>
      <c r="AJ65">
        <v>0</v>
      </c>
      <c r="AK65">
        <v>32</v>
      </c>
      <c r="AL65" t="s">
        <v>464</v>
      </c>
      <c r="AM65" t="s">
        <v>310</v>
      </c>
      <c r="AN65" t="s">
        <v>971</v>
      </c>
      <c r="AO65" t="s">
        <v>1277</v>
      </c>
      <c r="AP65" t="s">
        <v>1278</v>
      </c>
      <c r="AQ65" t="s">
        <v>74</v>
      </c>
      <c r="AR65" t="s">
        <v>1279</v>
      </c>
      <c r="AS65" t="s">
        <v>1280</v>
      </c>
      <c r="AT65" t="s">
        <v>97</v>
      </c>
      <c r="AU65">
        <v>2010</v>
      </c>
      <c r="AV65">
        <v>33</v>
      </c>
      <c r="AW65">
        <v>11</v>
      </c>
      <c r="AX65" t="s">
        <v>74</v>
      </c>
      <c r="AY65" t="s">
        <v>74</v>
      </c>
      <c r="AZ65" t="s">
        <v>74</v>
      </c>
      <c r="BA65" t="s">
        <v>74</v>
      </c>
      <c r="BB65">
        <v>1577</v>
      </c>
      <c r="BC65">
        <v>1583</v>
      </c>
      <c r="BD65" t="s">
        <v>74</v>
      </c>
      <c r="BE65" t="s">
        <v>1362</v>
      </c>
      <c r="BF65" t="str">
        <f>HYPERLINK("http://dx.doi.org/10.1007/s00300-010-0849-1","http://dx.doi.org/10.1007/s00300-010-0849-1")</f>
        <v>http://dx.doi.org/10.1007/s00300-010-0849-1</v>
      </c>
      <c r="BG65" t="s">
        <v>74</v>
      </c>
      <c r="BH65" t="s">
        <v>74</v>
      </c>
      <c r="BI65">
        <v>7</v>
      </c>
      <c r="BJ65" t="s">
        <v>1282</v>
      </c>
      <c r="BK65" t="s">
        <v>100</v>
      </c>
      <c r="BL65" t="s">
        <v>680</v>
      </c>
      <c r="BM65" t="s">
        <v>1283</v>
      </c>
      <c r="BN65" t="s">
        <v>74</v>
      </c>
      <c r="BO65" t="s">
        <v>74</v>
      </c>
      <c r="BP65" t="s">
        <v>74</v>
      </c>
      <c r="BQ65" t="s">
        <v>74</v>
      </c>
      <c r="BR65" t="s">
        <v>104</v>
      </c>
      <c r="BS65" t="s">
        <v>1363</v>
      </c>
      <c r="BT65" t="str">
        <f>HYPERLINK("https%3A%2F%2Fwww.webofscience.com%2Fwos%2Fwoscc%2Ffull-record%2FWOS:000284545700010","View Full Record in Web of Science")</f>
        <v>View Full Record in Web of Science</v>
      </c>
    </row>
    <row r="66" spans="1:72" x14ac:dyDescent="0.15">
      <c r="A66" t="s">
        <v>72</v>
      </c>
      <c r="B66" t="s">
        <v>1364</v>
      </c>
      <c r="C66" t="s">
        <v>74</v>
      </c>
      <c r="D66" t="s">
        <v>74</v>
      </c>
      <c r="E66" t="s">
        <v>74</v>
      </c>
      <c r="F66" t="s">
        <v>1365</v>
      </c>
      <c r="G66" t="s">
        <v>74</v>
      </c>
      <c r="H66" t="s">
        <v>74</v>
      </c>
      <c r="I66" t="s">
        <v>1366</v>
      </c>
      <c r="J66" t="s">
        <v>1265</v>
      </c>
      <c r="K66" t="s">
        <v>74</v>
      </c>
      <c r="L66" t="s">
        <v>74</v>
      </c>
      <c r="M66" t="s">
        <v>78</v>
      </c>
      <c r="N66" t="s">
        <v>79</v>
      </c>
      <c r="O66" t="s">
        <v>74</v>
      </c>
      <c r="P66" t="s">
        <v>74</v>
      </c>
      <c r="Q66" t="s">
        <v>74</v>
      </c>
      <c r="R66" t="s">
        <v>74</v>
      </c>
      <c r="S66" t="s">
        <v>74</v>
      </c>
      <c r="T66" t="s">
        <v>1367</v>
      </c>
      <c r="U66" t="s">
        <v>1368</v>
      </c>
      <c r="V66" t="s">
        <v>1369</v>
      </c>
      <c r="W66" t="s">
        <v>1370</v>
      </c>
      <c r="X66" t="s">
        <v>1371</v>
      </c>
      <c r="Y66" t="s">
        <v>1372</v>
      </c>
      <c r="Z66" t="s">
        <v>1373</v>
      </c>
      <c r="AA66" t="s">
        <v>74</v>
      </c>
      <c r="AB66" t="s">
        <v>74</v>
      </c>
      <c r="AC66" t="s">
        <v>74</v>
      </c>
      <c r="AD66" t="s">
        <v>74</v>
      </c>
      <c r="AE66" t="s">
        <v>74</v>
      </c>
      <c r="AF66" t="s">
        <v>74</v>
      </c>
      <c r="AG66">
        <v>19</v>
      </c>
      <c r="AH66">
        <v>16</v>
      </c>
      <c r="AI66">
        <v>17</v>
      </c>
      <c r="AJ66">
        <v>0</v>
      </c>
      <c r="AK66">
        <v>17</v>
      </c>
      <c r="AL66" t="s">
        <v>464</v>
      </c>
      <c r="AM66" t="s">
        <v>310</v>
      </c>
      <c r="AN66" t="s">
        <v>465</v>
      </c>
      <c r="AO66" t="s">
        <v>1277</v>
      </c>
      <c r="AP66" t="s">
        <v>74</v>
      </c>
      <c r="AQ66" t="s">
        <v>74</v>
      </c>
      <c r="AR66" t="s">
        <v>1279</v>
      </c>
      <c r="AS66" t="s">
        <v>1280</v>
      </c>
      <c r="AT66" t="s">
        <v>97</v>
      </c>
      <c r="AU66">
        <v>2010</v>
      </c>
      <c r="AV66">
        <v>33</v>
      </c>
      <c r="AW66">
        <v>11</v>
      </c>
      <c r="AX66" t="s">
        <v>74</v>
      </c>
      <c r="AY66" t="s">
        <v>74</v>
      </c>
      <c r="AZ66" t="s">
        <v>74</v>
      </c>
      <c r="BA66" t="s">
        <v>74</v>
      </c>
      <c r="BB66">
        <v>1585</v>
      </c>
      <c r="BC66">
        <v>1587</v>
      </c>
      <c r="BD66" t="s">
        <v>74</v>
      </c>
      <c r="BE66" t="s">
        <v>1374</v>
      </c>
      <c r="BF66" t="str">
        <f>HYPERLINK("http://dx.doi.org/10.1007/s00300-010-0847-3","http://dx.doi.org/10.1007/s00300-010-0847-3")</f>
        <v>http://dx.doi.org/10.1007/s00300-010-0847-3</v>
      </c>
      <c r="BG66" t="s">
        <v>74</v>
      </c>
      <c r="BH66" t="s">
        <v>74</v>
      </c>
      <c r="BI66">
        <v>3</v>
      </c>
      <c r="BJ66" t="s">
        <v>1282</v>
      </c>
      <c r="BK66" t="s">
        <v>100</v>
      </c>
      <c r="BL66" t="s">
        <v>680</v>
      </c>
      <c r="BM66" t="s">
        <v>1283</v>
      </c>
      <c r="BN66" t="s">
        <v>74</v>
      </c>
      <c r="BO66" t="s">
        <v>74</v>
      </c>
      <c r="BP66" t="s">
        <v>74</v>
      </c>
      <c r="BQ66" t="s">
        <v>74</v>
      </c>
      <c r="BR66" t="s">
        <v>104</v>
      </c>
      <c r="BS66" t="s">
        <v>1375</v>
      </c>
      <c r="BT66" t="str">
        <f>HYPERLINK("https%3A%2F%2Fwww.webofscience.com%2Fwos%2Fwoscc%2Ffull-record%2FWOS:000284545700011","View Full Record in Web of Science")</f>
        <v>View Full Record in Web of Science</v>
      </c>
    </row>
    <row r="67" spans="1:72" x14ac:dyDescent="0.15">
      <c r="A67" t="s">
        <v>72</v>
      </c>
      <c r="B67" t="s">
        <v>1376</v>
      </c>
      <c r="C67" t="s">
        <v>74</v>
      </c>
      <c r="D67" t="s">
        <v>74</v>
      </c>
      <c r="E67" t="s">
        <v>74</v>
      </c>
      <c r="F67" t="s">
        <v>1377</v>
      </c>
      <c r="G67" t="s">
        <v>74</v>
      </c>
      <c r="H67" t="s">
        <v>74</v>
      </c>
      <c r="I67" t="s">
        <v>1378</v>
      </c>
      <c r="J67" t="s">
        <v>1265</v>
      </c>
      <c r="K67" t="s">
        <v>74</v>
      </c>
      <c r="L67" t="s">
        <v>74</v>
      </c>
      <c r="M67" t="s">
        <v>78</v>
      </c>
      <c r="N67" t="s">
        <v>79</v>
      </c>
      <c r="O67" t="s">
        <v>74</v>
      </c>
      <c r="P67" t="s">
        <v>74</v>
      </c>
      <c r="Q67" t="s">
        <v>74</v>
      </c>
      <c r="R67" t="s">
        <v>74</v>
      </c>
      <c r="S67" t="s">
        <v>74</v>
      </c>
      <c r="T67" t="s">
        <v>1379</v>
      </c>
      <c r="U67" t="s">
        <v>1380</v>
      </c>
      <c r="V67" t="s">
        <v>1381</v>
      </c>
      <c r="W67" t="s">
        <v>1382</v>
      </c>
      <c r="X67" t="s">
        <v>170</v>
      </c>
      <c r="Y67" t="s">
        <v>1383</v>
      </c>
      <c r="Z67" t="s">
        <v>1384</v>
      </c>
      <c r="AA67" t="s">
        <v>74</v>
      </c>
      <c r="AB67" t="s">
        <v>74</v>
      </c>
      <c r="AC67" t="s">
        <v>1385</v>
      </c>
      <c r="AD67" t="s">
        <v>1386</v>
      </c>
      <c r="AE67" t="s">
        <v>1387</v>
      </c>
      <c r="AF67" t="s">
        <v>74</v>
      </c>
      <c r="AG67">
        <v>27</v>
      </c>
      <c r="AH67">
        <v>51</v>
      </c>
      <c r="AI67">
        <v>55</v>
      </c>
      <c r="AJ67">
        <v>6</v>
      </c>
      <c r="AK67">
        <v>76</v>
      </c>
      <c r="AL67" t="s">
        <v>464</v>
      </c>
      <c r="AM67" t="s">
        <v>310</v>
      </c>
      <c r="AN67" t="s">
        <v>465</v>
      </c>
      <c r="AO67" t="s">
        <v>1277</v>
      </c>
      <c r="AP67" t="s">
        <v>1278</v>
      </c>
      <c r="AQ67" t="s">
        <v>74</v>
      </c>
      <c r="AR67" t="s">
        <v>1279</v>
      </c>
      <c r="AS67" t="s">
        <v>1280</v>
      </c>
      <c r="AT67" t="s">
        <v>97</v>
      </c>
      <c r="AU67">
        <v>2010</v>
      </c>
      <c r="AV67">
        <v>33</v>
      </c>
      <c r="AW67">
        <v>11</v>
      </c>
      <c r="AX67" t="s">
        <v>74</v>
      </c>
      <c r="AY67" t="s">
        <v>74</v>
      </c>
      <c r="AZ67" t="s">
        <v>74</v>
      </c>
      <c r="BA67" t="s">
        <v>74</v>
      </c>
      <c r="BB67">
        <v>1589</v>
      </c>
      <c r="BC67">
        <v>1594</v>
      </c>
      <c r="BD67" t="s">
        <v>74</v>
      </c>
      <c r="BE67" t="s">
        <v>1388</v>
      </c>
      <c r="BF67" t="str">
        <f>HYPERLINK("http://dx.doi.org/10.1007/s00300-010-0853-5","http://dx.doi.org/10.1007/s00300-010-0853-5")</f>
        <v>http://dx.doi.org/10.1007/s00300-010-0853-5</v>
      </c>
      <c r="BG67" t="s">
        <v>74</v>
      </c>
      <c r="BH67" t="s">
        <v>74</v>
      </c>
      <c r="BI67">
        <v>6</v>
      </c>
      <c r="BJ67" t="s">
        <v>1282</v>
      </c>
      <c r="BK67" t="s">
        <v>100</v>
      </c>
      <c r="BL67" t="s">
        <v>680</v>
      </c>
      <c r="BM67" t="s">
        <v>1283</v>
      </c>
      <c r="BN67" t="s">
        <v>74</v>
      </c>
      <c r="BO67" t="s">
        <v>74</v>
      </c>
      <c r="BP67" t="s">
        <v>74</v>
      </c>
      <c r="BQ67" t="s">
        <v>74</v>
      </c>
      <c r="BR67" t="s">
        <v>104</v>
      </c>
      <c r="BS67" t="s">
        <v>1389</v>
      </c>
      <c r="BT67" t="str">
        <f>HYPERLINK("https%3A%2F%2Fwww.webofscience.com%2Fwos%2Fwoscc%2Ffull-record%2FWOS:000284545700012","View Full Record in Web of Science")</f>
        <v>View Full Record in Web of Science</v>
      </c>
    </row>
    <row r="68" spans="1:72" x14ac:dyDescent="0.15">
      <c r="A68" t="s">
        <v>72</v>
      </c>
      <c r="B68" t="s">
        <v>1390</v>
      </c>
      <c r="C68" t="s">
        <v>74</v>
      </c>
      <c r="D68" t="s">
        <v>74</v>
      </c>
      <c r="E68" t="s">
        <v>74</v>
      </c>
      <c r="F68" t="s">
        <v>1391</v>
      </c>
      <c r="G68" t="s">
        <v>74</v>
      </c>
      <c r="H68" t="s">
        <v>74</v>
      </c>
      <c r="I68" t="s">
        <v>1392</v>
      </c>
      <c r="J68" t="s">
        <v>1393</v>
      </c>
      <c r="K68" t="s">
        <v>74</v>
      </c>
      <c r="L68" t="s">
        <v>74</v>
      </c>
      <c r="M68" t="s">
        <v>78</v>
      </c>
      <c r="N68" t="s">
        <v>79</v>
      </c>
      <c r="O68" t="s">
        <v>74</v>
      </c>
      <c r="P68" t="s">
        <v>74</v>
      </c>
      <c r="Q68" t="s">
        <v>74</v>
      </c>
      <c r="R68" t="s">
        <v>74</v>
      </c>
      <c r="S68" t="s">
        <v>74</v>
      </c>
      <c r="T68" t="s">
        <v>74</v>
      </c>
      <c r="U68" t="s">
        <v>1394</v>
      </c>
      <c r="V68" t="s">
        <v>1395</v>
      </c>
      <c r="W68" t="s">
        <v>1396</v>
      </c>
      <c r="X68" t="s">
        <v>1397</v>
      </c>
      <c r="Y68" t="s">
        <v>1398</v>
      </c>
      <c r="Z68" t="s">
        <v>74</v>
      </c>
      <c r="AA68" t="s">
        <v>1399</v>
      </c>
      <c r="AB68" t="s">
        <v>1400</v>
      </c>
      <c r="AC68" t="s">
        <v>1401</v>
      </c>
      <c r="AD68" t="s">
        <v>1402</v>
      </c>
      <c r="AE68" t="s">
        <v>1403</v>
      </c>
      <c r="AF68" t="s">
        <v>74</v>
      </c>
      <c r="AG68">
        <v>49</v>
      </c>
      <c r="AH68">
        <v>13</v>
      </c>
      <c r="AI68">
        <v>13</v>
      </c>
      <c r="AJ68">
        <v>0</v>
      </c>
      <c r="AK68">
        <v>16</v>
      </c>
      <c r="AL68" t="s">
        <v>264</v>
      </c>
      <c r="AM68" t="s">
        <v>265</v>
      </c>
      <c r="AN68" t="s">
        <v>266</v>
      </c>
      <c r="AO68" t="s">
        <v>1404</v>
      </c>
      <c r="AP68" t="s">
        <v>74</v>
      </c>
      <c r="AQ68" t="s">
        <v>74</v>
      </c>
      <c r="AR68" t="s">
        <v>1405</v>
      </c>
      <c r="AS68" t="s">
        <v>1406</v>
      </c>
      <c r="AT68" t="s">
        <v>97</v>
      </c>
      <c r="AU68">
        <v>2010</v>
      </c>
      <c r="AV68">
        <v>29</v>
      </c>
      <c r="AW68" t="s">
        <v>1407</v>
      </c>
      <c r="AX68" t="s">
        <v>74</v>
      </c>
      <c r="AY68" t="s">
        <v>74</v>
      </c>
      <c r="AZ68" t="s">
        <v>74</v>
      </c>
      <c r="BA68" t="s">
        <v>74</v>
      </c>
      <c r="BB68">
        <v>3230</v>
      </c>
      <c r="BC68">
        <v>3239</v>
      </c>
      <c r="BD68" t="s">
        <v>74</v>
      </c>
      <c r="BE68" t="s">
        <v>1408</v>
      </c>
      <c r="BF68" t="str">
        <f>HYPERLINK("http://dx.doi.org/10.1016/j.quascirev.2010.06.037","http://dx.doi.org/10.1016/j.quascirev.2010.06.037")</f>
        <v>http://dx.doi.org/10.1016/j.quascirev.2010.06.037</v>
      </c>
      <c r="BG68" t="s">
        <v>74</v>
      </c>
      <c r="BH68" t="s">
        <v>74</v>
      </c>
      <c r="BI68">
        <v>10</v>
      </c>
      <c r="BJ68" t="s">
        <v>1409</v>
      </c>
      <c r="BK68" t="s">
        <v>100</v>
      </c>
      <c r="BL68" t="s">
        <v>1410</v>
      </c>
      <c r="BM68" t="s">
        <v>1411</v>
      </c>
      <c r="BN68" t="s">
        <v>74</v>
      </c>
      <c r="BO68" t="s">
        <v>74</v>
      </c>
      <c r="BP68" t="s">
        <v>74</v>
      </c>
      <c r="BQ68" t="s">
        <v>74</v>
      </c>
      <c r="BR68" t="s">
        <v>104</v>
      </c>
      <c r="BS68" t="s">
        <v>1412</v>
      </c>
      <c r="BT68" t="str">
        <f>HYPERLINK("https%3A%2F%2Fwww.webofscience.com%2Fwos%2Fwoscc%2Ffull-record%2FWOS:000283699000019","View Full Record in Web of Science")</f>
        <v>View Full Record in Web of Science</v>
      </c>
    </row>
    <row r="69" spans="1:72" x14ac:dyDescent="0.15">
      <c r="A69" t="s">
        <v>72</v>
      </c>
      <c r="B69" t="s">
        <v>1413</v>
      </c>
      <c r="C69" t="s">
        <v>74</v>
      </c>
      <c r="D69" t="s">
        <v>74</v>
      </c>
      <c r="E69" t="s">
        <v>74</v>
      </c>
      <c r="F69" t="s">
        <v>1414</v>
      </c>
      <c r="G69" t="s">
        <v>74</v>
      </c>
      <c r="H69" t="s">
        <v>74</v>
      </c>
      <c r="I69" t="s">
        <v>1415</v>
      </c>
      <c r="J69" t="s">
        <v>1416</v>
      </c>
      <c r="K69" t="s">
        <v>74</v>
      </c>
      <c r="L69" t="s">
        <v>74</v>
      </c>
      <c r="M69" t="s">
        <v>78</v>
      </c>
      <c r="N69" t="s">
        <v>79</v>
      </c>
      <c r="O69" t="s">
        <v>74</v>
      </c>
      <c r="P69" t="s">
        <v>74</v>
      </c>
      <c r="Q69" t="s">
        <v>74</v>
      </c>
      <c r="R69" t="s">
        <v>74</v>
      </c>
      <c r="S69" t="s">
        <v>74</v>
      </c>
      <c r="T69" t="s">
        <v>1417</v>
      </c>
      <c r="U69" t="s">
        <v>1418</v>
      </c>
      <c r="V69" t="s">
        <v>1419</v>
      </c>
      <c r="W69" t="s">
        <v>1420</v>
      </c>
      <c r="X69" t="s">
        <v>1421</v>
      </c>
      <c r="Y69" t="s">
        <v>1422</v>
      </c>
      <c r="Z69" t="s">
        <v>1423</v>
      </c>
      <c r="AA69" t="s">
        <v>1424</v>
      </c>
      <c r="AB69" t="s">
        <v>1425</v>
      </c>
      <c r="AC69" t="s">
        <v>1426</v>
      </c>
      <c r="AD69" t="s">
        <v>1426</v>
      </c>
      <c r="AE69" t="s">
        <v>1427</v>
      </c>
      <c r="AF69" t="s">
        <v>74</v>
      </c>
      <c r="AG69">
        <v>40</v>
      </c>
      <c r="AH69">
        <v>45</v>
      </c>
      <c r="AI69">
        <v>50</v>
      </c>
      <c r="AJ69">
        <v>0</v>
      </c>
      <c r="AK69">
        <v>37</v>
      </c>
      <c r="AL69" t="s">
        <v>264</v>
      </c>
      <c r="AM69" t="s">
        <v>265</v>
      </c>
      <c r="AN69" t="s">
        <v>266</v>
      </c>
      <c r="AO69" t="s">
        <v>1428</v>
      </c>
      <c r="AP69" t="s">
        <v>74</v>
      </c>
      <c r="AQ69" t="s">
        <v>74</v>
      </c>
      <c r="AR69" t="s">
        <v>1429</v>
      </c>
      <c r="AS69" t="s">
        <v>1430</v>
      </c>
      <c r="AT69" t="s">
        <v>97</v>
      </c>
      <c r="AU69">
        <v>2010</v>
      </c>
      <c r="AV69">
        <v>42</v>
      </c>
      <c r="AW69">
        <v>11</v>
      </c>
      <c r="AX69" t="s">
        <v>74</v>
      </c>
      <c r="AY69" t="s">
        <v>74</v>
      </c>
      <c r="AZ69" t="s">
        <v>74</v>
      </c>
      <c r="BA69" t="s">
        <v>74</v>
      </c>
      <c r="BB69">
        <v>2012</v>
      </c>
      <c r="BC69">
        <v>2021</v>
      </c>
      <c r="BD69" t="s">
        <v>74</v>
      </c>
      <c r="BE69" t="s">
        <v>1431</v>
      </c>
      <c r="BF69" t="str">
        <f>HYPERLINK("http://dx.doi.org/10.1016/j.soilbio.2010.07.027","http://dx.doi.org/10.1016/j.soilbio.2010.07.027")</f>
        <v>http://dx.doi.org/10.1016/j.soilbio.2010.07.027</v>
      </c>
      <c r="BG69" t="s">
        <v>74</v>
      </c>
      <c r="BH69" t="s">
        <v>74</v>
      </c>
      <c r="BI69">
        <v>10</v>
      </c>
      <c r="BJ69" t="s">
        <v>1432</v>
      </c>
      <c r="BK69" t="s">
        <v>100</v>
      </c>
      <c r="BL69" t="s">
        <v>1433</v>
      </c>
      <c r="BM69" t="s">
        <v>1434</v>
      </c>
      <c r="BN69" t="s">
        <v>74</v>
      </c>
      <c r="BO69" t="s">
        <v>74</v>
      </c>
      <c r="BP69" t="s">
        <v>74</v>
      </c>
      <c r="BQ69" t="s">
        <v>74</v>
      </c>
      <c r="BR69" t="s">
        <v>104</v>
      </c>
      <c r="BS69" t="s">
        <v>1435</v>
      </c>
      <c r="BT69" t="str">
        <f>HYPERLINK("https%3A%2F%2Fwww.webofscience.com%2Fwos%2Fwoscc%2Ffull-record%2FWOS:000283472600014","View Full Record in Web of Science")</f>
        <v>View Full Record in Web of Science</v>
      </c>
    </row>
    <row r="70" spans="1:72" x14ac:dyDescent="0.15">
      <c r="A70" t="s">
        <v>72</v>
      </c>
      <c r="B70" t="s">
        <v>1436</v>
      </c>
      <c r="C70" t="s">
        <v>74</v>
      </c>
      <c r="D70" t="s">
        <v>74</v>
      </c>
      <c r="E70" t="s">
        <v>74</v>
      </c>
      <c r="F70" t="s">
        <v>1437</v>
      </c>
      <c r="G70" t="s">
        <v>74</v>
      </c>
      <c r="H70" t="s">
        <v>74</v>
      </c>
      <c r="I70" t="s">
        <v>1438</v>
      </c>
      <c r="J70" t="s">
        <v>1439</v>
      </c>
      <c r="K70" t="s">
        <v>74</v>
      </c>
      <c r="L70" t="s">
        <v>74</v>
      </c>
      <c r="M70" t="s">
        <v>78</v>
      </c>
      <c r="N70" t="s">
        <v>79</v>
      </c>
      <c r="O70" t="s">
        <v>74</v>
      </c>
      <c r="P70" t="s">
        <v>74</v>
      </c>
      <c r="Q70" t="s">
        <v>74</v>
      </c>
      <c r="R70" t="s">
        <v>74</v>
      </c>
      <c r="S70" t="s">
        <v>74</v>
      </c>
      <c r="T70" t="s">
        <v>74</v>
      </c>
      <c r="U70" t="s">
        <v>1440</v>
      </c>
      <c r="V70" t="s">
        <v>1441</v>
      </c>
      <c r="W70" t="s">
        <v>1442</v>
      </c>
      <c r="X70" t="s">
        <v>1443</v>
      </c>
      <c r="Y70" t="s">
        <v>1444</v>
      </c>
      <c r="Z70" t="s">
        <v>1445</v>
      </c>
      <c r="AA70" t="s">
        <v>1446</v>
      </c>
      <c r="AB70" t="s">
        <v>74</v>
      </c>
      <c r="AC70" t="s">
        <v>74</v>
      </c>
      <c r="AD70" t="s">
        <v>74</v>
      </c>
      <c r="AE70" t="s">
        <v>74</v>
      </c>
      <c r="AF70" t="s">
        <v>74</v>
      </c>
      <c r="AG70">
        <v>57</v>
      </c>
      <c r="AH70">
        <v>27</v>
      </c>
      <c r="AI70">
        <v>32</v>
      </c>
      <c r="AJ70">
        <v>0</v>
      </c>
      <c r="AK70">
        <v>31</v>
      </c>
      <c r="AL70" t="s">
        <v>119</v>
      </c>
      <c r="AM70" t="s">
        <v>120</v>
      </c>
      <c r="AN70" t="s">
        <v>121</v>
      </c>
      <c r="AO70" t="s">
        <v>1447</v>
      </c>
      <c r="AP70" t="s">
        <v>74</v>
      </c>
      <c r="AQ70" t="s">
        <v>74</v>
      </c>
      <c r="AR70" t="s">
        <v>1448</v>
      </c>
      <c r="AS70" t="s">
        <v>1449</v>
      </c>
      <c r="AT70" t="s">
        <v>97</v>
      </c>
      <c r="AU70">
        <v>2010</v>
      </c>
      <c r="AV70">
        <v>62</v>
      </c>
      <c r="AW70">
        <v>5</v>
      </c>
      <c r="AX70" t="s">
        <v>74</v>
      </c>
      <c r="AY70" t="s">
        <v>74</v>
      </c>
      <c r="AZ70" t="s">
        <v>582</v>
      </c>
      <c r="BA70" t="s">
        <v>74</v>
      </c>
      <c r="BB70">
        <v>329</v>
      </c>
      <c r="BC70">
        <v>336</v>
      </c>
      <c r="BD70" t="s">
        <v>74</v>
      </c>
      <c r="BE70" t="s">
        <v>1450</v>
      </c>
      <c r="BF70" t="str">
        <f>HYPERLINK("http://dx.doi.org/10.1111/j.1600-0889.2010.00479.x","http://dx.doi.org/10.1111/j.1600-0889.2010.00479.x")</f>
        <v>http://dx.doi.org/10.1111/j.1600-0889.2010.00479.x</v>
      </c>
      <c r="BG70" t="s">
        <v>74</v>
      </c>
      <c r="BH70" t="s">
        <v>74</v>
      </c>
      <c r="BI70">
        <v>8</v>
      </c>
      <c r="BJ70" t="s">
        <v>319</v>
      </c>
      <c r="BK70" t="s">
        <v>100</v>
      </c>
      <c r="BL70" t="s">
        <v>319</v>
      </c>
      <c r="BM70" t="s">
        <v>1451</v>
      </c>
      <c r="BN70" t="s">
        <v>74</v>
      </c>
      <c r="BO70" t="s">
        <v>1452</v>
      </c>
      <c r="BP70" t="s">
        <v>74</v>
      </c>
      <c r="BQ70" t="s">
        <v>74</v>
      </c>
      <c r="BR70" t="s">
        <v>104</v>
      </c>
      <c r="BS70" t="s">
        <v>1453</v>
      </c>
      <c r="BT70" t="str">
        <f>HYPERLINK("https%3A%2F%2Fwww.webofscience.com%2Fwos%2Fwoscc%2Ffull-record%2FWOS:000283167300003","View Full Record in Web of Science")</f>
        <v>View Full Record in Web of Science</v>
      </c>
    </row>
    <row r="71" spans="1:72" x14ac:dyDescent="0.15">
      <c r="A71" t="s">
        <v>72</v>
      </c>
      <c r="B71" t="s">
        <v>1454</v>
      </c>
      <c r="C71" t="s">
        <v>74</v>
      </c>
      <c r="D71" t="s">
        <v>74</v>
      </c>
      <c r="E71" t="s">
        <v>74</v>
      </c>
      <c r="F71" t="s">
        <v>1455</v>
      </c>
      <c r="G71" t="s">
        <v>74</v>
      </c>
      <c r="H71" t="s">
        <v>74</v>
      </c>
      <c r="I71" t="s">
        <v>1456</v>
      </c>
      <c r="J71" t="s">
        <v>1439</v>
      </c>
      <c r="K71" t="s">
        <v>74</v>
      </c>
      <c r="L71" t="s">
        <v>74</v>
      </c>
      <c r="M71" t="s">
        <v>78</v>
      </c>
      <c r="N71" t="s">
        <v>79</v>
      </c>
      <c r="O71" t="s">
        <v>74</v>
      </c>
      <c r="P71" t="s">
        <v>74</v>
      </c>
      <c r="Q71" t="s">
        <v>74</v>
      </c>
      <c r="R71" t="s">
        <v>74</v>
      </c>
      <c r="S71" t="s">
        <v>74</v>
      </c>
      <c r="T71" t="s">
        <v>74</v>
      </c>
      <c r="U71" t="s">
        <v>1457</v>
      </c>
      <c r="V71" t="s">
        <v>1458</v>
      </c>
      <c r="W71" t="s">
        <v>1459</v>
      </c>
      <c r="X71" t="s">
        <v>1460</v>
      </c>
      <c r="Y71" t="s">
        <v>1461</v>
      </c>
      <c r="Z71" t="s">
        <v>1462</v>
      </c>
      <c r="AA71" t="s">
        <v>1463</v>
      </c>
      <c r="AB71" t="s">
        <v>1464</v>
      </c>
      <c r="AC71" t="s">
        <v>1465</v>
      </c>
      <c r="AD71" t="s">
        <v>1466</v>
      </c>
      <c r="AE71" t="s">
        <v>1467</v>
      </c>
      <c r="AF71" t="s">
        <v>74</v>
      </c>
      <c r="AG71">
        <v>97</v>
      </c>
      <c r="AH71">
        <v>19</v>
      </c>
      <c r="AI71">
        <v>21</v>
      </c>
      <c r="AJ71">
        <v>2</v>
      </c>
      <c r="AK71">
        <v>27</v>
      </c>
      <c r="AL71" t="s">
        <v>119</v>
      </c>
      <c r="AM71" t="s">
        <v>120</v>
      </c>
      <c r="AN71" t="s">
        <v>121</v>
      </c>
      <c r="AO71" t="s">
        <v>1447</v>
      </c>
      <c r="AP71" t="s">
        <v>74</v>
      </c>
      <c r="AQ71" t="s">
        <v>74</v>
      </c>
      <c r="AR71" t="s">
        <v>1448</v>
      </c>
      <c r="AS71" t="s">
        <v>1449</v>
      </c>
      <c r="AT71" t="s">
        <v>97</v>
      </c>
      <c r="AU71">
        <v>2010</v>
      </c>
      <c r="AV71">
        <v>62</v>
      </c>
      <c r="AW71">
        <v>5</v>
      </c>
      <c r="AX71" t="s">
        <v>74</v>
      </c>
      <c r="AY71" t="s">
        <v>74</v>
      </c>
      <c r="AZ71" t="s">
        <v>582</v>
      </c>
      <c r="BA71" t="s">
        <v>74</v>
      </c>
      <c r="BB71">
        <v>621</v>
      </c>
      <c r="BC71">
        <v>635</v>
      </c>
      <c r="BD71" t="s">
        <v>74</v>
      </c>
      <c r="BE71" t="s">
        <v>1468</v>
      </c>
      <c r="BF71" t="str">
        <f>HYPERLINK("http://dx.doi.org/10.1111/j.1600-0889.2010.00496.x","http://dx.doi.org/10.1111/j.1600-0889.2010.00496.x")</f>
        <v>http://dx.doi.org/10.1111/j.1600-0889.2010.00496.x</v>
      </c>
      <c r="BG71" t="s">
        <v>74</v>
      </c>
      <c r="BH71" t="s">
        <v>74</v>
      </c>
      <c r="BI71">
        <v>15</v>
      </c>
      <c r="BJ71" t="s">
        <v>319</v>
      </c>
      <c r="BK71" t="s">
        <v>100</v>
      </c>
      <c r="BL71" t="s">
        <v>319</v>
      </c>
      <c r="BM71" t="s">
        <v>1451</v>
      </c>
      <c r="BN71" t="s">
        <v>74</v>
      </c>
      <c r="BO71" t="s">
        <v>1000</v>
      </c>
      <c r="BP71" t="s">
        <v>74</v>
      </c>
      <c r="BQ71" t="s">
        <v>74</v>
      </c>
      <c r="BR71" t="s">
        <v>104</v>
      </c>
      <c r="BS71" t="s">
        <v>1469</v>
      </c>
      <c r="BT71" t="str">
        <f>HYPERLINK("https%3A%2F%2Fwww.webofscience.com%2Fwos%2Fwoscc%2Ffull-record%2FWOS:000283167300024","View Full Record in Web of Science")</f>
        <v>View Full Record in Web of Science</v>
      </c>
    </row>
    <row r="72" spans="1:72" x14ac:dyDescent="0.15">
      <c r="A72" t="s">
        <v>72</v>
      </c>
      <c r="B72" t="s">
        <v>1470</v>
      </c>
      <c r="C72" t="s">
        <v>74</v>
      </c>
      <c r="D72" t="s">
        <v>74</v>
      </c>
      <c r="E72" t="s">
        <v>74</v>
      </c>
      <c r="F72" t="s">
        <v>1471</v>
      </c>
      <c r="G72" t="s">
        <v>74</v>
      </c>
      <c r="H72" t="s">
        <v>74</v>
      </c>
      <c r="I72" t="s">
        <v>1472</v>
      </c>
      <c r="J72" t="s">
        <v>1439</v>
      </c>
      <c r="K72" t="s">
        <v>74</v>
      </c>
      <c r="L72" t="s">
        <v>74</v>
      </c>
      <c r="M72" t="s">
        <v>78</v>
      </c>
      <c r="N72" t="s">
        <v>79</v>
      </c>
      <c r="O72" t="s">
        <v>74</v>
      </c>
      <c r="P72" t="s">
        <v>74</v>
      </c>
      <c r="Q72" t="s">
        <v>74</v>
      </c>
      <c r="R72" t="s">
        <v>74</v>
      </c>
      <c r="S72" t="s">
        <v>74</v>
      </c>
      <c r="T72" t="s">
        <v>74</v>
      </c>
      <c r="U72" t="s">
        <v>1473</v>
      </c>
      <c r="V72" t="s">
        <v>1474</v>
      </c>
      <c r="W72" t="s">
        <v>1475</v>
      </c>
      <c r="X72" t="s">
        <v>1476</v>
      </c>
      <c r="Y72" t="s">
        <v>1477</v>
      </c>
      <c r="Z72" t="s">
        <v>1478</v>
      </c>
      <c r="AA72" t="s">
        <v>1479</v>
      </c>
      <c r="AB72" t="s">
        <v>1480</v>
      </c>
      <c r="AC72" t="s">
        <v>1481</v>
      </c>
      <c r="AD72" t="s">
        <v>1481</v>
      </c>
      <c r="AE72" t="s">
        <v>1482</v>
      </c>
      <c r="AF72" t="s">
        <v>74</v>
      </c>
      <c r="AG72">
        <v>48</v>
      </c>
      <c r="AH72">
        <v>16</v>
      </c>
      <c r="AI72">
        <v>18</v>
      </c>
      <c r="AJ72">
        <v>2</v>
      </c>
      <c r="AK72">
        <v>28</v>
      </c>
      <c r="AL72" t="s">
        <v>119</v>
      </c>
      <c r="AM72" t="s">
        <v>120</v>
      </c>
      <c r="AN72" t="s">
        <v>121</v>
      </c>
      <c r="AO72" t="s">
        <v>1447</v>
      </c>
      <c r="AP72" t="s">
        <v>74</v>
      </c>
      <c r="AQ72" t="s">
        <v>74</v>
      </c>
      <c r="AR72" t="s">
        <v>1448</v>
      </c>
      <c r="AS72" t="s">
        <v>1449</v>
      </c>
      <c r="AT72" t="s">
        <v>97</v>
      </c>
      <c r="AU72">
        <v>2010</v>
      </c>
      <c r="AV72">
        <v>62</v>
      </c>
      <c r="AW72">
        <v>5</v>
      </c>
      <c r="AX72" t="s">
        <v>74</v>
      </c>
      <c r="AY72" t="s">
        <v>74</v>
      </c>
      <c r="AZ72" t="s">
        <v>582</v>
      </c>
      <c r="BA72" t="s">
        <v>74</v>
      </c>
      <c r="BB72">
        <v>660</v>
      </c>
      <c r="BC72">
        <v>673</v>
      </c>
      <c r="BD72" t="s">
        <v>74</v>
      </c>
      <c r="BE72" t="s">
        <v>1483</v>
      </c>
      <c r="BF72" t="str">
        <f>HYPERLINK("http://dx.doi.org/10.1111/j.1600-0889.2010.00504.x","http://dx.doi.org/10.1111/j.1600-0889.2010.00504.x")</f>
        <v>http://dx.doi.org/10.1111/j.1600-0889.2010.00504.x</v>
      </c>
      <c r="BG72" t="s">
        <v>74</v>
      </c>
      <c r="BH72" t="s">
        <v>74</v>
      </c>
      <c r="BI72">
        <v>14</v>
      </c>
      <c r="BJ72" t="s">
        <v>319</v>
      </c>
      <c r="BK72" t="s">
        <v>100</v>
      </c>
      <c r="BL72" t="s">
        <v>319</v>
      </c>
      <c r="BM72" t="s">
        <v>1451</v>
      </c>
      <c r="BN72" t="s">
        <v>74</v>
      </c>
      <c r="BO72" t="s">
        <v>1000</v>
      </c>
      <c r="BP72" t="s">
        <v>74</v>
      </c>
      <c r="BQ72" t="s">
        <v>74</v>
      </c>
      <c r="BR72" t="s">
        <v>104</v>
      </c>
      <c r="BS72" t="s">
        <v>1484</v>
      </c>
      <c r="BT72" t="str">
        <f>HYPERLINK("https%3A%2F%2Fwww.webofscience.com%2Fwos%2Fwoscc%2Ffull-record%2FWOS:000283167300027","View Full Record in Web of Science")</f>
        <v>View Full Record in Web of Science</v>
      </c>
    </row>
    <row r="73" spans="1:72" x14ac:dyDescent="0.15">
      <c r="A73" t="s">
        <v>72</v>
      </c>
      <c r="B73" t="s">
        <v>1485</v>
      </c>
      <c r="C73" t="s">
        <v>74</v>
      </c>
      <c r="D73" t="s">
        <v>74</v>
      </c>
      <c r="E73" t="s">
        <v>74</v>
      </c>
      <c r="F73" t="s">
        <v>1486</v>
      </c>
      <c r="G73" t="s">
        <v>74</v>
      </c>
      <c r="H73" t="s">
        <v>74</v>
      </c>
      <c r="I73" t="s">
        <v>1487</v>
      </c>
      <c r="J73" t="s">
        <v>1488</v>
      </c>
      <c r="K73" t="s">
        <v>74</v>
      </c>
      <c r="L73" t="s">
        <v>74</v>
      </c>
      <c r="M73" t="s">
        <v>78</v>
      </c>
      <c r="N73" t="s">
        <v>79</v>
      </c>
      <c r="O73" t="s">
        <v>74</v>
      </c>
      <c r="P73" t="s">
        <v>74</v>
      </c>
      <c r="Q73" t="s">
        <v>74</v>
      </c>
      <c r="R73" t="s">
        <v>74</v>
      </c>
      <c r="S73" t="s">
        <v>74</v>
      </c>
      <c r="T73" t="s">
        <v>1489</v>
      </c>
      <c r="U73" t="s">
        <v>1490</v>
      </c>
      <c r="V73" t="s">
        <v>1491</v>
      </c>
      <c r="W73" t="s">
        <v>1492</v>
      </c>
      <c r="X73" t="s">
        <v>1493</v>
      </c>
      <c r="Y73" t="s">
        <v>1494</v>
      </c>
      <c r="Z73" t="s">
        <v>1495</v>
      </c>
      <c r="AA73" t="s">
        <v>1496</v>
      </c>
      <c r="AB73" t="s">
        <v>1497</v>
      </c>
      <c r="AC73" t="s">
        <v>1498</v>
      </c>
      <c r="AD73" t="s">
        <v>1498</v>
      </c>
      <c r="AE73" t="s">
        <v>1499</v>
      </c>
      <c r="AF73" t="s">
        <v>74</v>
      </c>
      <c r="AG73">
        <v>119</v>
      </c>
      <c r="AH73">
        <v>20</v>
      </c>
      <c r="AI73">
        <v>22</v>
      </c>
      <c r="AJ73">
        <v>2</v>
      </c>
      <c r="AK73">
        <v>29</v>
      </c>
      <c r="AL73" t="s">
        <v>264</v>
      </c>
      <c r="AM73" t="s">
        <v>265</v>
      </c>
      <c r="AN73" t="s">
        <v>266</v>
      </c>
      <c r="AO73" t="s">
        <v>1500</v>
      </c>
      <c r="AP73" t="s">
        <v>74</v>
      </c>
      <c r="AQ73" t="s">
        <v>74</v>
      </c>
      <c r="AR73" t="s">
        <v>1488</v>
      </c>
      <c r="AS73" t="s">
        <v>1501</v>
      </c>
      <c r="AT73" t="s">
        <v>97</v>
      </c>
      <c r="AU73">
        <v>2010</v>
      </c>
      <c r="AV73">
        <v>56</v>
      </c>
      <c r="AW73">
        <v>6</v>
      </c>
      <c r="AX73" t="s">
        <v>74</v>
      </c>
      <c r="AY73" t="s">
        <v>74</v>
      </c>
      <c r="AZ73" t="s">
        <v>74</v>
      </c>
      <c r="BA73" t="s">
        <v>74</v>
      </c>
      <c r="BB73">
        <v>897</v>
      </c>
      <c r="BC73">
        <v>913</v>
      </c>
      <c r="BD73" t="s">
        <v>74</v>
      </c>
      <c r="BE73" t="s">
        <v>1502</v>
      </c>
      <c r="BF73" t="str">
        <f>HYPERLINK("http://dx.doi.org/10.1016/j.toxicon.2010.06.013","http://dx.doi.org/10.1016/j.toxicon.2010.06.013")</f>
        <v>http://dx.doi.org/10.1016/j.toxicon.2010.06.013</v>
      </c>
      <c r="BG73" t="s">
        <v>74</v>
      </c>
      <c r="BH73" t="s">
        <v>74</v>
      </c>
      <c r="BI73">
        <v>17</v>
      </c>
      <c r="BJ73" t="s">
        <v>1503</v>
      </c>
      <c r="BK73" t="s">
        <v>100</v>
      </c>
      <c r="BL73" t="s">
        <v>1503</v>
      </c>
      <c r="BM73" t="s">
        <v>1504</v>
      </c>
      <c r="BN73">
        <v>20600223</v>
      </c>
      <c r="BO73" t="s">
        <v>74</v>
      </c>
      <c r="BP73" t="s">
        <v>74</v>
      </c>
      <c r="BQ73" t="s">
        <v>74</v>
      </c>
      <c r="BR73" t="s">
        <v>104</v>
      </c>
      <c r="BS73" t="s">
        <v>1505</v>
      </c>
      <c r="BT73" t="str">
        <f>HYPERLINK("https%3A%2F%2Fwww.webofscience.com%2Fwos%2Fwoscc%2Ffull-record%2FWOS:000282253900006","View Full Record in Web of Science")</f>
        <v>View Full Record in Web of Science</v>
      </c>
    </row>
    <row r="74" spans="1:72" x14ac:dyDescent="0.15">
      <c r="A74" t="s">
        <v>72</v>
      </c>
      <c r="B74" t="s">
        <v>1506</v>
      </c>
      <c r="C74" t="s">
        <v>74</v>
      </c>
      <c r="D74" t="s">
        <v>74</v>
      </c>
      <c r="E74" t="s">
        <v>74</v>
      </c>
      <c r="F74" t="s">
        <v>1507</v>
      </c>
      <c r="G74" t="s">
        <v>74</v>
      </c>
      <c r="H74" t="s">
        <v>74</v>
      </c>
      <c r="I74" t="s">
        <v>1508</v>
      </c>
      <c r="J74" t="s">
        <v>1509</v>
      </c>
      <c r="K74" t="s">
        <v>74</v>
      </c>
      <c r="L74" t="s">
        <v>74</v>
      </c>
      <c r="M74" t="s">
        <v>78</v>
      </c>
      <c r="N74" t="s">
        <v>79</v>
      </c>
      <c r="O74" t="s">
        <v>74</v>
      </c>
      <c r="P74" t="s">
        <v>74</v>
      </c>
      <c r="Q74" t="s">
        <v>74</v>
      </c>
      <c r="R74" t="s">
        <v>74</v>
      </c>
      <c r="S74" t="s">
        <v>74</v>
      </c>
      <c r="T74" t="s">
        <v>74</v>
      </c>
      <c r="U74" t="s">
        <v>1510</v>
      </c>
      <c r="V74" t="s">
        <v>1511</v>
      </c>
      <c r="W74" t="s">
        <v>1512</v>
      </c>
      <c r="X74" t="s">
        <v>1513</v>
      </c>
      <c r="Y74" t="s">
        <v>1514</v>
      </c>
      <c r="Z74" t="s">
        <v>1515</v>
      </c>
      <c r="AA74" t="s">
        <v>1516</v>
      </c>
      <c r="AB74" t="s">
        <v>1517</v>
      </c>
      <c r="AC74" t="s">
        <v>1518</v>
      </c>
      <c r="AD74" t="s">
        <v>1519</v>
      </c>
      <c r="AE74" t="s">
        <v>1520</v>
      </c>
      <c r="AF74" t="s">
        <v>74</v>
      </c>
      <c r="AG74">
        <v>90</v>
      </c>
      <c r="AH74">
        <v>44</v>
      </c>
      <c r="AI74">
        <v>46</v>
      </c>
      <c r="AJ74">
        <v>0</v>
      </c>
      <c r="AK74">
        <v>21</v>
      </c>
      <c r="AL74" t="s">
        <v>1521</v>
      </c>
      <c r="AM74" t="s">
        <v>1522</v>
      </c>
      <c r="AN74" t="s">
        <v>1523</v>
      </c>
      <c r="AO74" t="s">
        <v>1524</v>
      </c>
      <c r="AP74" t="s">
        <v>1525</v>
      </c>
      <c r="AQ74" t="s">
        <v>74</v>
      </c>
      <c r="AR74" t="s">
        <v>1526</v>
      </c>
      <c r="AS74" t="s">
        <v>1527</v>
      </c>
      <c r="AT74" t="s">
        <v>1528</v>
      </c>
      <c r="AU74">
        <v>2010</v>
      </c>
      <c r="AV74">
        <v>115</v>
      </c>
      <c r="AW74" t="s">
        <v>74</v>
      </c>
      <c r="AX74" t="s">
        <v>74</v>
      </c>
      <c r="AY74" t="s">
        <v>74</v>
      </c>
      <c r="AZ74" t="s">
        <v>74</v>
      </c>
      <c r="BA74" t="s">
        <v>74</v>
      </c>
      <c r="BB74" t="s">
        <v>74</v>
      </c>
      <c r="BC74" t="s">
        <v>74</v>
      </c>
      <c r="BD74" t="s">
        <v>1529</v>
      </c>
      <c r="BE74" t="s">
        <v>1530</v>
      </c>
      <c r="BF74" t="str">
        <f>HYPERLINK("http://dx.doi.org/10.1029/2009JC005880","http://dx.doi.org/10.1029/2009JC005880")</f>
        <v>http://dx.doi.org/10.1029/2009JC005880</v>
      </c>
      <c r="BG74" t="s">
        <v>74</v>
      </c>
      <c r="BH74" t="s">
        <v>74</v>
      </c>
      <c r="BI74">
        <v>15</v>
      </c>
      <c r="BJ74" t="s">
        <v>1531</v>
      </c>
      <c r="BK74" t="s">
        <v>100</v>
      </c>
      <c r="BL74" t="s">
        <v>1531</v>
      </c>
      <c r="BM74" t="s">
        <v>1532</v>
      </c>
      <c r="BN74" t="s">
        <v>74</v>
      </c>
      <c r="BO74" t="s">
        <v>1533</v>
      </c>
      <c r="BP74" t="s">
        <v>74</v>
      </c>
      <c r="BQ74" t="s">
        <v>74</v>
      </c>
      <c r="BR74" t="s">
        <v>104</v>
      </c>
      <c r="BS74" t="s">
        <v>1534</v>
      </c>
      <c r="BT74" t="str">
        <f>HYPERLINK("https%3A%2F%2Fwww.webofscience.com%2Fwos%2Fwoscc%2Ffull-record%2FWOS:000283769100001","View Full Record in Web of Science")</f>
        <v>View Full Record in Web of Science</v>
      </c>
    </row>
    <row r="75" spans="1:72" x14ac:dyDescent="0.15">
      <c r="A75" t="s">
        <v>72</v>
      </c>
      <c r="B75" t="s">
        <v>1535</v>
      </c>
      <c r="C75" t="s">
        <v>74</v>
      </c>
      <c r="D75" t="s">
        <v>74</v>
      </c>
      <c r="E75" t="s">
        <v>74</v>
      </c>
      <c r="F75" t="s">
        <v>1536</v>
      </c>
      <c r="G75" t="s">
        <v>74</v>
      </c>
      <c r="H75" t="s">
        <v>74</v>
      </c>
      <c r="I75" t="s">
        <v>1537</v>
      </c>
      <c r="J75" t="s">
        <v>1538</v>
      </c>
      <c r="K75" t="s">
        <v>74</v>
      </c>
      <c r="L75" t="s">
        <v>74</v>
      </c>
      <c r="M75" t="s">
        <v>78</v>
      </c>
      <c r="N75" t="s">
        <v>79</v>
      </c>
      <c r="O75" t="s">
        <v>74</v>
      </c>
      <c r="P75" t="s">
        <v>74</v>
      </c>
      <c r="Q75" t="s">
        <v>74</v>
      </c>
      <c r="R75" t="s">
        <v>74</v>
      </c>
      <c r="S75" t="s">
        <v>74</v>
      </c>
      <c r="T75" t="s">
        <v>74</v>
      </c>
      <c r="U75" t="s">
        <v>1539</v>
      </c>
      <c r="V75" t="s">
        <v>1540</v>
      </c>
      <c r="W75" t="s">
        <v>1541</v>
      </c>
      <c r="X75" t="s">
        <v>1542</v>
      </c>
      <c r="Y75" t="s">
        <v>1543</v>
      </c>
      <c r="Z75" t="s">
        <v>1544</v>
      </c>
      <c r="AA75" t="s">
        <v>1545</v>
      </c>
      <c r="AB75" t="s">
        <v>1546</v>
      </c>
      <c r="AC75" t="s">
        <v>1547</v>
      </c>
      <c r="AD75" t="s">
        <v>1548</v>
      </c>
      <c r="AE75" t="s">
        <v>1549</v>
      </c>
      <c r="AF75" t="s">
        <v>74</v>
      </c>
      <c r="AG75">
        <v>25</v>
      </c>
      <c r="AH75">
        <v>43</v>
      </c>
      <c r="AI75">
        <v>44</v>
      </c>
      <c r="AJ75">
        <v>0</v>
      </c>
      <c r="AK75">
        <v>6</v>
      </c>
      <c r="AL75" t="s">
        <v>1521</v>
      </c>
      <c r="AM75" t="s">
        <v>1522</v>
      </c>
      <c r="AN75" t="s">
        <v>1523</v>
      </c>
      <c r="AO75" t="s">
        <v>1550</v>
      </c>
      <c r="AP75" t="s">
        <v>1551</v>
      </c>
      <c r="AQ75" t="s">
        <v>74</v>
      </c>
      <c r="AR75" t="s">
        <v>1552</v>
      </c>
      <c r="AS75" t="s">
        <v>1553</v>
      </c>
      <c r="AT75" t="s">
        <v>1554</v>
      </c>
      <c r="AU75">
        <v>2010</v>
      </c>
      <c r="AV75">
        <v>37</v>
      </c>
      <c r="AW75" t="s">
        <v>74</v>
      </c>
      <c r="AX75" t="s">
        <v>74</v>
      </c>
      <c r="AY75" t="s">
        <v>74</v>
      </c>
      <c r="AZ75" t="s">
        <v>74</v>
      </c>
      <c r="BA75" t="s">
        <v>74</v>
      </c>
      <c r="BB75" t="s">
        <v>74</v>
      </c>
      <c r="BC75" t="s">
        <v>74</v>
      </c>
      <c r="BD75" t="s">
        <v>1555</v>
      </c>
      <c r="BE75" t="s">
        <v>1556</v>
      </c>
      <c r="BF75" t="str">
        <f>HYPERLINK("http://dx.doi.org/10.1029/2010GL044353","http://dx.doi.org/10.1029/2010GL044353")</f>
        <v>http://dx.doi.org/10.1029/2010GL044353</v>
      </c>
      <c r="BG75" t="s">
        <v>74</v>
      </c>
      <c r="BH75" t="s">
        <v>74</v>
      </c>
      <c r="BI75">
        <v>5</v>
      </c>
      <c r="BJ75" t="s">
        <v>1194</v>
      </c>
      <c r="BK75" t="s">
        <v>100</v>
      </c>
      <c r="BL75" t="s">
        <v>807</v>
      </c>
      <c r="BM75" t="s">
        <v>1557</v>
      </c>
      <c r="BN75" t="s">
        <v>74</v>
      </c>
      <c r="BO75" t="s">
        <v>394</v>
      </c>
      <c r="BP75" t="s">
        <v>74</v>
      </c>
      <c r="BQ75" t="s">
        <v>74</v>
      </c>
      <c r="BR75" t="s">
        <v>104</v>
      </c>
      <c r="BS75" t="s">
        <v>1558</v>
      </c>
      <c r="BT75" t="str">
        <f>HYPERLINK("https%3A%2F%2Fwww.webofscience.com%2Fwos%2Fwoscc%2Ffull-record%2FWOS:000283746700001","View Full Record in Web of Science")</f>
        <v>View Full Record in Web of Science</v>
      </c>
    </row>
    <row r="76" spans="1:72" x14ac:dyDescent="0.15">
      <c r="A76" t="s">
        <v>72</v>
      </c>
      <c r="B76" t="s">
        <v>1559</v>
      </c>
      <c r="C76" t="s">
        <v>74</v>
      </c>
      <c r="D76" t="s">
        <v>74</v>
      </c>
      <c r="E76" t="s">
        <v>74</v>
      </c>
      <c r="F76" t="s">
        <v>1560</v>
      </c>
      <c r="G76" t="s">
        <v>74</v>
      </c>
      <c r="H76" t="s">
        <v>74</v>
      </c>
      <c r="I76" t="s">
        <v>1561</v>
      </c>
      <c r="J76" t="s">
        <v>1562</v>
      </c>
      <c r="K76" t="s">
        <v>74</v>
      </c>
      <c r="L76" t="s">
        <v>74</v>
      </c>
      <c r="M76" t="s">
        <v>78</v>
      </c>
      <c r="N76" t="s">
        <v>79</v>
      </c>
      <c r="O76" t="s">
        <v>74</v>
      </c>
      <c r="P76" t="s">
        <v>74</v>
      </c>
      <c r="Q76" t="s">
        <v>74</v>
      </c>
      <c r="R76" t="s">
        <v>74</v>
      </c>
      <c r="S76" t="s">
        <v>74</v>
      </c>
      <c r="T76" t="s">
        <v>74</v>
      </c>
      <c r="U76" t="s">
        <v>1563</v>
      </c>
      <c r="V76" t="s">
        <v>1564</v>
      </c>
      <c r="W76" t="s">
        <v>1565</v>
      </c>
      <c r="X76" t="s">
        <v>1566</v>
      </c>
      <c r="Y76" t="s">
        <v>1567</v>
      </c>
      <c r="Z76" t="s">
        <v>1568</v>
      </c>
      <c r="AA76" t="s">
        <v>1569</v>
      </c>
      <c r="AB76" t="s">
        <v>1570</v>
      </c>
      <c r="AC76" t="s">
        <v>1571</v>
      </c>
      <c r="AD76" t="s">
        <v>1572</v>
      </c>
      <c r="AE76" t="s">
        <v>1573</v>
      </c>
      <c r="AF76" t="s">
        <v>74</v>
      </c>
      <c r="AG76">
        <v>26</v>
      </c>
      <c r="AH76">
        <v>38</v>
      </c>
      <c r="AI76">
        <v>40</v>
      </c>
      <c r="AJ76">
        <v>0</v>
      </c>
      <c r="AK76">
        <v>8</v>
      </c>
      <c r="AL76" t="s">
        <v>1521</v>
      </c>
      <c r="AM76" t="s">
        <v>1522</v>
      </c>
      <c r="AN76" t="s">
        <v>1523</v>
      </c>
      <c r="AO76" t="s">
        <v>1574</v>
      </c>
      <c r="AP76" t="s">
        <v>1575</v>
      </c>
      <c r="AQ76" t="s">
        <v>74</v>
      </c>
      <c r="AR76" t="s">
        <v>1576</v>
      </c>
      <c r="AS76" t="s">
        <v>1577</v>
      </c>
      <c r="AT76" t="s">
        <v>1554</v>
      </c>
      <c r="AU76">
        <v>2010</v>
      </c>
      <c r="AV76">
        <v>115</v>
      </c>
      <c r="AW76" t="s">
        <v>74</v>
      </c>
      <c r="AX76" t="s">
        <v>74</v>
      </c>
      <c r="AY76" t="s">
        <v>74</v>
      </c>
      <c r="AZ76" t="s">
        <v>74</v>
      </c>
      <c r="BA76" t="s">
        <v>74</v>
      </c>
      <c r="BB76" t="s">
        <v>74</v>
      </c>
      <c r="BC76" t="s">
        <v>74</v>
      </c>
      <c r="BD76" t="s">
        <v>1578</v>
      </c>
      <c r="BE76" t="s">
        <v>1579</v>
      </c>
      <c r="BF76" t="str">
        <f>HYPERLINK("http://dx.doi.org/10.1029/2009JF001615","http://dx.doi.org/10.1029/2009JF001615")</f>
        <v>http://dx.doi.org/10.1029/2009JF001615</v>
      </c>
      <c r="BG76" t="s">
        <v>74</v>
      </c>
      <c r="BH76" t="s">
        <v>74</v>
      </c>
      <c r="BI76">
        <v>19</v>
      </c>
      <c r="BJ76" t="s">
        <v>1194</v>
      </c>
      <c r="BK76" t="s">
        <v>100</v>
      </c>
      <c r="BL76" t="s">
        <v>807</v>
      </c>
      <c r="BM76" t="s">
        <v>1580</v>
      </c>
      <c r="BN76" t="s">
        <v>74</v>
      </c>
      <c r="BO76" t="s">
        <v>1533</v>
      </c>
      <c r="BP76" t="s">
        <v>74</v>
      </c>
      <c r="BQ76" t="s">
        <v>74</v>
      </c>
      <c r="BR76" t="s">
        <v>104</v>
      </c>
      <c r="BS76" t="s">
        <v>1581</v>
      </c>
      <c r="BT76" t="str">
        <f>HYPERLINK("https%3A%2F%2Fwww.webofscience.com%2Fwos%2Fwoscc%2Ffull-record%2FWOS:000283752900001","View Full Record in Web of Science")</f>
        <v>View Full Record in Web of Science</v>
      </c>
    </row>
    <row r="77" spans="1:72" x14ac:dyDescent="0.15">
      <c r="A77" t="s">
        <v>72</v>
      </c>
      <c r="B77" t="s">
        <v>1582</v>
      </c>
      <c r="C77" t="s">
        <v>74</v>
      </c>
      <c r="D77" t="s">
        <v>74</v>
      </c>
      <c r="E77" t="s">
        <v>74</v>
      </c>
      <c r="F77" t="s">
        <v>1583</v>
      </c>
      <c r="G77" t="s">
        <v>74</v>
      </c>
      <c r="H77" t="s">
        <v>74</v>
      </c>
      <c r="I77" t="s">
        <v>1584</v>
      </c>
      <c r="J77" t="s">
        <v>1585</v>
      </c>
      <c r="K77" t="s">
        <v>74</v>
      </c>
      <c r="L77" t="s">
        <v>74</v>
      </c>
      <c r="M77" t="s">
        <v>78</v>
      </c>
      <c r="N77" t="s">
        <v>79</v>
      </c>
      <c r="O77" t="s">
        <v>74</v>
      </c>
      <c r="P77" t="s">
        <v>74</v>
      </c>
      <c r="Q77" t="s">
        <v>74</v>
      </c>
      <c r="R77" t="s">
        <v>74</v>
      </c>
      <c r="S77" t="s">
        <v>74</v>
      </c>
      <c r="T77" t="s">
        <v>74</v>
      </c>
      <c r="U77" t="s">
        <v>1586</v>
      </c>
      <c r="V77" t="s">
        <v>1587</v>
      </c>
      <c r="W77" t="s">
        <v>1588</v>
      </c>
      <c r="X77" t="s">
        <v>1589</v>
      </c>
      <c r="Y77" t="s">
        <v>1590</v>
      </c>
      <c r="Z77" t="s">
        <v>1591</v>
      </c>
      <c r="AA77" t="s">
        <v>1592</v>
      </c>
      <c r="AB77" t="s">
        <v>1593</v>
      </c>
      <c r="AC77" t="s">
        <v>1594</v>
      </c>
      <c r="AD77" t="s">
        <v>1595</v>
      </c>
      <c r="AE77" t="s">
        <v>1596</v>
      </c>
      <c r="AF77" t="s">
        <v>74</v>
      </c>
      <c r="AG77">
        <v>48</v>
      </c>
      <c r="AH77">
        <v>66</v>
      </c>
      <c r="AI77">
        <v>72</v>
      </c>
      <c r="AJ77">
        <v>0</v>
      </c>
      <c r="AK77">
        <v>55</v>
      </c>
      <c r="AL77" t="s">
        <v>1597</v>
      </c>
      <c r="AM77" t="s">
        <v>1598</v>
      </c>
      <c r="AN77" t="s">
        <v>1599</v>
      </c>
      <c r="AO77" t="s">
        <v>1600</v>
      </c>
      <c r="AP77" t="s">
        <v>74</v>
      </c>
      <c r="AQ77" t="s">
        <v>74</v>
      </c>
      <c r="AR77" t="s">
        <v>1601</v>
      </c>
      <c r="AS77" t="s">
        <v>1602</v>
      </c>
      <c r="AT77" t="s">
        <v>1603</v>
      </c>
      <c r="AU77">
        <v>2010</v>
      </c>
      <c r="AV77">
        <v>10</v>
      </c>
      <c r="AW77" t="s">
        <v>74</v>
      </c>
      <c r="AX77" t="s">
        <v>74</v>
      </c>
      <c r="AY77" t="s">
        <v>74</v>
      </c>
      <c r="AZ77" t="s">
        <v>74</v>
      </c>
      <c r="BA77" t="s">
        <v>74</v>
      </c>
      <c r="BB77" t="s">
        <v>74</v>
      </c>
      <c r="BC77" t="s">
        <v>74</v>
      </c>
      <c r="BD77">
        <v>325</v>
      </c>
      <c r="BE77" t="s">
        <v>1604</v>
      </c>
      <c r="BF77" t="str">
        <f>HYPERLINK("http://dx.doi.org/10.1186/1471-2148-10-325","http://dx.doi.org/10.1186/1471-2148-10-325")</f>
        <v>http://dx.doi.org/10.1186/1471-2148-10-325</v>
      </c>
      <c r="BG77" t="s">
        <v>74</v>
      </c>
      <c r="BH77" t="s">
        <v>74</v>
      </c>
      <c r="BI77">
        <v>15</v>
      </c>
      <c r="BJ77" t="s">
        <v>834</v>
      </c>
      <c r="BK77" t="s">
        <v>100</v>
      </c>
      <c r="BL77" t="s">
        <v>834</v>
      </c>
      <c r="BM77" t="s">
        <v>1605</v>
      </c>
      <c r="BN77">
        <v>20977744</v>
      </c>
      <c r="BO77" t="s">
        <v>1606</v>
      </c>
      <c r="BP77" t="s">
        <v>74</v>
      </c>
      <c r="BQ77" t="s">
        <v>74</v>
      </c>
      <c r="BR77" t="s">
        <v>104</v>
      </c>
      <c r="BS77" t="s">
        <v>1607</v>
      </c>
      <c r="BT77" t="str">
        <f>HYPERLINK("https%3A%2F%2Fwww.webofscience.com%2Fwos%2Fwoscc%2Ffull-record%2FWOS:000285339200002","View Full Record in Web of Science")</f>
        <v>View Full Record in Web of Science</v>
      </c>
    </row>
    <row r="78" spans="1:72" x14ac:dyDescent="0.15">
      <c r="A78" t="s">
        <v>72</v>
      </c>
      <c r="B78" t="s">
        <v>1608</v>
      </c>
      <c r="C78" t="s">
        <v>74</v>
      </c>
      <c r="D78" t="s">
        <v>74</v>
      </c>
      <c r="E78" t="s">
        <v>74</v>
      </c>
      <c r="F78" t="s">
        <v>1609</v>
      </c>
      <c r="G78" t="s">
        <v>74</v>
      </c>
      <c r="H78" t="s">
        <v>74</v>
      </c>
      <c r="I78" t="s">
        <v>1610</v>
      </c>
      <c r="J78" t="s">
        <v>1611</v>
      </c>
      <c r="K78" t="s">
        <v>74</v>
      </c>
      <c r="L78" t="s">
        <v>74</v>
      </c>
      <c r="M78" t="s">
        <v>78</v>
      </c>
      <c r="N78" t="s">
        <v>79</v>
      </c>
      <c r="O78" t="s">
        <v>74</v>
      </c>
      <c r="P78" t="s">
        <v>74</v>
      </c>
      <c r="Q78" t="s">
        <v>74</v>
      </c>
      <c r="R78" t="s">
        <v>74</v>
      </c>
      <c r="S78" t="s">
        <v>74</v>
      </c>
      <c r="T78" t="s">
        <v>74</v>
      </c>
      <c r="U78" t="s">
        <v>1612</v>
      </c>
      <c r="V78" t="s">
        <v>1613</v>
      </c>
      <c r="W78" t="s">
        <v>1614</v>
      </c>
      <c r="X78" t="s">
        <v>1615</v>
      </c>
      <c r="Y78" t="s">
        <v>1616</v>
      </c>
      <c r="Z78" t="s">
        <v>1617</v>
      </c>
      <c r="AA78" t="s">
        <v>1618</v>
      </c>
      <c r="AB78" t="s">
        <v>1619</v>
      </c>
      <c r="AC78" t="s">
        <v>1620</v>
      </c>
      <c r="AD78" t="s">
        <v>1621</v>
      </c>
      <c r="AE78" t="s">
        <v>1622</v>
      </c>
      <c r="AF78" t="s">
        <v>74</v>
      </c>
      <c r="AG78">
        <v>41</v>
      </c>
      <c r="AH78">
        <v>142</v>
      </c>
      <c r="AI78">
        <v>156</v>
      </c>
      <c r="AJ78">
        <v>9</v>
      </c>
      <c r="AK78">
        <v>121</v>
      </c>
      <c r="AL78" t="s">
        <v>1521</v>
      </c>
      <c r="AM78" t="s">
        <v>1522</v>
      </c>
      <c r="AN78" t="s">
        <v>1523</v>
      </c>
      <c r="AO78" t="s">
        <v>1623</v>
      </c>
      <c r="AP78" t="s">
        <v>1624</v>
      </c>
      <c r="AQ78" t="s">
        <v>74</v>
      </c>
      <c r="AR78" t="s">
        <v>1625</v>
      </c>
      <c r="AS78" t="s">
        <v>1626</v>
      </c>
      <c r="AT78" t="s">
        <v>1603</v>
      </c>
      <c r="AU78">
        <v>2010</v>
      </c>
      <c r="AV78">
        <v>24</v>
      </c>
      <c r="AW78" t="s">
        <v>74</v>
      </c>
      <c r="AX78" t="s">
        <v>74</v>
      </c>
      <c r="AY78" t="s">
        <v>74</v>
      </c>
      <c r="AZ78" t="s">
        <v>74</v>
      </c>
      <c r="BA78" t="s">
        <v>74</v>
      </c>
      <c r="BB78" t="s">
        <v>74</v>
      </c>
      <c r="BC78" t="s">
        <v>74</v>
      </c>
      <c r="BD78" t="s">
        <v>1627</v>
      </c>
      <c r="BE78" t="s">
        <v>1628</v>
      </c>
      <c r="BF78" t="str">
        <f>HYPERLINK("http://dx.doi.org/10.1029/2009GB003599","http://dx.doi.org/10.1029/2009GB003599")</f>
        <v>http://dx.doi.org/10.1029/2009GB003599</v>
      </c>
      <c r="BG78" t="s">
        <v>74</v>
      </c>
      <c r="BH78" t="s">
        <v>74</v>
      </c>
      <c r="BI78">
        <v>10</v>
      </c>
      <c r="BJ78" t="s">
        <v>1629</v>
      </c>
      <c r="BK78" t="s">
        <v>100</v>
      </c>
      <c r="BL78" t="s">
        <v>1630</v>
      </c>
      <c r="BM78" t="s">
        <v>1631</v>
      </c>
      <c r="BN78" t="s">
        <v>74</v>
      </c>
      <c r="BO78" t="s">
        <v>1632</v>
      </c>
      <c r="BP78" t="s">
        <v>74</v>
      </c>
      <c r="BQ78" t="s">
        <v>74</v>
      </c>
      <c r="BR78" t="s">
        <v>104</v>
      </c>
      <c r="BS78" t="s">
        <v>1633</v>
      </c>
      <c r="BT78" t="str">
        <f>HYPERLINK("https%3A%2F%2Fwww.webofscience.com%2Fwos%2Fwoscc%2Ffull-record%2FWOS:000283748000001","View Full Record in Web of Science")</f>
        <v>View Full Record in Web of Science</v>
      </c>
    </row>
    <row r="79" spans="1:72" x14ac:dyDescent="0.15">
      <c r="A79" t="s">
        <v>72</v>
      </c>
      <c r="B79" t="s">
        <v>1634</v>
      </c>
      <c r="C79" t="s">
        <v>74</v>
      </c>
      <c r="D79" t="s">
        <v>74</v>
      </c>
      <c r="E79" t="s">
        <v>74</v>
      </c>
      <c r="F79" t="s">
        <v>1635</v>
      </c>
      <c r="G79" t="s">
        <v>74</v>
      </c>
      <c r="H79" t="s">
        <v>74</v>
      </c>
      <c r="I79" t="s">
        <v>1636</v>
      </c>
      <c r="J79" t="s">
        <v>1637</v>
      </c>
      <c r="K79" t="s">
        <v>74</v>
      </c>
      <c r="L79" t="s">
        <v>74</v>
      </c>
      <c r="M79" t="s">
        <v>78</v>
      </c>
      <c r="N79" t="s">
        <v>79</v>
      </c>
      <c r="O79" t="s">
        <v>74</v>
      </c>
      <c r="P79" t="s">
        <v>74</v>
      </c>
      <c r="Q79" t="s">
        <v>74</v>
      </c>
      <c r="R79" t="s">
        <v>74</v>
      </c>
      <c r="S79" t="s">
        <v>74</v>
      </c>
      <c r="T79" t="s">
        <v>1638</v>
      </c>
      <c r="U79" t="s">
        <v>1639</v>
      </c>
      <c r="V79" t="s">
        <v>1640</v>
      </c>
      <c r="W79" t="s">
        <v>1641</v>
      </c>
      <c r="X79" t="s">
        <v>74</v>
      </c>
      <c r="Y79" t="s">
        <v>1642</v>
      </c>
      <c r="Z79" t="s">
        <v>1643</v>
      </c>
      <c r="AA79" t="s">
        <v>74</v>
      </c>
      <c r="AB79" t="s">
        <v>74</v>
      </c>
      <c r="AC79" t="s">
        <v>1644</v>
      </c>
      <c r="AD79" t="s">
        <v>1644</v>
      </c>
      <c r="AE79" t="s">
        <v>1645</v>
      </c>
      <c r="AF79" t="s">
        <v>74</v>
      </c>
      <c r="AG79">
        <v>17</v>
      </c>
      <c r="AH79">
        <v>3</v>
      </c>
      <c r="AI79">
        <v>3</v>
      </c>
      <c r="AJ79">
        <v>0</v>
      </c>
      <c r="AK79">
        <v>5</v>
      </c>
      <c r="AL79" t="s">
        <v>1646</v>
      </c>
      <c r="AM79" t="s">
        <v>1647</v>
      </c>
      <c r="AN79" t="s">
        <v>1648</v>
      </c>
      <c r="AO79" t="s">
        <v>1649</v>
      </c>
      <c r="AP79" t="s">
        <v>74</v>
      </c>
      <c r="AQ79" t="s">
        <v>74</v>
      </c>
      <c r="AR79" t="s">
        <v>1650</v>
      </c>
      <c r="AS79" t="s">
        <v>1651</v>
      </c>
      <c r="AT79" t="s">
        <v>1652</v>
      </c>
      <c r="AU79">
        <v>2010</v>
      </c>
      <c r="AV79">
        <v>99</v>
      </c>
      <c r="AW79">
        <v>8</v>
      </c>
      <c r="AX79" t="s">
        <v>74</v>
      </c>
      <c r="AY79" t="s">
        <v>74</v>
      </c>
      <c r="AZ79" t="s">
        <v>74</v>
      </c>
      <c r="BA79" t="s">
        <v>74</v>
      </c>
      <c r="BB79">
        <v>1074</v>
      </c>
      <c r="BC79">
        <v>1079</v>
      </c>
      <c r="BD79" t="s">
        <v>74</v>
      </c>
      <c r="BE79" t="s">
        <v>74</v>
      </c>
      <c r="BF79" t="s">
        <v>74</v>
      </c>
      <c r="BG79" t="s">
        <v>74</v>
      </c>
      <c r="BH79" t="s">
        <v>74</v>
      </c>
      <c r="BI79">
        <v>6</v>
      </c>
      <c r="BJ79" t="s">
        <v>444</v>
      </c>
      <c r="BK79" t="s">
        <v>100</v>
      </c>
      <c r="BL79" t="s">
        <v>445</v>
      </c>
      <c r="BM79" t="s">
        <v>1653</v>
      </c>
      <c r="BN79" t="s">
        <v>74</v>
      </c>
      <c r="BO79" t="s">
        <v>74</v>
      </c>
      <c r="BP79" t="s">
        <v>74</v>
      </c>
      <c r="BQ79" t="s">
        <v>74</v>
      </c>
      <c r="BR79" t="s">
        <v>104</v>
      </c>
      <c r="BS79" t="s">
        <v>1654</v>
      </c>
      <c r="BT79" t="str">
        <f>HYPERLINK("https%3A%2F%2Fwww.webofscience.com%2Fwos%2Fwoscc%2Ffull-record%2FWOS:000283992500031","View Full Record in Web of Science")</f>
        <v>View Full Record in Web of Science</v>
      </c>
    </row>
    <row r="80" spans="1:72" x14ac:dyDescent="0.15">
      <c r="A80" t="s">
        <v>72</v>
      </c>
      <c r="B80" t="s">
        <v>1655</v>
      </c>
      <c r="C80" t="s">
        <v>74</v>
      </c>
      <c r="D80" t="s">
        <v>74</v>
      </c>
      <c r="E80" t="s">
        <v>74</v>
      </c>
      <c r="F80" t="s">
        <v>1656</v>
      </c>
      <c r="G80" t="s">
        <v>74</v>
      </c>
      <c r="H80" t="s">
        <v>74</v>
      </c>
      <c r="I80" t="s">
        <v>1657</v>
      </c>
      <c r="J80" t="s">
        <v>1658</v>
      </c>
      <c r="K80" t="s">
        <v>74</v>
      </c>
      <c r="L80" t="s">
        <v>74</v>
      </c>
      <c r="M80" t="s">
        <v>78</v>
      </c>
      <c r="N80" t="s">
        <v>79</v>
      </c>
      <c r="O80" t="s">
        <v>74</v>
      </c>
      <c r="P80" t="s">
        <v>74</v>
      </c>
      <c r="Q80" t="s">
        <v>74</v>
      </c>
      <c r="R80" t="s">
        <v>74</v>
      </c>
      <c r="S80" t="s">
        <v>74</v>
      </c>
      <c r="T80" t="s">
        <v>1659</v>
      </c>
      <c r="U80" t="s">
        <v>1660</v>
      </c>
      <c r="V80" t="s">
        <v>1661</v>
      </c>
      <c r="W80" t="s">
        <v>1662</v>
      </c>
      <c r="X80" t="s">
        <v>1663</v>
      </c>
      <c r="Y80" t="s">
        <v>1664</v>
      </c>
      <c r="Z80" t="s">
        <v>1665</v>
      </c>
      <c r="AA80" t="s">
        <v>1666</v>
      </c>
      <c r="AB80" t="s">
        <v>1667</v>
      </c>
      <c r="AC80" t="s">
        <v>1668</v>
      </c>
      <c r="AD80" t="s">
        <v>1668</v>
      </c>
      <c r="AE80" t="s">
        <v>1669</v>
      </c>
      <c r="AF80" t="s">
        <v>74</v>
      </c>
      <c r="AG80">
        <v>13</v>
      </c>
      <c r="AH80">
        <v>33</v>
      </c>
      <c r="AI80">
        <v>33</v>
      </c>
      <c r="AJ80">
        <v>1</v>
      </c>
      <c r="AK80">
        <v>76</v>
      </c>
      <c r="AL80" t="s">
        <v>1670</v>
      </c>
      <c r="AM80" t="s">
        <v>1598</v>
      </c>
      <c r="AN80" t="s">
        <v>1671</v>
      </c>
      <c r="AO80" t="s">
        <v>1672</v>
      </c>
      <c r="AP80" t="s">
        <v>74</v>
      </c>
      <c r="AQ80" t="s">
        <v>74</v>
      </c>
      <c r="AR80" t="s">
        <v>1673</v>
      </c>
      <c r="AS80" t="s">
        <v>1674</v>
      </c>
      <c r="AT80" t="s">
        <v>1675</v>
      </c>
      <c r="AU80">
        <v>2010</v>
      </c>
      <c r="AV80">
        <v>6</v>
      </c>
      <c r="AW80">
        <v>5</v>
      </c>
      <c r="AX80" t="s">
        <v>74</v>
      </c>
      <c r="AY80" t="s">
        <v>74</v>
      </c>
      <c r="AZ80" t="s">
        <v>74</v>
      </c>
      <c r="BA80" t="s">
        <v>74</v>
      </c>
      <c r="BB80">
        <v>647</v>
      </c>
      <c r="BC80">
        <v>650</v>
      </c>
      <c r="BD80" t="s">
        <v>74</v>
      </c>
      <c r="BE80" t="s">
        <v>1676</v>
      </c>
      <c r="BF80" t="str">
        <f>HYPERLINK("http://dx.doi.org/10.1098/rsbl.2010.0239","http://dx.doi.org/10.1098/rsbl.2010.0239")</f>
        <v>http://dx.doi.org/10.1098/rsbl.2010.0239</v>
      </c>
      <c r="BG80" t="s">
        <v>74</v>
      </c>
      <c r="BH80" t="s">
        <v>74</v>
      </c>
      <c r="BI80">
        <v>4</v>
      </c>
      <c r="BJ80" t="s">
        <v>1677</v>
      </c>
      <c r="BK80" t="s">
        <v>100</v>
      </c>
      <c r="BL80" t="s">
        <v>1678</v>
      </c>
      <c r="BM80" t="s">
        <v>1679</v>
      </c>
      <c r="BN80">
        <v>20392716</v>
      </c>
      <c r="BO80" t="s">
        <v>1284</v>
      </c>
      <c r="BP80" t="s">
        <v>74</v>
      </c>
      <c r="BQ80" t="s">
        <v>74</v>
      </c>
      <c r="BR80" t="s">
        <v>104</v>
      </c>
      <c r="BS80" t="s">
        <v>1680</v>
      </c>
      <c r="BT80" t="str">
        <f>HYPERLINK("https%3A%2F%2Fwww.webofscience.com%2Fwos%2Fwoscc%2Ffull-record%2FWOS:000281739100021","View Full Record in Web of Science")</f>
        <v>View Full Record in Web of Science</v>
      </c>
    </row>
    <row r="81" spans="1:72" x14ac:dyDescent="0.15">
      <c r="A81" t="s">
        <v>72</v>
      </c>
      <c r="B81" t="s">
        <v>1681</v>
      </c>
      <c r="C81" t="s">
        <v>74</v>
      </c>
      <c r="D81" t="s">
        <v>74</v>
      </c>
      <c r="E81" t="s">
        <v>74</v>
      </c>
      <c r="F81" t="s">
        <v>1682</v>
      </c>
      <c r="G81" t="s">
        <v>74</v>
      </c>
      <c r="H81" t="s">
        <v>74</v>
      </c>
      <c r="I81" t="s">
        <v>1683</v>
      </c>
      <c r="J81" t="s">
        <v>1509</v>
      </c>
      <c r="K81" t="s">
        <v>74</v>
      </c>
      <c r="L81" t="s">
        <v>74</v>
      </c>
      <c r="M81" t="s">
        <v>78</v>
      </c>
      <c r="N81" t="s">
        <v>79</v>
      </c>
      <c r="O81" t="s">
        <v>74</v>
      </c>
      <c r="P81" t="s">
        <v>74</v>
      </c>
      <c r="Q81" t="s">
        <v>74</v>
      </c>
      <c r="R81" t="s">
        <v>74</v>
      </c>
      <c r="S81" t="s">
        <v>74</v>
      </c>
      <c r="T81" t="s">
        <v>74</v>
      </c>
      <c r="U81" t="s">
        <v>1684</v>
      </c>
      <c r="V81" t="s">
        <v>1685</v>
      </c>
      <c r="W81" t="s">
        <v>1686</v>
      </c>
      <c r="X81" t="s">
        <v>1460</v>
      </c>
      <c r="Y81" t="s">
        <v>1687</v>
      </c>
      <c r="Z81" t="s">
        <v>1688</v>
      </c>
      <c r="AA81" t="s">
        <v>1689</v>
      </c>
      <c r="AB81" t="s">
        <v>1690</v>
      </c>
      <c r="AC81" t="s">
        <v>1691</v>
      </c>
      <c r="AD81" t="s">
        <v>1692</v>
      </c>
      <c r="AE81" t="s">
        <v>1693</v>
      </c>
      <c r="AF81" t="s">
        <v>74</v>
      </c>
      <c r="AG81">
        <v>53</v>
      </c>
      <c r="AH81">
        <v>27</v>
      </c>
      <c r="AI81">
        <v>29</v>
      </c>
      <c r="AJ81">
        <v>0</v>
      </c>
      <c r="AK81">
        <v>13</v>
      </c>
      <c r="AL81" t="s">
        <v>1521</v>
      </c>
      <c r="AM81" t="s">
        <v>1522</v>
      </c>
      <c r="AN81" t="s">
        <v>1523</v>
      </c>
      <c r="AO81" t="s">
        <v>1524</v>
      </c>
      <c r="AP81" t="s">
        <v>1525</v>
      </c>
      <c r="AQ81" t="s">
        <v>74</v>
      </c>
      <c r="AR81" t="s">
        <v>1526</v>
      </c>
      <c r="AS81" t="s">
        <v>1527</v>
      </c>
      <c r="AT81" t="s">
        <v>1675</v>
      </c>
      <c r="AU81">
        <v>2010</v>
      </c>
      <c r="AV81">
        <v>115</v>
      </c>
      <c r="AW81" t="s">
        <v>74</v>
      </c>
      <c r="AX81" t="s">
        <v>74</v>
      </c>
      <c r="AY81" t="s">
        <v>74</v>
      </c>
      <c r="AZ81" t="s">
        <v>74</v>
      </c>
      <c r="BA81" t="s">
        <v>74</v>
      </c>
      <c r="BB81" t="s">
        <v>74</v>
      </c>
      <c r="BC81" t="s">
        <v>74</v>
      </c>
      <c r="BD81" t="s">
        <v>1694</v>
      </c>
      <c r="BE81" t="s">
        <v>1695</v>
      </c>
      <c r="BF81" t="str">
        <f>HYPERLINK("http://dx.doi.org/10.1029/2009JC005797","http://dx.doi.org/10.1029/2009JC005797")</f>
        <v>http://dx.doi.org/10.1029/2009JC005797</v>
      </c>
      <c r="BG81" t="s">
        <v>74</v>
      </c>
      <c r="BH81" t="s">
        <v>74</v>
      </c>
      <c r="BI81">
        <v>19</v>
      </c>
      <c r="BJ81" t="s">
        <v>1531</v>
      </c>
      <c r="BK81" t="s">
        <v>100</v>
      </c>
      <c r="BL81" t="s">
        <v>1531</v>
      </c>
      <c r="BM81" t="s">
        <v>1696</v>
      </c>
      <c r="BN81" t="s">
        <v>74</v>
      </c>
      <c r="BO81" t="s">
        <v>1697</v>
      </c>
      <c r="BP81" t="s">
        <v>74</v>
      </c>
      <c r="BQ81" t="s">
        <v>74</v>
      </c>
      <c r="BR81" t="s">
        <v>104</v>
      </c>
      <c r="BS81" t="s">
        <v>1698</v>
      </c>
      <c r="BT81" t="str">
        <f>HYPERLINK("https%3A%2F%2Fwww.webofscience.com%2Fwos%2Fwoscc%2Ffull-record%2FWOS:000283547500001","View Full Record in Web of Science")</f>
        <v>View Full Record in Web of Science</v>
      </c>
    </row>
    <row r="82" spans="1:72" x14ac:dyDescent="0.15">
      <c r="A82" t="s">
        <v>72</v>
      </c>
      <c r="B82" t="s">
        <v>1699</v>
      </c>
      <c r="C82" t="s">
        <v>74</v>
      </c>
      <c r="D82" t="s">
        <v>74</v>
      </c>
      <c r="E82" t="s">
        <v>74</v>
      </c>
      <c r="F82" t="s">
        <v>1700</v>
      </c>
      <c r="G82" t="s">
        <v>74</v>
      </c>
      <c r="H82" t="s">
        <v>74</v>
      </c>
      <c r="I82" t="s">
        <v>1701</v>
      </c>
      <c r="J82" t="s">
        <v>1702</v>
      </c>
      <c r="K82" t="s">
        <v>74</v>
      </c>
      <c r="L82" t="s">
        <v>74</v>
      </c>
      <c r="M82" t="s">
        <v>78</v>
      </c>
      <c r="N82" t="s">
        <v>79</v>
      </c>
      <c r="O82" t="s">
        <v>74</v>
      </c>
      <c r="P82" t="s">
        <v>74</v>
      </c>
      <c r="Q82" t="s">
        <v>74</v>
      </c>
      <c r="R82" t="s">
        <v>74</v>
      </c>
      <c r="S82" t="s">
        <v>74</v>
      </c>
      <c r="T82" t="s">
        <v>74</v>
      </c>
      <c r="U82" t="s">
        <v>1703</v>
      </c>
      <c r="V82" t="s">
        <v>1704</v>
      </c>
      <c r="W82" t="s">
        <v>1705</v>
      </c>
      <c r="X82" t="s">
        <v>1706</v>
      </c>
      <c r="Y82" t="s">
        <v>1707</v>
      </c>
      <c r="Z82" t="s">
        <v>1708</v>
      </c>
      <c r="AA82" t="s">
        <v>1709</v>
      </c>
      <c r="AB82" t="s">
        <v>1710</v>
      </c>
      <c r="AC82" t="s">
        <v>1711</v>
      </c>
      <c r="AD82" t="s">
        <v>1712</v>
      </c>
      <c r="AE82" t="s">
        <v>1713</v>
      </c>
      <c r="AF82" t="s">
        <v>74</v>
      </c>
      <c r="AG82">
        <v>27</v>
      </c>
      <c r="AH82">
        <v>7</v>
      </c>
      <c r="AI82">
        <v>7</v>
      </c>
      <c r="AJ82">
        <v>1</v>
      </c>
      <c r="AK82">
        <v>14</v>
      </c>
      <c r="AL82" t="s">
        <v>1521</v>
      </c>
      <c r="AM82" t="s">
        <v>1522</v>
      </c>
      <c r="AN82" t="s">
        <v>1523</v>
      </c>
      <c r="AO82" t="s">
        <v>1714</v>
      </c>
      <c r="AP82" t="s">
        <v>1715</v>
      </c>
      <c r="AQ82" t="s">
        <v>74</v>
      </c>
      <c r="AR82" t="s">
        <v>1716</v>
      </c>
      <c r="AS82" t="s">
        <v>1717</v>
      </c>
      <c r="AT82" t="s">
        <v>1718</v>
      </c>
      <c r="AU82">
        <v>2010</v>
      </c>
      <c r="AV82">
        <v>115</v>
      </c>
      <c r="AW82" t="s">
        <v>74</v>
      </c>
      <c r="AX82" t="s">
        <v>74</v>
      </c>
      <c r="AY82" t="s">
        <v>74</v>
      </c>
      <c r="AZ82" t="s">
        <v>74</v>
      </c>
      <c r="BA82" t="s">
        <v>74</v>
      </c>
      <c r="BB82" t="s">
        <v>74</v>
      </c>
      <c r="BC82" t="s">
        <v>74</v>
      </c>
      <c r="BD82" t="s">
        <v>1719</v>
      </c>
      <c r="BE82" t="s">
        <v>1720</v>
      </c>
      <c r="BF82" t="str">
        <f>HYPERLINK("http://dx.doi.org/10.1029/2010JD013912","http://dx.doi.org/10.1029/2010JD013912")</f>
        <v>http://dx.doi.org/10.1029/2010JD013912</v>
      </c>
      <c r="BG82" t="s">
        <v>74</v>
      </c>
      <c r="BH82" t="s">
        <v>74</v>
      </c>
      <c r="BI82">
        <v>11</v>
      </c>
      <c r="BJ82" t="s">
        <v>319</v>
      </c>
      <c r="BK82" t="s">
        <v>100</v>
      </c>
      <c r="BL82" t="s">
        <v>319</v>
      </c>
      <c r="BM82" t="s">
        <v>1721</v>
      </c>
      <c r="BN82" t="s">
        <v>74</v>
      </c>
      <c r="BO82" t="s">
        <v>394</v>
      </c>
      <c r="BP82" t="s">
        <v>74</v>
      </c>
      <c r="BQ82" t="s">
        <v>74</v>
      </c>
      <c r="BR82" t="s">
        <v>104</v>
      </c>
      <c r="BS82" t="s">
        <v>1722</v>
      </c>
      <c r="BT82" t="str">
        <f>HYPERLINK("https%3A%2F%2Fwww.webofscience.com%2Fwos%2Fwoscc%2Ffull-record%2FWOS:000283546500004","View Full Record in Web of Science")</f>
        <v>View Full Record in Web of Science</v>
      </c>
    </row>
    <row r="83" spans="1:72" x14ac:dyDescent="0.15">
      <c r="A83" t="s">
        <v>72</v>
      </c>
      <c r="B83" t="s">
        <v>1723</v>
      </c>
      <c r="C83" t="s">
        <v>74</v>
      </c>
      <c r="D83" t="s">
        <v>74</v>
      </c>
      <c r="E83" t="s">
        <v>74</v>
      </c>
      <c r="F83" t="s">
        <v>1724</v>
      </c>
      <c r="G83" t="s">
        <v>74</v>
      </c>
      <c r="H83" t="s">
        <v>74</v>
      </c>
      <c r="I83" t="s">
        <v>1725</v>
      </c>
      <c r="J83" t="s">
        <v>1538</v>
      </c>
      <c r="K83" t="s">
        <v>74</v>
      </c>
      <c r="L83" t="s">
        <v>74</v>
      </c>
      <c r="M83" t="s">
        <v>78</v>
      </c>
      <c r="N83" t="s">
        <v>79</v>
      </c>
      <c r="O83" t="s">
        <v>74</v>
      </c>
      <c r="P83" t="s">
        <v>74</v>
      </c>
      <c r="Q83" t="s">
        <v>74</v>
      </c>
      <c r="R83" t="s">
        <v>74</v>
      </c>
      <c r="S83" t="s">
        <v>74</v>
      </c>
      <c r="T83" t="s">
        <v>74</v>
      </c>
      <c r="U83" t="s">
        <v>1726</v>
      </c>
      <c r="V83" t="s">
        <v>1727</v>
      </c>
      <c r="W83" t="s">
        <v>1728</v>
      </c>
      <c r="X83" t="s">
        <v>1729</v>
      </c>
      <c r="Y83" t="s">
        <v>1730</v>
      </c>
      <c r="Z83" t="s">
        <v>74</v>
      </c>
      <c r="AA83" t="s">
        <v>1731</v>
      </c>
      <c r="AB83" t="s">
        <v>1732</v>
      </c>
      <c r="AC83" t="s">
        <v>1733</v>
      </c>
      <c r="AD83" t="s">
        <v>1734</v>
      </c>
      <c r="AE83" t="s">
        <v>1735</v>
      </c>
      <c r="AF83" t="s">
        <v>74</v>
      </c>
      <c r="AG83">
        <v>25</v>
      </c>
      <c r="AH83">
        <v>186</v>
      </c>
      <c r="AI83">
        <v>206</v>
      </c>
      <c r="AJ83">
        <v>0</v>
      </c>
      <c r="AK83">
        <v>28</v>
      </c>
      <c r="AL83" t="s">
        <v>1521</v>
      </c>
      <c r="AM83" t="s">
        <v>1522</v>
      </c>
      <c r="AN83" t="s">
        <v>1523</v>
      </c>
      <c r="AO83" t="s">
        <v>1550</v>
      </c>
      <c r="AP83" t="s">
        <v>74</v>
      </c>
      <c r="AQ83" t="s">
        <v>74</v>
      </c>
      <c r="AR83" t="s">
        <v>1552</v>
      </c>
      <c r="AS83" t="s">
        <v>1553</v>
      </c>
      <c r="AT83" t="s">
        <v>1736</v>
      </c>
      <c r="AU83">
        <v>2010</v>
      </c>
      <c r="AV83">
        <v>37</v>
      </c>
      <c r="AW83" t="s">
        <v>74</v>
      </c>
      <c r="AX83" t="s">
        <v>74</v>
      </c>
      <c r="AY83" t="s">
        <v>74</v>
      </c>
      <c r="AZ83" t="s">
        <v>74</v>
      </c>
      <c r="BA83" t="s">
        <v>74</v>
      </c>
      <c r="BB83" t="s">
        <v>74</v>
      </c>
      <c r="BC83" t="s">
        <v>74</v>
      </c>
      <c r="BD83" t="s">
        <v>1737</v>
      </c>
      <c r="BE83" t="s">
        <v>1738</v>
      </c>
      <c r="BF83" t="str">
        <f>HYPERLINK("http://dx.doi.org/10.1029/2010GL044819","http://dx.doi.org/10.1029/2010GL044819")</f>
        <v>http://dx.doi.org/10.1029/2010GL044819</v>
      </c>
      <c r="BG83" t="s">
        <v>74</v>
      </c>
      <c r="BH83" t="s">
        <v>74</v>
      </c>
      <c r="BI83">
        <v>5</v>
      </c>
      <c r="BJ83" t="s">
        <v>1194</v>
      </c>
      <c r="BK83" t="s">
        <v>100</v>
      </c>
      <c r="BL83" t="s">
        <v>807</v>
      </c>
      <c r="BM83" t="s">
        <v>1739</v>
      </c>
      <c r="BN83" t="s">
        <v>74</v>
      </c>
      <c r="BO83" t="s">
        <v>394</v>
      </c>
      <c r="BP83" t="s">
        <v>74</v>
      </c>
      <c r="BQ83" t="s">
        <v>74</v>
      </c>
      <c r="BR83" t="s">
        <v>104</v>
      </c>
      <c r="BS83" t="s">
        <v>1740</v>
      </c>
      <c r="BT83" t="str">
        <f>HYPERLINK("https%3A%2F%2Fwww.webofscience.com%2Fwos%2Fwoscc%2Ffull-record%2FWOS:000283545300004","View Full Record in Web of Science")</f>
        <v>View Full Record in Web of Science</v>
      </c>
    </row>
    <row r="84" spans="1:72" x14ac:dyDescent="0.15">
      <c r="A84" t="s">
        <v>72</v>
      </c>
      <c r="B84" t="s">
        <v>1741</v>
      </c>
      <c r="C84" t="s">
        <v>74</v>
      </c>
      <c r="D84" t="s">
        <v>74</v>
      </c>
      <c r="E84" t="s">
        <v>74</v>
      </c>
      <c r="F84" t="s">
        <v>1742</v>
      </c>
      <c r="G84" t="s">
        <v>74</v>
      </c>
      <c r="H84" t="s">
        <v>74</v>
      </c>
      <c r="I84" t="s">
        <v>1743</v>
      </c>
      <c r="J84" t="s">
        <v>1509</v>
      </c>
      <c r="K84" t="s">
        <v>74</v>
      </c>
      <c r="L84" t="s">
        <v>74</v>
      </c>
      <c r="M84" t="s">
        <v>78</v>
      </c>
      <c r="N84" t="s">
        <v>79</v>
      </c>
      <c r="O84" t="s">
        <v>74</v>
      </c>
      <c r="P84" t="s">
        <v>74</v>
      </c>
      <c r="Q84" t="s">
        <v>74</v>
      </c>
      <c r="R84" t="s">
        <v>74</v>
      </c>
      <c r="S84" t="s">
        <v>74</v>
      </c>
      <c r="T84" t="s">
        <v>74</v>
      </c>
      <c r="U84" t="s">
        <v>1744</v>
      </c>
      <c r="V84" t="s">
        <v>1745</v>
      </c>
      <c r="W84" t="s">
        <v>1746</v>
      </c>
      <c r="X84" t="s">
        <v>1747</v>
      </c>
      <c r="Y84" t="s">
        <v>1748</v>
      </c>
      <c r="Z84" t="s">
        <v>1749</v>
      </c>
      <c r="AA84" t="s">
        <v>1750</v>
      </c>
      <c r="AB84" t="s">
        <v>1751</v>
      </c>
      <c r="AC84" t="s">
        <v>1752</v>
      </c>
      <c r="AD84" t="s">
        <v>1753</v>
      </c>
      <c r="AE84" t="s">
        <v>1754</v>
      </c>
      <c r="AF84" t="s">
        <v>74</v>
      </c>
      <c r="AG84">
        <v>58</v>
      </c>
      <c r="AH84">
        <v>30</v>
      </c>
      <c r="AI84">
        <v>34</v>
      </c>
      <c r="AJ84">
        <v>1</v>
      </c>
      <c r="AK84">
        <v>24</v>
      </c>
      <c r="AL84" t="s">
        <v>1521</v>
      </c>
      <c r="AM84" t="s">
        <v>1522</v>
      </c>
      <c r="AN84" t="s">
        <v>1523</v>
      </c>
      <c r="AO84" t="s">
        <v>1524</v>
      </c>
      <c r="AP84" t="s">
        <v>1525</v>
      </c>
      <c r="AQ84" t="s">
        <v>74</v>
      </c>
      <c r="AR84" t="s">
        <v>1526</v>
      </c>
      <c r="AS84" t="s">
        <v>1527</v>
      </c>
      <c r="AT84" t="s">
        <v>1736</v>
      </c>
      <c r="AU84">
        <v>2010</v>
      </c>
      <c r="AV84">
        <v>115</v>
      </c>
      <c r="AW84" t="s">
        <v>74</v>
      </c>
      <c r="AX84" t="s">
        <v>74</v>
      </c>
      <c r="AY84" t="s">
        <v>74</v>
      </c>
      <c r="AZ84" t="s">
        <v>74</v>
      </c>
      <c r="BA84" t="s">
        <v>74</v>
      </c>
      <c r="BB84" t="s">
        <v>74</v>
      </c>
      <c r="BC84" t="s">
        <v>74</v>
      </c>
      <c r="BD84" t="s">
        <v>1755</v>
      </c>
      <c r="BE84" t="s">
        <v>1756</v>
      </c>
      <c r="BF84" t="str">
        <f>HYPERLINK("http://dx.doi.org/10.1029/2009JC006040","http://dx.doi.org/10.1029/2009JC006040")</f>
        <v>http://dx.doi.org/10.1029/2009JC006040</v>
      </c>
      <c r="BG84" t="s">
        <v>74</v>
      </c>
      <c r="BH84" t="s">
        <v>74</v>
      </c>
      <c r="BI84">
        <v>16</v>
      </c>
      <c r="BJ84" t="s">
        <v>1531</v>
      </c>
      <c r="BK84" t="s">
        <v>100</v>
      </c>
      <c r="BL84" t="s">
        <v>1531</v>
      </c>
      <c r="BM84" t="s">
        <v>1757</v>
      </c>
      <c r="BN84" t="s">
        <v>74</v>
      </c>
      <c r="BO84" t="s">
        <v>74</v>
      </c>
      <c r="BP84" t="s">
        <v>74</v>
      </c>
      <c r="BQ84" t="s">
        <v>74</v>
      </c>
      <c r="BR84" t="s">
        <v>104</v>
      </c>
      <c r="BS84" t="s">
        <v>1758</v>
      </c>
      <c r="BT84" t="str">
        <f>HYPERLINK("https%3A%2F%2Fwww.webofscience.com%2Fwos%2Fwoscc%2Ffull-record%2FWOS:000283547200002","View Full Record in Web of Science")</f>
        <v>View Full Record in Web of Science</v>
      </c>
    </row>
    <row r="85" spans="1:72" x14ac:dyDescent="0.15">
      <c r="A85" t="s">
        <v>72</v>
      </c>
      <c r="B85" t="s">
        <v>1759</v>
      </c>
      <c r="C85" t="s">
        <v>74</v>
      </c>
      <c r="D85" t="s">
        <v>74</v>
      </c>
      <c r="E85" t="s">
        <v>74</v>
      </c>
      <c r="F85" t="s">
        <v>1760</v>
      </c>
      <c r="G85" t="s">
        <v>74</v>
      </c>
      <c r="H85" t="s">
        <v>74</v>
      </c>
      <c r="I85" t="s">
        <v>1761</v>
      </c>
      <c r="J85" t="s">
        <v>1762</v>
      </c>
      <c r="K85" t="s">
        <v>74</v>
      </c>
      <c r="L85" t="s">
        <v>74</v>
      </c>
      <c r="M85" t="s">
        <v>78</v>
      </c>
      <c r="N85" t="s">
        <v>79</v>
      </c>
      <c r="O85" t="s">
        <v>74</v>
      </c>
      <c r="P85" t="s">
        <v>74</v>
      </c>
      <c r="Q85" t="s">
        <v>74</v>
      </c>
      <c r="R85" t="s">
        <v>74</v>
      </c>
      <c r="S85" t="s">
        <v>74</v>
      </c>
      <c r="T85" t="s">
        <v>74</v>
      </c>
      <c r="U85" t="s">
        <v>1763</v>
      </c>
      <c r="V85" t="s">
        <v>1764</v>
      </c>
      <c r="W85" t="s">
        <v>1765</v>
      </c>
      <c r="X85" t="s">
        <v>1766</v>
      </c>
      <c r="Y85" t="s">
        <v>1767</v>
      </c>
      <c r="Z85" t="s">
        <v>1768</v>
      </c>
      <c r="AA85" t="s">
        <v>1769</v>
      </c>
      <c r="AB85" t="s">
        <v>1770</v>
      </c>
      <c r="AC85" t="s">
        <v>1771</v>
      </c>
      <c r="AD85" t="s">
        <v>1772</v>
      </c>
      <c r="AE85" t="s">
        <v>1773</v>
      </c>
      <c r="AF85" t="s">
        <v>74</v>
      </c>
      <c r="AG85">
        <v>16</v>
      </c>
      <c r="AH85">
        <v>425</v>
      </c>
      <c r="AI85">
        <v>456</v>
      </c>
      <c r="AJ85">
        <v>2</v>
      </c>
      <c r="AK85">
        <v>41</v>
      </c>
      <c r="AL85" t="s">
        <v>1774</v>
      </c>
      <c r="AM85" t="s">
        <v>1598</v>
      </c>
      <c r="AN85" t="s">
        <v>1775</v>
      </c>
      <c r="AO85" t="s">
        <v>1776</v>
      </c>
      <c r="AP85" t="s">
        <v>74</v>
      </c>
      <c r="AQ85" t="s">
        <v>74</v>
      </c>
      <c r="AR85" t="s">
        <v>1762</v>
      </c>
      <c r="AS85" t="s">
        <v>1777</v>
      </c>
      <c r="AT85" t="s">
        <v>1736</v>
      </c>
      <c r="AU85">
        <v>2010</v>
      </c>
      <c r="AV85">
        <v>467</v>
      </c>
      <c r="AW85">
        <v>7318</v>
      </c>
      <c r="AX85" t="s">
        <v>74</v>
      </c>
      <c r="AY85" t="s">
        <v>74</v>
      </c>
      <c r="AZ85" t="s">
        <v>74</v>
      </c>
      <c r="BA85" t="s">
        <v>74</v>
      </c>
      <c r="BB85">
        <v>943</v>
      </c>
      <c r="BC85">
        <v>946</v>
      </c>
      <c r="BD85" t="s">
        <v>74</v>
      </c>
      <c r="BE85" t="s">
        <v>1778</v>
      </c>
      <c r="BF85" t="str">
        <f>HYPERLINK("http://dx.doi.org/10.1038/nature09467","http://dx.doi.org/10.1038/nature09467")</f>
        <v>http://dx.doi.org/10.1038/nature09467</v>
      </c>
      <c r="BG85" t="s">
        <v>74</v>
      </c>
      <c r="BH85" t="s">
        <v>74</v>
      </c>
      <c r="BI85">
        <v>4</v>
      </c>
      <c r="BJ85" t="s">
        <v>444</v>
      </c>
      <c r="BK85" t="s">
        <v>100</v>
      </c>
      <c r="BL85" t="s">
        <v>445</v>
      </c>
      <c r="BM85" t="s">
        <v>1779</v>
      </c>
      <c r="BN85">
        <v>20962841</v>
      </c>
      <c r="BO85" t="s">
        <v>74</v>
      </c>
      <c r="BP85" t="s">
        <v>74</v>
      </c>
      <c r="BQ85" t="s">
        <v>74</v>
      </c>
      <c r="BR85" t="s">
        <v>104</v>
      </c>
      <c r="BS85" t="s">
        <v>1780</v>
      </c>
      <c r="BT85" t="str">
        <f>HYPERLINK("https%3A%2F%2Fwww.webofscience.com%2Fwos%2Fwoscc%2Ffull-record%2FWOS:000283254700033","View Full Record in Web of Science")</f>
        <v>View Full Record in Web of Science</v>
      </c>
    </row>
    <row r="86" spans="1:72" x14ac:dyDescent="0.15">
      <c r="A86" t="s">
        <v>72</v>
      </c>
      <c r="B86" t="s">
        <v>1781</v>
      </c>
      <c r="C86" t="s">
        <v>74</v>
      </c>
      <c r="D86" t="s">
        <v>74</v>
      </c>
      <c r="E86" t="s">
        <v>74</v>
      </c>
      <c r="F86" t="s">
        <v>1782</v>
      </c>
      <c r="G86" t="s">
        <v>74</v>
      </c>
      <c r="H86" t="s">
        <v>74</v>
      </c>
      <c r="I86" t="s">
        <v>1783</v>
      </c>
      <c r="J86" t="s">
        <v>1784</v>
      </c>
      <c r="K86" t="s">
        <v>74</v>
      </c>
      <c r="L86" t="s">
        <v>74</v>
      </c>
      <c r="M86" t="s">
        <v>78</v>
      </c>
      <c r="N86" t="s">
        <v>79</v>
      </c>
      <c r="O86" t="s">
        <v>74</v>
      </c>
      <c r="P86" t="s">
        <v>74</v>
      </c>
      <c r="Q86" t="s">
        <v>74</v>
      </c>
      <c r="R86" t="s">
        <v>74</v>
      </c>
      <c r="S86" t="s">
        <v>74</v>
      </c>
      <c r="T86" t="s">
        <v>1785</v>
      </c>
      <c r="U86" t="s">
        <v>1786</v>
      </c>
      <c r="V86" t="s">
        <v>1787</v>
      </c>
      <c r="W86" t="s">
        <v>1788</v>
      </c>
      <c r="X86" t="s">
        <v>1789</v>
      </c>
      <c r="Y86" t="s">
        <v>1790</v>
      </c>
      <c r="Z86" t="s">
        <v>1791</v>
      </c>
      <c r="AA86" t="s">
        <v>1792</v>
      </c>
      <c r="AB86" t="s">
        <v>1793</v>
      </c>
      <c r="AC86" t="s">
        <v>1794</v>
      </c>
      <c r="AD86" t="s">
        <v>1795</v>
      </c>
      <c r="AE86" t="s">
        <v>1796</v>
      </c>
      <c r="AF86" t="s">
        <v>74</v>
      </c>
      <c r="AG86">
        <v>85</v>
      </c>
      <c r="AH86">
        <v>288</v>
      </c>
      <c r="AI86">
        <v>325</v>
      </c>
      <c r="AJ86">
        <v>0</v>
      </c>
      <c r="AK86">
        <v>13</v>
      </c>
      <c r="AL86" t="s">
        <v>1797</v>
      </c>
      <c r="AM86" t="s">
        <v>510</v>
      </c>
      <c r="AN86" t="s">
        <v>1798</v>
      </c>
      <c r="AO86" t="s">
        <v>1799</v>
      </c>
      <c r="AP86" t="s">
        <v>1800</v>
      </c>
      <c r="AQ86" t="s">
        <v>74</v>
      </c>
      <c r="AR86" t="s">
        <v>1801</v>
      </c>
      <c r="AS86" t="s">
        <v>1802</v>
      </c>
      <c r="AT86" t="s">
        <v>1803</v>
      </c>
      <c r="AU86">
        <v>2010</v>
      </c>
      <c r="AV86">
        <v>722</v>
      </c>
      <c r="AW86">
        <v>2</v>
      </c>
      <c r="AX86" t="s">
        <v>74</v>
      </c>
      <c r="AY86" t="s">
        <v>74</v>
      </c>
      <c r="AZ86" t="s">
        <v>74</v>
      </c>
      <c r="BA86" t="s">
        <v>74</v>
      </c>
      <c r="BB86">
        <v>1180</v>
      </c>
      <c r="BC86">
        <v>1196</v>
      </c>
      <c r="BD86" t="s">
        <v>74</v>
      </c>
      <c r="BE86" t="s">
        <v>1804</v>
      </c>
      <c r="BF86" t="str">
        <f>HYPERLINK("http://dx.doi.org/10.1088/0004-637X/722/2/1180","http://dx.doi.org/10.1088/0004-637X/722/2/1180")</f>
        <v>http://dx.doi.org/10.1088/0004-637X/722/2/1180</v>
      </c>
      <c r="BG86" t="s">
        <v>74</v>
      </c>
      <c r="BH86" t="s">
        <v>74</v>
      </c>
      <c r="BI86">
        <v>17</v>
      </c>
      <c r="BJ86" t="s">
        <v>1805</v>
      </c>
      <c r="BK86" t="s">
        <v>100</v>
      </c>
      <c r="BL86" t="s">
        <v>1805</v>
      </c>
      <c r="BM86" t="s">
        <v>1806</v>
      </c>
      <c r="BN86" t="s">
        <v>74</v>
      </c>
      <c r="BO86" t="s">
        <v>103</v>
      </c>
      <c r="BP86" t="s">
        <v>74</v>
      </c>
      <c r="BQ86" t="s">
        <v>74</v>
      </c>
      <c r="BR86" t="s">
        <v>104</v>
      </c>
      <c r="BS86" t="s">
        <v>1807</v>
      </c>
      <c r="BT86" t="str">
        <f>HYPERLINK("https%3A%2F%2Fwww.webofscience.com%2Fwos%2Fwoscc%2Ffull-record%2FWOS:000284075400017","View Full Record in Web of Science")</f>
        <v>View Full Record in Web of Science</v>
      </c>
    </row>
    <row r="87" spans="1:72" x14ac:dyDescent="0.15">
      <c r="A87" t="s">
        <v>72</v>
      </c>
      <c r="B87" t="s">
        <v>1808</v>
      </c>
      <c r="C87" t="s">
        <v>74</v>
      </c>
      <c r="D87" t="s">
        <v>74</v>
      </c>
      <c r="E87" t="s">
        <v>74</v>
      </c>
      <c r="F87" t="s">
        <v>1809</v>
      </c>
      <c r="G87" t="s">
        <v>74</v>
      </c>
      <c r="H87" t="s">
        <v>74</v>
      </c>
      <c r="I87" t="s">
        <v>1810</v>
      </c>
      <c r="J87" t="s">
        <v>1811</v>
      </c>
      <c r="K87" t="s">
        <v>74</v>
      </c>
      <c r="L87" t="s">
        <v>74</v>
      </c>
      <c r="M87" t="s">
        <v>78</v>
      </c>
      <c r="N87" t="s">
        <v>79</v>
      </c>
      <c r="O87" t="s">
        <v>74</v>
      </c>
      <c r="P87" t="s">
        <v>74</v>
      </c>
      <c r="Q87" t="s">
        <v>74</v>
      </c>
      <c r="R87" t="s">
        <v>74</v>
      </c>
      <c r="S87" t="s">
        <v>74</v>
      </c>
      <c r="T87" t="s">
        <v>1812</v>
      </c>
      <c r="U87" t="s">
        <v>1813</v>
      </c>
      <c r="V87" t="s">
        <v>1814</v>
      </c>
      <c r="W87" t="s">
        <v>1815</v>
      </c>
      <c r="X87" t="s">
        <v>1816</v>
      </c>
      <c r="Y87" t="s">
        <v>1817</v>
      </c>
      <c r="Z87" t="s">
        <v>1818</v>
      </c>
      <c r="AA87" t="s">
        <v>1819</v>
      </c>
      <c r="AB87" t="s">
        <v>1820</v>
      </c>
      <c r="AC87" t="s">
        <v>1821</v>
      </c>
      <c r="AD87" t="s">
        <v>1822</v>
      </c>
      <c r="AE87" t="s">
        <v>1823</v>
      </c>
      <c r="AF87" t="s">
        <v>74</v>
      </c>
      <c r="AG87">
        <v>141</v>
      </c>
      <c r="AH87">
        <v>71</v>
      </c>
      <c r="AI87">
        <v>78</v>
      </c>
      <c r="AJ87">
        <v>1</v>
      </c>
      <c r="AK87">
        <v>32</v>
      </c>
      <c r="AL87" t="s">
        <v>1038</v>
      </c>
      <c r="AM87" t="s">
        <v>550</v>
      </c>
      <c r="AN87" t="s">
        <v>1039</v>
      </c>
      <c r="AO87" t="s">
        <v>1824</v>
      </c>
      <c r="AP87" t="s">
        <v>1825</v>
      </c>
      <c r="AQ87" t="s">
        <v>74</v>
      </c>
      <c r="AR87" t="s">
        <v>1826</v>
      </c>
      <c r="AS87" t="s">
        <v>1827</v>
      </c>
      <c r="AT87" t="s">
        <v>1803</v>
      </c>
      <c r="AU87">
        <v>2010</v>
      </c>
      <c r="AV87">
        <v>277</v>
      </c>
      <c r="AW87" t="s">
        <v>556</v>
      </c>
      <c r="AX87" t="s">
        <v>74</v>
      </c>
      <c r="AY87" t="s">
        <v>74</v>
      </c>
      <c r="AZ87" t="s">
        <v>74</v>
      </c>
      <c r="BA87" t="s">
        <v>74</v>
      </c>
      <c r="BB87">
        <v>227</v>
      </c>
      <c r="BC87">
        <v>244</v>
      </c>
      <c r="BD87" t="s">
        <v>74</v>
      </c>
      <c r="BE87" t="s">
        <v>1828</v>
      </c>
      <c r="BF87" t="str">
        <f>HYPERLINK("http://dx.doi.org/10.1016/j.chemgeo.2010.08.004","http://dx.doi.org/10.1016/j.chemgeo.2010.08.004")</f>
        <v>http://dx.doi.org/10.1016/j.chemgeo.2010.08.004</v>
      </c>
      <c r="BG87" t="s">
        <v>74</v>
      </c>
      <c r="BH87" t="s">
        <v>74</v>
      </c>
      <c r="BI87">
        <v>18</v>
      </c>
      <c r="BJ87" t="s">
        <v>558</v>
      </c>
      <c r="BK87" t="s">
        <v>100</v>
      </c>
      <c r="BL87" t="s">
        <v>558</v>
      </c>
      <c r="BM87" t="s">
        <v>1829</v>
      </c>
      <c r="BN87" t="s">
        <v>74</v>
      </c>
      <c r="BO87" t="s">
        <v>74</v>
      </c>
      <c r="BP87" t="s">
        <v>74</v>
      </c>
      <c r="BQ87" t="s">
        <v>74</v>
      </c>
      <c r="BR87" t="s">
        <v>104</v>
      </c>
      <c r="BS87" t="s">
        <v>1830</v>
      </c>
      <c r="BT87" t="str">
        <f>HYPERLINK("https%3A%2F%2Fwww.webofscience.com%2Fwos%2Fwoscc%2Ffull-record%2FWOS:000283611200004","View Full Record in Web of Science")</f>
        <v>View Full Record in Web of Science</v>
      </c>
    </row>
    <row r="88" spans="1:72" x14ac:dyDescent="0.15">
      <c r="A88" t="s">
        <v>72</v>
      </c>
      <c r="B88" t="s">
        <v>1831</v>
      </c>
      <c r="C88" t="s">
        <v>74</v>
      </c>
      <c r="D88" t="s">
        <v>74</v>
      </c>
      <c r="E88" t="s">
        <v>74</v>
      </c>
      <c r="F88" t="s">
        <v>1832</v>
      </c>
      <c r="G88" t="s">
        <v>74</v>
      </c>
      <c r="H88" t="s">
        <v>74</v>
      </c>
      <c r="I88" t="s">
        <v>1833</v>
      </c>
      <c r="J88" t="s">
        <v>1702</v>
      </c>
      <c r="K88" t="s">
        <v>74</v>
      </c>
      <c r="L88" t="s">
        <v>74</v>
      </c>
      <c r="M88" t="s">
        <v>78</v>
      </c>
      <c r="N88" t="s">
        <v>79</v>
      </c>
      <c r="O88" t="s">
        <v>74</v>
      </c>
      <c r="P88" t="s">
        <v>74</v>
      </c>
      <c r="Q88" t="s">
        <v>74</v>
      </c>
      <c r="R88" t="s">
        <v>74</v>
      </c>
      <c r="S88" t="s">
        <v>74</v>
      </c>
      <c r="T88" t="s">
        <v>74</v>
      </c>
      <c r="U88" t="s">
        <v>1834</v>
      </c>
      <c r="V88" t="s">
        <v>1835</v>
      </c>
      <c r="W88" t="s">
        <v>1836</v>
      </c>
      <c r="X88" t="s">
        <v>1837</v>
      </c>
      <c r="Y88" t="s">
        <v>1838</v>
      </c>
      <c r="Z88" t="s">
        <v>1839</v>
      </c>
      <c r="AA88" t="s">
        <v>74</v>
      </c>
      <c r="AB88" t="s">
        <v>74</v>
      </c>
      <c r="AC88" t="s">
        <v>1840</v>
      </c>
      <c r="AD88" t="s">
        <v>1841</v>
      </c>
      <c r="AE88" t="s">
        <v>1842</v>
      </c>
      <c r="AF88" t="s">
        <v>74</v>
      </c>
      <c r="AG88">
        <v>48</v>
      </c>
      <c r="AH88">
        <v>14</v>
      </c>
      <c r="AI88">
        <v>18</v>
      </c>
      <c r="AJ88">
        <v>0</v>
      </c>
      <c r="AK88">
        <v>15</v>
      </c>
      <c r="AL88" t="s">
        <v>1521</v>
      </c>
      <c r="AM88" t="s">
        <v>1522</v>
      </c>
      <c r="AN88" t="s">
        <v>1523</v>
      </c>
      <c r="AO88" t="s">
        <v>1714</v>
      </c>
      <c r="AP88" t="s">
        <v>74</v>
      </c>
      <c r="AQ88" t="s">
        <v>74</v>
      </c>
      <c r="AR88" t="s">
        <v>1716</v>
      </c>
      <c r="AS88" t="s">
        <v>1717</v>
      </c>
      <c r="AT88" t="s">
        <v>1803</v>
      </c>
      <c r="AU88">
        <v>2010</v>
      </c>
      <c r="AV88">
        <v>115</v>
      </c>
      <c r="AW88" t="s">
        <v>74</v>
      </c>
      <c r="AX88" t="s">
        <v>74</v>
      </c>
      <c r="AY88" t="s">
        <v>74</v>
      </c>
      <c r="AZ88" t="s">
        <v>74</v>
      </c>
      <c r="BA88" t="s">
        <v>74</v>
      </c>
      <c r="BB88" t="s">
        <v>74</v>
      </c>
      <c r="BC88" t="s">
        <v>74</v>
      </c>
      <c r="BD88" t="s">
        <v>1843</v>
      </c>
      <c r="BE88" t="s">
        <v>1844</v>
      </c>
      <c r="BF88" t="str">
        <f>HYPERLINK("http://dx.doi.org/10.1029/2009JD012844","http://dx.doi.org/10.1029/2009JD012844")</f>
        <v>http://dx.doi.org/10.1029/2009JD012844</v>
      </c>
      <c r="BG88" t="s">
        <v>74</v>
      </c>
      <c r="BH88" t="s">
        <v>74</v>
      </c>
      <c r="BI88">
        <v>14</v>
      </c>
      <c r="BJ88" t="s">
        <v>319</v>
      </c>
      <c r="BK88" t="s">
        <v>100</v>
      </c>
      <c r="BL88" t="s">
        <v>319</v>
      </c>
      <c r="BM88" t="s">
        <v>1845</v>
      </c>
      <c r="BN88" t="s">
        <v>74</v>
      </c>
      <c r="BO88" t="s">
        <v>74</v>
      </c>
      <c r="BP88" t="s">
        <v>74</v>
      </c>
      <c r="BQ88" t="s">
        <v>74</v>
      </c>
      <c r="BR88" t="s">
        <v>104</v>
      </c>
      <c r="BS88" t="s">
        <v>1846</v>
      </c>
      <c r="BT88" t="str">
        <f>HYPERLINK("https%3A%2F%2Fwww.webofscience.com%2Fwos%2Fwoscc%2Ffull-record%2FWOS:000283546100001","View Full Record in Web of Science")</f>
        <v>View Full Record in Web of Science</v>
      </c>
    </row>
    <row r="89" spans="1:72" x14ac:dyDescent="0.15">
      <c r="A89" t="s">
        <v>72</v>
      </c>
      <c r="B89" t="s">
        <v>1847</v>
      </c>
      <c r="C89" t="s">
        <v>74</v>
      </c>
      <c r="D89" t="s">
        <v>74</v>
      </c>
      <c r="E89" t="s">
        <v>74</v>
      </c>
      <c r="F89" t="s">
        <v>1848</v>
      </c>
      <c r="G89" t="s">
        <v>74</v>
      </c>
      <c r="H89" t="s">
        <v>74</v>
      </c>
      <c r="I89" t="s">
        <v>1849</v>
      </c>
      <c r="J89" t="s">
        <v>1562</v>
      </c>
      <c r="K89" t="s">
        <v>74</v>
      </c>
      <c r="L89" t="s">
        <v>74</v>
      </c>
      <c r="M89" t="s">
        <v>78</v>
      </c>
      <c r="N89" t="s">
        <v>79</v>
      </c>
      <c r="O89" t="s">
        <v>74</v>
      </c>
      <c r="P89" t="s">
        <v>74</v>
      </c>
      <c r="Q89" t="s">
        <v>74</v>
      </c>
      <c r="R89" t="s">
        <v>74</v>
      </c>
      <c r="S89" t="s">
        <v>74</v>
      </c>
      <c r="T89" t="s">
        <v>74</v>
      </c>
      <c r="U89" t="s">
        <v>1850</v>
      </c>
      <c r="V89" t="s">
        <v>1851</v>
      </c>
      <c r="W89" t="s">
        <v>1852</v>
      </c>
      <c r="X89" t="s">
        <v>1853</v>
      </c>
      <c r="Y89" t="s">
        <v>1854</v>
      </c>
      <c r="Z89" t="s">
        <v>1855</v>
      </c>
      <c r="AA89" t="s">
        <v>1856</v>
      </c>
      <c r="AB89" t="s">
        <v>1857</v>
      </c>
      <c r="AC89" t="s">
        <v>1858</v>
      </c>
      <c r="AD89" t="s">
        <v>1859</v>
      </c>
      <c r="AE89" t="s">
        <v>1860</v>
      </c>
      <c r="AF89" t="s">
        <v>74</v>
      </c>
      <c r="AG89">
        <v>45</v>
      </c>
      <c r="AH89">
        <v>20</v>
      </c>
      <c r="AI89">
        <v>21</v>
      </c>
      <c r="AJ89">
        <v>2</v>
      </c>
      <c r="AK89">
        <v>38</v>
      </c>
      <c r="AL89" t="s">
        <v>1521</v>
      </c>
      <c r="AM89" t="s">
        <v>1522</v>
      </c>
      <c r="AN89" t="s">
        <v>1523</v>
      </c>
      <c r="AO89" t="s">
        <v>1574</v>
      </c>
      <c r="AP89" t="s">
        <v>1575</v>
      </c>
      <c r="AQ89" t="s">
        <v>74</v>
      </c>
      <c r="AR89" t="s">
        <v>1576</v>
      </c>
      <c r="AS89" t="s">
        <v>1577</v>
      </c>
      <c r="AT89" t="s">
        <v>1803</v>
      </c>
      <c r="AU89">
        <v>2010</v>
      </c>
      <c r="AV89">
        <v>115</v>
      </c>
      <c r="AW89" t="s">
        <v>74</v>
      </c>
      <c r="AX89" t="s">
        <v>74</v>
      </c>
      <c r="AY89" t="s">
        <v>74</v>
      </c>
      <c r="AZ89" t="s">
        <v>74</v>
      </c>
      <c r="BA89" t="s">
        <v>74</v>
      </c>
      <c r="BB89" t="s">
        <v>74</v>
      </c>
      <c r="BC89" t="s">
        <v>74</v>
      </c>
      <c r="BD89" t="s">
        <v>1861</v>
      </c>
      <c r="BE89" t="s">
        <v>1862</v>
      </c>
      <c r="BF89" t="str">
        <f>HYPERLINK("http://dx.doi.org/10.1029/2009JF001525","http://dx.doi.org/10.1029/2009JF001525")</f>
        <v>http://dx.doi.org/10.1029/2009JF001525</v>
      </c>
      <c r="BG89" t="s">
        <v>74</v>
      </c>
      <c r="BH89" t="s">
        <v>74</v>
      </c>
      <c r="BI89">
        <v>9</v>
      </c>
      <c r="BJ89" t="s">
        <v>1194</v>
      </c>
      <c r="BK89" t="s">
        <v>100</v>
      </c>
      <c r="BL89" t="s">
        <v>807</v>
      </c>
      <c r="BM89" t="s">
        <v>1863</v>
      </c>
      <c r="BN89" t="s">
        <v>74</v>
      </c>
      <c r="BO89" t="s">
        <v>631</v>
      </c>
      <c r="BP89" t="s">
        <v>74</v>
      </c>
      <c r="BQ89" t="s">
        <v>74</v>
      </c>
      <c r="BR89" t="s">
        <v>104</v>
      </c>
      <c r="BS89" t="s">
        <v>1864</v>
      </c>
      <c r="BT89" t="str">
        <f>HYPERLINK("https%3A%2F%2Fwww.webofscience.com%2Fwos%2Fwoscc%2Ffull-record%2FWOS:000283547000003","View Full Record in Web of Science")</f>
        <v>View Full Record in Web of Science</v>
      </c>
    </row>
    <row r="90" spans="1:72" x14ac:dyDescent="0.15">
      <c r="A90" t="s">
        <v>72</v>
      </c>
      <c r="B90" t="s">
        <v>1865</v>
      </c>
      <c r="C90" t="s">
        <v>74</v>
      </c>
      <c r="D90" t="s">
        <v>74</v>
      </c>
      <c r="E90" t="s">
        <v>74</v>
      </c>
      <c r="F90" t="s">
        <v>1866</v>
      </c>
      <c r="G90" t="s">
        <v>74</v>
      </c>
      <c r="H90" t="s">
        <v>74</v>
      </c>
      <c r="I90" t="s">
        <v>1867</v>
      </c>
      <c r="J90" t="s">
        <v>1868</v>
      </c>
      <c r="K90" t="s">
        <v>74</v>
      </c>
      <c r="L90" t="s">
        <v>74</v>
      </c>
      <c r="M90" t="s">
        <v>78</v>
      </c>
      <c r="N90" t="s">
        <v>79</v>
      </c>
      <c r="O90" t="s">
        <v>74</v>
      </c>
      <c r="P90" t="s">
        <v>74</v>
      </c>
      <c r="Q90" t="s">
        <v>74</v>
      </c>
      <c r="R90" t="s">
        <v>74</v>
      </c>
      <c r="S90" t="s">
        <v>74</v>
      </c>
      <c r="T90" t="s">
        <v>74</v>
      </c>
      <c r="U90" t="s">
        <v>1869</v>
      </c>
      <c r="V90" t="s">
        <v>1870</v>
      </c>
      <c r="W90" t="s">
        <v>1871</v>
      </c>
      <c r="X90" t="s">
        <v>1872</v>
      </c>
      <c r="Y90" t="s">
        <v>1873</v>
      </c>
      <c r="Z90" t="s">
        <v>1874</v>
      </c>
      <c r="AA90" t="s">
        <v>1875</v>
      </c>
      <c r="AB90" t="s">
        <v>1876</v>
      </c>
      <c r="AC90" t="s">
        <v>1877</v>
      </c>
      <c r="AD90" t="s">
        <v>1878</v>
      </c>
      <c r="AE90" t="s">
        <v>1879</v>
      </c>
      <c r="AF90" t="s">
        <v>74</v>
      </c>
      <c r="AG90">
        <v>58</v>
      </c>
      <c r="AH90">
        <v>37</v>
      </c>
      <c r="AI90">
        <v>41</v>
      </c>
      <c r="AJ90">
        <v>2</v>
      </c>
      <c r="AK90">
        <v>40</v>
      </c>
      <c r="AL90" t="s">
        <v>1597</v>
      </c>
      <c r="AM90" t="s">
        <v>1598</v>
      </c>
      <c r="AN90" t="s">
        <v>1599</v>
      </c>
      <c r="AO90" t="s">
        <v>1880</v>
      </c>
      <c r="AP90" t="s">
        <v>74</v>
      </c>
      <c r="AQ90" t="s">
        <v>74</v>
      </c>
      <c r="AR90" t="s">
        <v>1868</v>
      </c>
      <c r="AS90" t="s">
        <v>1881</v>
      </c>
      <c r="AT90" t="s">
        <v>1882</v>
      </c>
      <c r="AU90">
        <v>2010</v>
      </c>
      <c r="AV90">
        <v>11</v>
      </c>
      <c r="AW90" t="s">
        <v>74</v>
      </c>
      <c r="AX90" t="s">
        <v>74</v>
      </c>
      <c r="AY90" t="s">
        <v>74</v>
      </c>
      <c r="AZ90" t="s">
        <v>74</v>
      </c>
      <c r="BA90" t="s">
        <v>74</v>
      </c>
      <c r="BB90" t="s">
        <v>74</v>
      </c>
      <c r="BC90" t="s">
        <v>74</v>
      </c>
      <c r="BD90">
        <v>582</v>
      </c>
      <c r="BE90" t="s">
        <v>1883</v>
      </c>
      <c r="BF90" t="str">
        <f>HYPERLINK("http://dx.doi.org/10.1186/1471-2164-11-582","http://dx.doi.org/10.1186/1471-2164-11-582")</f>
        <v>http://dx.doi.org/10.1186/1471-2164-11-582</v>
      </c>
      <c r="BG90" t="s">
        <v>74</v>
      </c>
      <c r="BH90" t="s">
        <v>74</v>
      </c>
      <c r="BI90">
        <v>13</v>
      </c>
      <c r="BJ90" t="s">
        <v>1884</v>
      </c>
      <c r="BK90" t="s">
        <v>100</v>
      </c>
      <c r="BL90" t="s">
        <v>1884</v>
      </c>
      <c r="BM90" t="s">
        <v>1885</v>
      </c>
      <c r="BN90">
        <v>20958982</v>
      </c>
      <c r="BO90" t="s">
        <v>1886</v>
      </c>
      <c r="BP90" t="s">
        <v>74</v>
      </c>
      <c r="BQ90" t="s">
        <v>74</v>
      </c>
      <c r="BR90" t="s">
        <v>104</v>
      </c>
      <c r="BS90" t="s">
        <v>1887</v>
      </c>
      <c r="BT90" t="str">
        <f>HYPERLINK("https%3A%2F%2Fwww.webofscience.com%2Fwos%2Fwoscc%2Ffull-record%2FWOS:000283854000001","View Full Record in Web of Science")</f>
        <v>View Full Record in Web of Science</v>
      </c>
    </row>
    <row r="91" spans="1:72" x14ac:dyDescent="0.15">
      <c r="A91" t="s">
        <v>72</v>
      </c>
      <c r="B91" t="s">
        <v>1888</v>
      </c>
      <c r="C91" t="s">
        <v>74</v>
      </c>
      <c r="D91" t="s">
        <v>74</v>
      </c>
      <c r="E91" t="s">
        <v>74</v>
      </c>
      <c r="F91" t="s">
        <v>1889</v>
      </c>
      <c r="G91" t="s">
        <v>74</v>
      </c>
      <c r="H91" t="s">
        <v>74</v>
      </c>
      <c r="I91" t="s">
        <v>1890</v>
      </c>
      <c r="J91" t="s">
        <v>1891</v>
      </c>
      <c r="K91" t="s">
        <v>74</v>
      </c>
      <c r="L91" t="s">
        <v>74</v>
      </c>
      <c r="M91" t="s">
        <v>78</v>
      </c>
      <c r="N91" t="s">
        <v>79</v>
      </c>
      <c r="O91" t="s">
        <v>74</v>
      </c>
      <c r="P91" t="s">
        <v>74</v>
      </c>
      <c r="Q91" t="s">
        <v>74</v>
      </c>
      <c r="R91" t="s">
        <v>74</v>
      </c>
      <c r="S91" t="s">
        <v>74</v>
      </c>
      <c r="T91" t="s">
        <v>1892</v>
      </c>
      <c r="U91" t="s">
        <v>1893</v>
      </c>
      <c r="V91" t="s">
        <v>1894</v>
      </c>
      <c r="W91" t="s">
        <v>1895</v>
      </c>
      <c r="X91" t="s">
        <v>1896</v>
      </c>
      <c r="Y91" t="s">
        <v>1897</v>
      </c>
      <c r="Z91" t="s">
        <v>74</v>
      </c>
      <c r="AA91" t="s">
        <v>74</v>
      </c>
      <c r="AB91" t="s">
        <v>1898</v>
      </c>
      <c r="AC91" t="s">
        <v>1899</v>
      </c>
      <c r="AD91" t="s">
        <v>1900</v>
      </c>
      <c r="AE91" t="s">
        <v>1901</v>
      </c>
      <c r="AF91" t="s">
        <v>74</v>
      </c>
      <c r="AG91">
        <v>26</v>
      </c>
      <c r="AH91">
        <v>3</v>
      </c>
      <c r="AI91">
        <v>3</v>
      </c>
      <c r="AJ91">
        <v>0</v>
      </c>
      <c r="AK91">
        <v>1</v>
      </c>
      <c r="AL91" t="s">
        <v>264</v>
      </c>
      <c r="AM91" t="s">
        <v>265</v>
      </c>
      <c r="AN91" t="s">
        <v>266</v>
      </c>
      <c r="AO91" t="s">
        <v>1902</v>
      </c>
      <c r="AP91" t="s">
        <v>1903</v>
      </c>
      <c r="AQ91" t="s">
        <v>74</v>
      </c>
      <c r="AR91" t="s">
        <v>1904</v>
      </c>
      <c r="AS91" t="s">
        <v>1905</v>
      </c>
      <c r="AT91" t="s">
        <v>1906</v>
      </c>
      <c r="AU91">
        <v>2010</v>
      </c>
      <c r="AV91">
        <v>30</v>
      </c>
      <c r="AW91">
        <v>17</v>
      </c>
      <c r="AX91" t="s">
        <v>74</v>
      </c>
      <c r="AY91" t="s">
        <v>74</v>
      </c>
      <c r="AZ91" t="s">
        <v>74</v>
      </c>
      <c r="BA91" t="s">
        <v>74</v>
      </c>
      <c r="BB91">
        <v>1830</v>
      </c>
      <c r="BC91">
        <v>1839</v>
      </c>
      <c r="BD91" t="s">
        <v>74</v>
      </c>
      <c r="BE91" t="s">
        <v>1907</v>
      </c>
      <c r="BF91" t="str">
        <f>HYPERLINK("http://dx.doi.org/10.1016/j.csr.2010.08.009","http://dx.doi.org/10.1016/j.csr.2010.08.009")</f>
        <v>http://dx.doi.org/10.1016/j.csr.2010.08.009</v>
      </c>
      <c r="BG91" t="s">
        <v>74</v>
      </c>
      <c r="BH91" t="s">
        <v>74</v>
      </c>
      <c r="BI91">
        <v>10</v>
      </c>
      <c r="BJ91" t="s">
        <v>1531</v>
      </c>
      <c r="BK91" t="s">
        <v>100</v>
      </c>
      <c r="BL91" t="s">
        <v>1531</v>
      </c>
      <c r="BM91" t="s">
        <v>1908</v>
      </c>
      <c r="BN91" t="s">
        <v>74</v>
      </c>
      <c r="BO91" t="s">
        <v>74</v>
      </c>
      <c r="BP91" t="s">
        <v>74</v>
      </c>
      <c r="BQ91" t="s">
        <v>74</v>
      </c>
      <c r="BR91" t="s">
        <v>104</v>
      </c>
      <c r="BS91" t="s">
        <v>1909</v>
      </c>
      <c r="BT91" t="str">
        <f>HYPERLINK("https%3A%2F%2Fwww.webofscience.com%2Fwos%2Fwoscc%2Ffull-record%2FWOS:000283643200004","View Full Record in Web of Science")</f>
        <v>View Full Record in Web of Science</v>
      </c>
    </row>
    <row r="92" spans="1:72" x14ac:dyDescent="0.15">
      <c r="A92" t="s">
        <v>72</v>
      </c>
      <c r="B92" t="s">
        <v>1910</v>
      </c>
      <c r="C92" t="s">
        <v>74</v>
      </c>
      <c r="D92" t="s">
        <v>74</v>
      </c>
      <c r="E92" t="s">
        <v>74</v>
      </c>
      <c r="F92" t="s">
        <v>1911</v>
      </c>
      <c r="G92" t="s">
        <v>74</v>
      </c>
      <c r="H92" t="s">
        <v>74</v>
      </c>
      <c r="I92" t="s">
        <v>1912</v>
      </c>
      <c r="J92" t="s">
        <v>1913</v>
      </c>
      <c r="K92" t="s">
        <v>74</v>
      </c>
      <c r="L92" t="s">
        <v>74</v>
      </c>
      <c r="M92" t="s">
        <v>78</v>
      </c>
      <c r="N92" t="s">
        <v>79</v>
      </c>
      <c r="O92" t="s">
        <v>74</v>
      </c>
      <c r="P92" t="s">
        <v>74</v>
      </c>
      <c r="Q92" t="s">
        <v>74</v>
      </c>
      <c r="R92" t="s">
        <v>74</v>
      </c>
      <c r="S92" t="s">
        <v>74</v>
      </c>
      <c r="T92" t="s">
        <v>74</v>
      </c>
      <c r="U92" t="s">
        <v>1914</v>
      </c>
      <c r="V92" t="s">
        <v>1915</v>
      </c>
      <c r="W92" t="s">
        <v>1916</v>
      </c>
      <c r="X92" t="s">
        <v>1917</v>
      </c>
      <c r="Y92" t="s">
        <v>1918</v>
      </c>
      <c r="Z92" t="s">
        <v>1919</v>
      </c>
      <c r="AA92" t="s">
        <v>1920</v>
      </c>
      <c r="AB92" t="s">
        <v>1921</v>
      </c>
      <c r="AC92" t="s">
        <v>1922</v>
      </c>
      <c r="AD92" t="s">
        <v>1923</v>
      </c>
      <c r="AE92" t="s">
        <v>1924</v>
      </c>
      <c r="AF92" t="s">
        <v>74</v>
      </c>
      <c r="AG92">
        <v>38</v>
      </c>
      <c r="AH92">
        <v>31</v>
      </c>
      <c r="AI92">
        <v>31</v>
      </c>
      <c r="AJ92">
        <v>0</v>
      </c>
      <c r="AK92">
        <v>3</v>
      </c>
      <c r="AL92" t="s">
        <v>1925</v>
      </c>
      <c r="AM92" t="s">
        <v>1926</v>
      </c>
      <c r="AN92" t="s">
        <v>1927</v>
      </c>
      <c r="AO92" t="s">
        <v>1928</v>
      </c>
      <c r="AP92" t="s">
        <v>1929</v>
      </c>
      <c r="AQ92" t="s">
        <v>74</v>
      </c>
      <c r="AR92" t="s">
        <v>1930</v>
      </c>
      <c r="AS92" t="s">
        <v>1931</v>
      </c>
      <c r="AT92" t="s">
        <v>1906</v>
      </c>
      <c r="AU92">
        <v>2010</v>
      </c>
      <c r="AV92">
        <v>285</v>
      </c>
      <c r="AW92">
        <v>42</v>
      </c>
      <c r="AX92" t="s">
        <v>74</v>
      </c>
      <c r="AY92" t="s">
        <v>74</v>
      </c>
      <c r="AZ92" t="s">
        <v>74</v>
      </c>
      <c r="BA92" t="s">
        <v>74</v>
      </c>
      <c r="BB92">
        <v>32568</v>
      </c>
      <c r="BC92">
        <v>32575</v>
      </c>
      <c r="BD92" t="s">
        <v>74</v>
      </c>
      <c r="BE92" t="s">
        <v>1932</v>
      </c>
      <c r="BF92" t="str">
        <f>HYPERLINK("http://dx.doi.org/10.1074/jbc.M110.143537","http://dx.doi.org/10.1074/jbc.M110.143537")</f>
        <v>http://dx.doi.org/10.1074/jbc.M110.143537</v>
      </c>
      <c r="BG92" t="s">
        <v>74</v>
      </c>
      <c r="BH92" t="s">
        <v>74</v>
      </c>
      <c r="BI92">
        <v>8</v>
      </c>
      <c r="BJ92" t="s">
        <v>1933</v>
      </c>
      <c r="BK92" t="s">
        <v>100</v>
      </c>
      <c r="BL92" t="s">
        <v>1933</v>
      </c>
      <c r="BM92" t="s">
        <v>1934</v>
      </c>
      <c r="BN92">
        <v>20610398</v>
      </c>
      <c r="BO92" t="s">
        <v>1935</v>
      </c>
      <c r="BP92" t="s">
        <v>74</v>
      </c>
      <c r="BQ92" t="s">
        <v>74</v>
      </c>
      <c r="BR92" t="s">
        <v>104</v>
      </c>
      <c r="BS92" t="s">
        <v>1936</v>
      </c>
      <c r="BT92" t="str">
        <f>HYPERLINK("https%3A%2F%2Fwww.webofscience.com%2Fwos%2Fwoscc%2Ffull-record%2FWOS:000282683000071","View Full Record in Web of Science")</f>
        <v>View Full Record in Web of Science</v>
      </c>
    </row>
    <row r="93" spans="1:72" x14ac:dyDescent="0.15">
      <c r="A93" t="s">
        <v>72</v>
      </c>
      <c r="B93" t="s">
        <v>1937</v>
      </c>
      <c r="C93" t="s">
        <v>74</v>
      </c>
      <c r="D93" t="s">
        <v>74</v>
      </c>
      <c r="E93" t="s">
        <v>74</v>
      </c>
      <c r="F93" t="s">
        <v>1938</v>
      </c>
      <c r="G93" t="s">
        <v>74</v>
      </c>
      <c r="H93" t="s">
        <v>74</v>
      </c>
      <c r="I93" t="s">
        <v>1939</v>
      </c>
      <c r="J93" t="s">
        <v>1702</v>
      </c>
      <c r="K93" t="s">
        <v>74</v>
      </c>
      <c r="L93" t="s">
        <v>74</v>
      </c>
      <c r="M93" t="s">
        <v>78</v>
      </c>
      <c r="N93" t="s">
        <v>79</v>
      </c>
      <c r="O93" t="s">
        <v>74</v>
      </c>
      <c r="P93" t="s">
        <v>74</v>
      </c>
      <c r="Q93" t="s">
        <v>74</v>
      </c>
      <c r="R93" t="s">
        <v>74</v>
      </c>
      <c r="S93" t="s">
        <v>74</v>
      </c>
      <c r="T93" t="s">
        <v>74</v>
      </c>
      <c r="U93" t="s">
        <v>1940</v>
      </c>
      <c r="V93" t="s">
        <v>1941</v>
      </c>
      <c r="W93" t="s">
        <v>1942</v>
      </c>
      <c r="X93" t="s">
        <v>1943</v>
      </c>
      <c r="Y93" t="s">
        <v>1944</v>
      </c>
      <c r="Z93" t="s">
        <v>1945</v>
      </c>
      <c r="AA93" t="s">
        <v>1946</v>
      </c>
      <c r="AB93" t="s">
        <v>1947</v>
      </c>
      <c r="AC93" t="s">
        <v>1948</v>
      </c>
      <c r="AD93" t="s">
        <v>1949</v>
      </c>
      <c r="AE93" t="s">
        <v>1950</v>
      </c>
      <c r="AF93" t="s">
        <v>74</v>
      </c>
      <c r="AG93">
        <v>49</v>
      </c>
      <c r="AH93">
        <v>19</v>
      </c>
      <c r="AI93">
        <v>20</v>
      </c>
      <c r="AJ93">
        <v>0</v>
      </c>
      <c r="AK93">
        <v>12</v>
      </c>
      <c r="AL93" t="s">
        <v>1521</v>
      </c>
      <c r="AM93" t="s">
        <v>1522</v>
      </c>
      <c r="AN93" t="s">
        <v>1523</v>
      </c>
      <c r="AO93" t="s">
        <v>1714</v>
      </c>
      <c r="AP93" t="s">
        <v>74</v>
      </c>
      <c r="AQ93" t="s">
        <v>74</v>
      </c>
      <c r="AR93" t="s">
        <v>1716</v>
      </c>
      <c r="AS93" t="s">
        <v>1717</v>
      </c>
      <c r="AT93" t="s">
        <v>1906</v>
      </c>
      <c r="AU93">
        <v>2010</v>
      </c>
      <c r="AV93">
        <v>115</v>
      </c>
      <c r="AW93" t="s">
        <v>74</v>
      </c>
      <c r="AX93" t="s">
        <v>74</v>
      </c>
      <c r="AY93" t="s">
        <v>74</v>
      </c>
      <c r="AZ93" t="s">
        <v>74</v>
      </c>
      <c r="BA93" t="s">
        <v>74</v>
      </c>
      <c r="BB93" t="s">
        <v>74</v>
      </c>
      <c r="BC93" t="s">
        <v>74</v>
      </c>
      <c r="BD93" t="s">
        <v>1951</v>
      </c>
      <c r="BE93" t="s">
        <v>1952</v>
      </c>
      <c r="BF93" t="str">
        <f>HYPERLINK("http://dx.doi.org/10.1029/2009JD013658","http://dx.doi.org/10.1029/2009JD013658")</f>
        <v>http://dx.doi.org/10.1029/2009JD013658</v>
      </c>
      <c r="BG93" t="s">
        <v>74</v>
      </c>
      <c r="BH93" t="s">
        <v>74</v>
      </c>
      <c r="BI93">
        <v>15</v>
      </c>
      <c r="BJ93" t="s">
        <v>319</v>
      </c>
      <c r="BK93" t="s">
        <v>100</v>
      </c>
      <c r="BL93" t="s">
        <v>319</v>
      </c>
      <c r="BM93" t="s">
        <v>1953</v>
      </c>
      <c r="BN93" t="s">
        <v>74</v>
      </c>
      <c r="BO93" t="s">
        <v>394</v>
      </c>
      <c r="BP93" t="s">
        <v>74</v>
      </c>
      <c r="BQ93" t="s">
        <v>74</v>
      </c>
      <c r="BR93" t="s">
        <v>104</v>
      </c>
      <c r="BS93" t="s">
        <v>1954</v>
      </c>
      <c r="BT93" t="str">
        <f>HYPERLINK("https%3A%2F%2Fwww.webofscience.com%2Fwos%2Fwoscc%2Ffull-record%2FWOS:000283084800003","View Full Record in Web of Science")</f>
        <v>View Full Record in Web of Science</v>
      </c>
    </row>
    <row r="94" spans="1:72" x14ac:dyDescent="0.15">
      <c r="A94" t="s">
        <v>72</v>
      </c>
      <c r="B94" t="s">
        <v>1955</v>
      </c>
      <c r="C94" t="s">
        <v>74</v>
      </c>
      <c r="D94" t="s">
        <v>74</v>
      </c>
      <c r="E94" t="s">
        <v>74</v>
      </c>
      <c r="F94" t="s">
        <v>1956</v>
      </c>
      <c r="G94" t="s">
        <v>74</v>
      </c>
      <c r="H94" t="s">
        <v>74</v>
      </c>
      <c r="I94" t="s">
        <v>1957</v>
      </c>
      <c r="J94" t="s">
        <v>1958</v>
      </c>
      <c r="K94" t="s">
        <v>74</v>
      </c>
      <c r="L94" t="s">
        <v>74</v>
      </c>
      <c r="M94" t="s">
        <v>78</v>
      </c>
      <c r="N94" t="s">
        <v>1959</v>
      </c>
      <c r="O94" t="s">
        <v>74</v>
      </c>
      <c r="P94" t="s">
        <v>74</v>
      </c>
      <c r="Q94" t="s">
        <v>74</v>
      </c>
      <c r="R94" t="s">
        <v>74</v>
      </c>
      <c r="S94" t="s">
        <v>74</v>
      </c>
      <c r="T94" t="s">
        <v>74</v>
      </c>
      <c r="U94" t="s">
        <v>74</v>
      </c>
      <c r="V94" t="s">
        <v>74</v>
      </c>
      <c r="W94" t="s">
        <v>74</v>
      </c>
      <c r="X94" t="s">
        <v>74</v>
      </c>
      <c r="Y94" t="s">
        <v>74</v>
      </c>
      <c r="Z94" t="s">
        <v>74</v>
      </c>
      <c r="AA94" t="s">
        <v>74</v>
      </c>
      <c r="AB94" t="s">
        <v>74</v>
      </c>
      <c r="AC94" t="s">
        <v>74</v>
      </c>
      <c r="AD94" t="s">
        <v>74</v>
      </c>
      <c r="AE94" t="s">
        <v>74</v>
      </c>
      <c r="AF94" t="s">
        <v>74</v>
      </c>
      <c r="AG94">
        <v>1</v>
      </c>
      <c r="AH94">
        <v>0</v>
      </c>
      <c r="AI94">
        <v>0</v>
      </c>
      <c r="AJ94">
        <v>0</v>
      </c>
      <c r="AK94">
        <v>0</v>
      </c>
      <c r="AL94" t="s">
        <v>1960</v>
      </c>
      <c r="AM94" t="s">
        <v>310</v>
      </c>
      <c r="AN94" t="s">
        <v>1961</v>
      </c>
      <c r="AO94" t="s">
        <v>1962</v>
      </c>
      <c r="AP94" t="s">
        <v>74</v>
      </c>
      <c r="AQ94" t="s">
        <v>74</v>
      </c>
      <c r="AR94" t="s">
        <v>1963</v>
      </c>
      <c r="AS94" t="s">
        <v>1964</v>
      </c>
      <c r="AT94" t="s">
        <v>1906</v>
      </c>
      <c r="AU94">
        <v>2010</v>
      </c>
      <c r="AV94">
        <v>135</v>
      </c>
      <c r="AW94">
        <v>17</v>
      </c>
      <c r="AX94" t="s">
        <v>74</v>
      </c>
      <c r="AY94" t="s">
        <v>74</v>
      </c>
      <c r="AZ94" t="s">
        <v>74</v>
      </c>
      <c r="BA94" t="s">
        <v>74</v>
      </c>
      <c r="BB94">
        <v>76</v>
      </c>
      <c r="BC94">
        <v>76</v>
      </c>
      <c r="BD94" t="s">
        <v>74</v>
      </c>
      <c r="BE94" t="s">
        <v>74</v>
      </c>
      <c r="BF94" t="s">
        <v>74</v>
      </c>
      <c r="BG94" t="s">
        <v>74</v>
      </c>
      <c r="BH94" t="s">
        <v>74</v>
      </c>
      <c r="BI94">
        <v>1</v>
      </c>
      <c r="BJ94" t="s">
        <v>1965</v>
      </c>
      <c r="BK94" t="s">
        <v>1966</v>
      </c>
      <c r="BL94" t="s">
        <v>1965</v>
      </c>
      <c r="BM94" t="s">
        <v>1967</v>
      </c>
      <c r="BN94" t="s">
        <v>74</v>
      </c>
      <c r="BO94" t="s">
        <v>74</v>
      </c>
      <c r="BP94" t="s">
        <v>74</v>
      </c>
      <c r="BQ94" t="s">
        <v>74</v>
      </c>
      <c r="BR94" t="s">
        <v>104</v>
      </c>
      <c r="BS94" t="s">
        <v>1968</v>
      </c>
      <c r="BT94" t="str">
        <f>HYPERLINK("https%3A%2F%2Fwww.webofscience.com%2Fwos%2Fwoscc%2Ffull-record%2FWOS:000283457000109","View Full Record in Web of Science")</f>
        <v>View Full Record in Web of Science</v>
      </c>
    </row>
    <row r="95" spans="1:72" x14ac:dyDescent="0.15">
      <c r="A95" t="s">
        <v>72</v>
      </c>
      <c r="B95" t="s">
        <v>1969</v>
      </c>
      <c r="C95" t="s">
        <v>74</v>
      </c>
      <c r="D95" t="s">
        <v>74</v>
      </c>
      <c r="E95" t="s">
        <v>74</v>
      </c>
      <c r="F95" t="s">
        <v>1970</v>
      </c>
      <c r="G95" t="s">
        <v>74</v>
      </c>
      <c r="H95" t="s">
        <v>74</v>
      </c>
      <c r="I95" t="s">
        <v>1971</v>
      </c>
      <c r="J95" t="s">
        <v>1538</v>
      </c>
      <c r="K95" t="s">
        <v>74</v>
      </c>
      <c r="L95" t="s">
        <v>74</v>
      </c>
      <c r="M95" t="s">
        <v>78</v>
      </c>
      <c r="N95" t="s">
        <v>79</v>
      </c>
      <c r="O95" t="s">
        <v>74</v>
      </c>
      <c r="P95" t="s">
        <v>74</v>
      </c>
      <c r="Q95" t="s">
        <v>74</v>
      </c>
      <c r="R95" t="s">
        <v>74</v>
      </c>
      <c r="S95" t="s">
        <v>74</v>
      </c>
      <c r="T95" t="s">
        <v>74</v>
      </c>
      <c r="U95" t="s">
        <v>1972</v>
      </c>
      <c r="V95" t="s">
        <v>1973</v>
      </c>
      <c r="W95" t="s">
        <v>1974</v>
      </c>
      <c r="X95" t="s">
        <v>1975</v>
      </c>
      <c r="Y95" t="s">
        <v>1976</v>
      </c>
      <c r="Z95" t="s">
        <v>1977</v>
      </c>
      <c r="AA95" t="s">
        <v>1978</v>
      </c>
      <c r="AB95" t="s">
        <v>1979</v>
      </c>
      <c r="AC95" t="s">
        <v>1980</v>
      </c>
      <c r="AD95" t="s">
        <v>1981</v>
      </c>
      <c r="AE95" t="s">
        <v>1982</v>
      </c>
      <c r="AF95" t="s">
        <v>74</v>
      </c>
      <c r="AG95">
        <v>18</v>
      </c>
      <c r="AH95">
        <v>45</v>
      </c>
      <c r="AI95">
        <v>55</v>
      </c>
      <c r="AJ95">
        <v>1</v>
      </c>
      <c r="AK95">
        <v>8</v>
      </c>
      <c r="AL95" t="s">
        <v>1521</v>
      </c>
      <c r="AM95" t="s">
        <v>1522</v>
      </c>
      <c r="AN95" t="s">
        <v>1523</v>
      </c>
      <c r="AO95" t="s">
        <v>1550</v>
      </c>
      <c r="AP95" t="s">
        <v>1551</v>
      </c>
      <c r="AQ95" t="s">
        <v>74</v>
      </c>
      <c r="AR95" t="s">
        <v>1552</v>
      </c>
      <c r="AS95" t="s">
        <v>1553</v>
      </c>
      <c r="AT95" t="s">
        <v>1983</v>
      </c>
      <c r="AU95">
        <v>2010</v>
      </c>
      <c r="AV95">
        <v>37</v>
      </c>
      <c r="AW95" t="s">
        <v>74</v>
      </c>
      <c r="AX95" t="s">
        <v>74</v>
      </c>
      <c r="AY95" t="s">
        <v>74</v>
      </c>
      <c r="AZ95" t="s">
        <v>74</v>
      </c>
      <c r="BA95" t="s">
        <v>74</v>
      </c>
      <c r="BB95" t="s">
        <v>74</v>
      </c>
      <c r="BC95" t="s">
        <v>74</v>
      </c>
      <c r="BD95" t="s">
        <v>1984</v>
      </c>
      <c r="BE95" t="s">
        <v>1985</v>
      </c>
      <c r="BF95" t="str">
        <f>HYPERLINK("http://dx.doi.org/10.1029/2010GL044597","http://dx.doi.org/10.1029/2010GL044597")</f>
        <v>http://dx.doi.org/10.1029/2010GL044597</v>
      </c>
      <c r="BG95" t="s">
        <v>74</v>
      </c>
      <c r="BH95" t="s">
        <v>74</v>
      </c>
      <c r="BI95">
        <v>5</v>
      </c>
      <c r="BJ95" t="s">
        <v>1194</v>
      </c>
      <c r="BK95" t="s">
        <v>100</v>
      </c>
      <c r="BL95" t="s">
        <v>807</v>
      </c>
      <c r="BM95" t="s">
        <v>1986</v>
      </c>
      <c r="BN95" t="s">
        <v>74</v>
      </c>
      <c r="BO95" t="s">
        <v>1987</v>
      </c>
      <c r="BP95" t="s">
        <v>74</v>
      </c>
      <c r="BQ95" t="s">
        <v>74</v>
      </c>
      <c r="BR95" t="s">
        <v>104</v>
      </c>
      <c r="BS95" t="s">
        <v>1988</v>
      </c>
      <c r="BT95" t="str">
        <f>HYPERLINK("https%3A%2F%2Fwww.webofscience.com%2Fwos%2Fwoscc%2Ffull-record%2FWOS:000283078600003","View Full Record in Web of Science")</f>
        <v>View Full Record in Web of Science</v>
      </c>
    </row>
    <row r="96" spans="1:72" x14ac:dyDescent="0.15">
      <c r="A96" t="s">
        <v>72</v>
      </c>
      <c r="B96" t="s">
        <v>1989</v>
      </c>
      <c r="C96" t="s">
        <v>74</v>
      </c>
      <c r="D96" t="s">
        <v>74</v>
      </c>
      <c r="E96" t="s">
        <v>74</v>
      </c>
      <c r="F96" t="s">
        <v>1990</v>
      </c>
      <c r="G96" t="s">
        <v>74</v>
      </c>
      <c r="H96" t="s">
        <v>74</v>
      </c>
      <c r="I96" t="s">
        <v>1991</v>
      </c>
      <c r="J96" t="s">
        <v>1509</v>
      </c>
      <c r="K96" t="s">
        <v>74</v>
      </c>
      <c r="L96" t="s">
        <v>74</v>
      </c>
      <c r="M96" t="s">
        <v>78</v>
      </c>
      <c r="N96" t="s">
        <v>79</v>
      </c>
      <c r="O96" t="s">
        <v>74</v>
      </c>
      <c r="P96" t="s">
        <v>74</v>
      </c>
      <c r="Q96" t="s">
        <v>74</v>
      </c>
      <c r="R96" t="s">
        <v>74</v>
      </c>
      <c r="S96" t="s">
        <v>74</v>
      </c>
      <c r="T96" t="s">
        <v>74</v>
      </c>
      <c r="U96" t="s">
        <v>1992</v>
      </c>
      <c r="V96" t="s">
        <v>1993</v>
      </c>
      <c r="W96" t="s">
        <v>1994</v>
      </c>
      <c r="X96" t="s">
        <v>1995</v>
      </c>
      <c r="Y96" t="s">
        <v>1996</v>
      </c>
      <c r="Z96" t="s">
        <v>1997</v>
      </c>
      <c r="AA96" t="s">
        <v>74</v>
      </c>
      <c r="AB96" t="s">
        <v>1998</v>
      </c>
      <c r="AC96" t="s">
        <v>1999</v>
      </c>
      <c r="AD96" t="s">
        <v>2000</v>
      </c>
      <c r="AE96" t="s">
        <v>2001</v>
      </c>
      <c r="AF96" t="s">
        <v>74</v>
      </c>
      <c r="AG96">
        <v>48</v>
      </c>
      <c r="AH96">
        <v>144</v>
      </c>
      <c r="AI96">
        <v>153</v>
      </c>
      <c r="AJ96">
        <v>1</v>
      </c>
      <c r="AK96">
        <v>21</v>
      </c>
      <c r="AL96" t="s">
        <v>1521</v>
      </c>
      <c r="AM96" t="s">
        <v>1522</v>
      </c>
      <c r="AN96" t="s">
        <v>1523</v>
      </c>
      <c r="AO96" t="s">
        <v>1524</v>
      </c>
      <c r="AP96" t="s">
        <v>1525</v>
      </c>
      <c r="AQ96" t="s">
        <v>74</v>
      </c>
      <c r="AR96" t="s">
        <v>1526</v>
      </c>
      <c r="AS96" t="s">
        <v>1527</v>
      </c>
      <c r="AT96" t="s">
        <v>1983</v>
      </c>
      <c r="AU96">
        <v>2010</v>
      </c>
      <c r="AV96">
        <v>115</v>
      </c>
      <c r="AW96" t="s">
        <v>74</v>
      </c>
      <c r="AX96" t="s">
        <v>74</v>
      </c>
      <c r="AY96" t="s">
        <v>74</v>
      </c>
      <c r="AZ96" t="s">
        <v>74</v>
      </c>
      <c r="BA96" t="s">
        <v>74</v>
      </c>
      <c r="BB96" t="s">
        <v>74</v>
      </c>
      <c r="BC96" t="s">
        <v>74</v>
      </c>
      <c r="BD96" t="s">
        <v>2002</v>
      </c>
      <c r="BE96" t="s">
        <v>2003</v>
      </c>
      <c r="BF96" t="str">
        <f>HYPERLINK("http://dx.doi.org/10.1029/2009JC005958","http://dx.doi.org/10.1029/2009JC005958")</f>
        <v>http://dx.doi.org/10.1029/2009JC005958</v>
      </c>
      <c r="BG96" t="s">
        <v>74</v>
      </c>
      <c r="BH96" t="s">
        <v>74</v>
      </c>
      <c r="BI96">
        <v>14</v>
      </c>
      <c r="BJ96" t="s">
        <v>1531</v>
      </c>
      <c r="BK96" t="s">
        <v>100</v>
      </c>
      <c r="BL96" t="s">
        <v>1531</v>
      </c>
      <c r="BM96" t="s">
        <v>2004</v>
      </c>
      <c r="BN96" t="s">
        <v>74</v>
      </c>
      <c r="BO96" t="s">
        <v>394</v>
      </c>
      <c r="BP96" t="s">
        <v>74</v>
      </c>
      <c r="BQ96" t="s">
        <v>74</v>
      </c>
      <c r="BR96" t="s">
        <v>104</v>
      </c>
      <c r="BS96" t="s">
        <v>2005</v>
      </c>
      <c r="BT96" t="str">
        <f>HYPERLINK("https%3A%2F%2Fwww.webofscience.com%2Fwos%2Fwoscc%2Ffull-record%2FWOS:000283091800004","View Full Record in Web of Science")</f>
        <v>View Full Record in Web of Science</v>
      </c>
    </row>
    <row r="97" spans="1:72" x14ac:dyDescent="0.15">
      <c r="A97" t="s">
        <v>72</v>
      </c>
      <c r="B97" t="s">
        <v>2006</v>
      </c>
      <c r="C97" t="s">
        <v>74</v>
      </c>
      <c r="D97" t="s">
        <v>74</v>
      </c>
      <c r="E97" t="s">
        <v>74</v>
      </c>
      <c r="F97" t="s">
        <v>2007</v>
      </c>
      <c r="G97" t="s">
        <v>74</v>
      </c>
      <c r="H97" t="s">
        <v>74</v>
      </c>
      <c r="I97" t="s">
        <v>2008</v>
      </c>
      <c r="J97" t="s">
        <v>2009</v>
      </c>
      <c r="K97" t="s">
        <v>74</v>
      </c>
      <c r="L97" t="s">
        <v>74</v>
      </c>
      <c r="M97" t="s">
        <v>78</v>
      </c>
      <c r="N97" t="s">
        <v>79</v>
      </c>
      <c r="O97" t="s">
        <v>74</v>
      </c>
      <c r="P97" t="s">
        <v>74</v>
      </c>
      <c r="Q97" t="s">
        <v>74</v>
      </c>
      <c r="R97" t="s">
        <v>74</v>
      </c>
      <c r="S97" t="s">
        <v>74</v>
      </c>
      <c r="T97" t="s">
        <v>74</v>
      </c>
      <c r="U97" t="s">
        <v>2010</v>
      </c>
      <c r="V97" t="s">
        <v>2011</v>
      </c>
      <c r="W97" t="s">
        <v>2012</v>
      </c>
      <c r="X97" t="s">
        <v>690</v>
      </c>
      <c r="Y97" t="s">
        <v>2013</v>
      </c>
      <c r="Z97" t="s">
        <v>2014</v>
      </c>
      <c r="AA97" t="s">
        <v>74</v>
      </c>
      <c r="AB97" t="s">
        <v>2015</v>
      </c>
      <c r="AC97" t="s">
        <v>2016</v>
      </c>
      <c r="AD97" t="s">
        <v>337</v>
      </c>
      <c r="AE97" t="s">
        <v>74</v>
      </c>
      <c r="AF97" t="s">
        <v>74</v>
      </c>
      <c r="AG97">
        <v>19</v>
      </c>
      <c r="AH97">
        <v>0</v>
      </c>
      <c r="AI97">
        <v>0</v>
      </c>
      <c r="AJ97">
        <v>0</v>
      </c>
      <c r="AK97">
        <v>1</v>
      </c>
      <c r="AL97" t="s">
        <v>1521</v>
      </c>
      <c r="AM97" t="s">
        <v>1522</v>
      </c>
      <c r="AN97" t="s">
        <v>1523</v>
      </c>
      <c r="AO97" t="s">
        <v>2017</v>
      </c>
      <c r="AP97" t="s">
        <v>74</v>
      </c>
      <c r="AQ97" t="s">
        <v>74</v>
      </c>
      <c r="AR97" t="s">
        <v>2018</v>
      </c>
      <c r="AS97" t="s">
        <v>2019</v>
      </c>
      <c r="AT97" t="s">
        <v>1983</v>
      </c>
      <c r="AU97">
        <v>2010</v>
      </c>
      <c r="AV97">
        <v>45</v>
      </c>
      <c r="AW97" t="s">
        <v>74</v>
      </c>
      <c r="AX97" t="s">
        <v>74</v>
      </c>
      <c r="AY97" t="s">
        <v>74</v>
      </c>
      <c r="AZ97" t="s">
        <v>74</v>
      </c>
      <c r="BA97" t="s">
        <v>74</v>
      </c>
      <c r="BB97" t="s">
        <v>74</v>
      </c>
      <c r="BC97" t="s">
        <v>74</v>
      </c>
      <c r="BD97" t="s">
        <v>2020</v>
      </c>
      <c r="BE97" t="s">
        <v>2021</v>
      </c>
      <c r="BF97" t="str">
        <f>HYPERLINK("http://dx.doi.org/10.1029/2009RS004340","http://dx.doi.org/10.1029/2009RS004340")</f>
        <v>http://dx.doi.org/10.1029/2009RS004340</v>
      </c>
      <c r="BG97" t="s">
        <v>74</v>
      </c>
      <c r="BH97" t="s">
        <v>74</v>
      </c>
      <c r="BI97">
        <v>10</v>
      </c>
      <c r="BJ97" t="s">
        <v>2022</v>
      </c>
      <c r="BK97" t="s">
        <v>100</v>
      </c>
      <c r="BL97" t="s">
        <v>2022</v>
      </c>
      <c r="BM97" t="s">
        <v>2023</v>
      </c>
      <c r="BN97" t="s">
        <v>74</v>
      </c>
      <c r="BO97" t="s">
        <v>394</v>
      </c>
      <c r="BP97" t="s">
        <v>74</v>
      </c>
      <c r="BQ97" t="s">
        <v>74</v>
      </c>
      <c r="BR97" t="s">
        <v>104</v>
      </c>
      <c r="BS97" t="s">
        <v>2024</v>
      </c>
      <c r="BT97" t="str">
        <f>HYPERLINK("https%3A%2F%2Fwww.webofscience.com%2Fwos%2Fwoscc%2Ffull-record%2FWOS:000283098400001","View Full Record in Web of Science")</f>
        <v>View Full Record in Web of Science</v>
      </c>
    </row>
    <row r="98" spans="1:72" x14ac:dyDescent="0.15">
      <c r="A98" t="s">
        <v>72</v>
      </c>
      <c r="B98" t="s">
        <v>2025</v>
      </c>
      <c r="C98" t="s">
        <v>74</v>
      </c>
      <c r="D98" t="s">
        <v>74</v>
      </c>
      <c r="E98" t="s">
        <v>74</v>
      </c>
      <c r="F98" t="s">
        <v>2026</v>
      </c>
      <c r="G98" t="s">
        <v>74</v>
      </c>
      <c r="H98" t="s">
        <v>74</v>
      </c>
      <c r="I98" t="s">
        <v>2027</v>
      </c>
      <c r="J98" t="s">
        <v>1509</v>
      </c>
      <c r="K98" t="s">
        <v>74</v>
      </c>
      <c r="L98" t="s">
        <v>74</v>
      </c>
      <c r="M98" t="s">
        <v>78</v>
      </c>
      <c r="N98" t="s">
        <v>79</v>
      </c>
      <c r="O98" t="s">
        <v>74</v>
      </c>
      <c r="P98" t="s">
        <v>74</v>
      </c>
      <c r="Q98" t="s">
        <v>74</v>
      </c>
      <c r="R98" t="s">
        <v>74</v>
      </c>
      <c r="S98" t="s">
        <v>74</v>
      </c>
      <c r="T98" t="s">
        <v>74</v>
      </c>
      <c r="U98" t="s">
        <v>2028</v>
      </c>
      <c r="V98" t="s">
        <v>2029</v>
      </c>
      <c r="W98" t="s">
        <v>2030</v>
      </c>
      <c r="X98" t="s">
        <v>2031</v>
      </c>
      <c r="Y98" t="s">
        <v>2032</v>
      </c>
      <c r="Z98" t="s">
        <v>2033</v>
      </c>
      <c r="AA98" t="s">
        <v>2034</v>
      </c>
      <c r="AB98" t="s">
        <v>74</v>
      </c>
      <c r="AC98" t="s">
        <v>2035</v>
      </c>
      <c r="AD98" t="s">
        <v>2036</v>
      </c>
      <c r="AE98" t="s">
        <v>2037</v>
      </c>
      <c r="AF98" t="s">
        <v>74</v>
      </c>
      <c r="AG98">
        <v>43</v>
      </c>
      <c r="AH98">
        <v>16</v>
      </c>
      <c r="AI98">
        <v>17</v>
      </c>
      <c r="AJ98">
        <v>0</v>
      </c>
      <c r="AK98">
        <v>10</v>
      </c>
      <c r="AL98" t="s">
        <v>1521</v>
      </c>
      <c r="AM98" t="s">
        <v>1522</v>
      </c>
      <c r="AN98" t="s">
        <v>1523</v>
      </c>
      <c r="AO98" t="s">
        <v>1524</v>
      </c>
      <c r="AP98" t="s">
        <v>1525</v>
      </c>
      <c r="AQ98" t="s">
        <v>74</v>
      </c>
      <c r="AR98" t="s">
        <v>1526</v>
      </c>
      <c r="AS98" t="s">
        <v>1527</v>
      </c>
      <c r="AT98" t="s">
        <v>2038</v>
      </c>
      <c r="AU98">
        <v>2010</v>
      </c>
      <c r="AV98">
        <v>115</v>
      </c>
      <c r="AW98" t="s">
        <v>74</v>
      </c>
      <c r="AX98" t="s">
        <v>74</v>
      </c>
      <c r="AY98" t="s">
        <v>74</v>
      </c>
      <c r="AZ98" t="s">
        <v>74</v>
      </c>
      <c r="BA98" t="s">
        <v>74</v>
      </c>
      <c r="BB98" t="s">
        <v>74</v>
      </c>
      <c r="BC98" t="s">
        <v>74</v>
      </c>
      <c r="BD98" t="s">
        <v>2039</v>
      </c>
      <c r="BE98" t="s">
        <v>2040</v>
      </c>
      <c r="BF98" t="str">
        <f>HYPERLINK("http://dx.doi.org/10.1029/2009JC006006","http://dx.doi.org/10.1029/2009JC006006")</f>
        <v>http://dx.doi.org/10.1029/2009JC006006</v>
      </c>
      <c r="BG98" t="s">
        <v>74</v>
      </c>
      <c r="BH98" t="s">
        <v>74</v>
      </c>
      <c r="BI98">
        <v>15</v>
      </c>
      <c r="BJ98" t="s">
        <v>1531</v>
      </c>
      <c r="BK98" t="s">
        <v>100</v>
      </c>
      <c r="BL98" t="s">
        <v>1531</v>
      </c>
      <c r="BM98" t="s">
        <v>2041</v>
      </c>
      <c r="BN98" t="s">
        <v>74</v>
      </c>
      <c r="BO98" t="s">
        <v>394</v>
      </c>
      <c r="BP98" t="s">
        <v>74</v>
      </c>
      <c r="BQ98" t="s">
        <v>74</v>
      </c>
      <c r="BR98" t="s">
        <v>104</v>
      </c>
      <c r="BS98" t="s">
        <v>2042</v>
      </c>
      <c r="BT98" t="str">
        <f>HYPERLINK("https%3A%2F%2Fwww.webofscience.com%2Fwos%2Fwoscc%2Ffull-record%2FWOS:000283091400002","View Full Record in Web of Science")</f>
        <v>View Full Record in Web of Science</v>
      </c>
    </row>
    <row r="99" spans="1:72" x14ac:dyDescent="0.15">
      <c r="A99" t="s">
        <v>72</v>
      </c>
      <c r="B99" t="s">
        <v>2043</v>
      </c>
      <c r="C99" t="s">
        <v>74</v>
      </c>
      <c r="D99" t="s">
        <v>74</v>
      </c>
      <c r="E99" t="s">
        <v>74</v>
      </c>
      <c r="F99" t="s">
        <v>2044</v>
      </c>
      <c r="G99" t="s">
        <v>74</v>
      </c>
      <c r="H99" t="s">
        <v>74</v>
      </c>
      <c r="I99" t="s">
        <v>2045</v>
      </c>
      <c r="J99" t="s">
        <v>1509</v>
      </c>
      <c r="K99" t="s">
        <v>74</v>
      </c>
      <c r="L99" t="s">
        <v>74</v>
      </c>
      <c r="M99" t="s">
        <v>78</v>
      </c>
      <c r="N99" t="s">
        <v>79</v>
      </c>
      <c r="O99" t="s">
        <v>74</v>
      </c>
      <c r="P99" t="s">
        <v>74</v>
      </c>
      <c r="Q99" t="s">
        <v>74</v>
      </c>
      <c r="R99" t="s">
        <v>74</v>
      </c>
      <c r="S99" t="s">
        <v>74</v>
      </c>
      <c r="T99" t="s">
        <v>74</v>
      </c>
      <c r="U99" t="s">
        <v>2046</v>
      </c>
      <c r="V99" t="s">
        <v>2047</v>
      </c>
      <c r="W99" t="s">
        <v>2048</v>
      </c>
      <c r="X99" t="s">
        <v>2049</v>
      </c>
      <c r="Y99" t="s">
        <v>2050</v>
      </c>
      <c r="Z99" t="s">
        <v>2051</v>
      </c>
      <c r="AA99" t="s">
        <v>2052</v>
      </c>
      <c r="AB99" t="s">
        <v>2053</v>
      </c>
      <c r="AC99" t="s">
        <v>2054</v>
      </c>
      <c r="AD99" t="s">
        <v>2055</v>
      </c>
      <c r="AE99" t="s">
        <v>2056</v>
      </c>
      <c r="AF99" t="s">
        <v>74</v>
      </c>
      <c r="AG99">
        <v>25</v>
      </c>
      <c r="AH99">
        <v>32</v>
      </c>
      <c r="AI99">
        <v>39</v>
      </c>
      <c r="AJ99">
        <v>2</v>
      </c>
      <c r="AK99">
        <v>17</v>
      </c>
      <c r="AL99" t="s">
        <v>1521</v>
      </c>
      <c r="AM99" t="s">
        <v>1522</v>
      </c>
      <c r="AN99" t="s">
        <v>1523</v>
      </c>
      <c r="AO99" t="s">
        <v>1524</v>
      </c>
      <c r="AP99" t="s">
        <v>1525</v>
      </c>
      <c r="AQ99" t="s">
        <v>74</v>
      </c>
      <c r="AR99" t="s">
        <v>1526</v>
      </c>
      <c r="AS99" t="s">
        <v>1527</v>
      </c>
      <c r="AT99" t="s">
        <v>2038</v>
      </c>
      <c r="AU99">
        <v>2010</v>
      </c>
      <c r="AV99">
        <v>115</v>
      </c>
      <c r="AW99" t="s">
        <v>74</v>
      </c>
      <c r="AX99" t="s">
        <v>74</v>
      </c>
      <c r="AY99" t="s">
        <v>74</v>
      </c>
      <c r="AZ99" t="s">
        <v>74</v>
      </c>
      <c r="BA99" t="s">
        <v>74</v>
      </c>
      <c r="BB99" t="s">
        <v>74</v>
      </c>
      <c r="BC99" t="s">
        <v>74</v>
      </c>
      <c r="BD99" t="s">
        <v>2057</v>
      </c>
      <c r="BE99" t="s">
        <v>2058</v>
      </c>
      <c r="BF99" t="str">
        <f>HYPERLINK("http://dx.doi.org/10.1029/2009JC005894","http://dx.doi.org/10.1029/2009JC005894")</f>
        <v>http://dx.doi.org/10.1029/2009JC005894</v>
      </c>
      <c r="BG99" t="s">
        <v>74</v>
      </c>
      <c r="BH99" t="s">
        <v>74</v>
      </c>
      <c r="BI99">
        <v>12</v>
      </c>
      <c r="BJ99" t="s">
        <v>1531</v>
      </c>
      <c r="BK99" t="s">
        <v>100</v>
      </c>
      <c r="BL99" t="s">
        <v>1531</v>
      </c>
      <c r="BM99" t="s">
        <v>2041</v>
      </c>
      <c r="BN99" t="s">
        <v>74</v>
      </c>
      <c r="BO99" t="s">
        <v>1533</v>
      </c>
      <c r="BP99" t="s">
        <v>74</v>
      </c>
      <c r="BQ99" t="s">
        <v>74</v>
      </c>
      <c r="BR99" t="s">
        <v>104</v>
      </c>
      <c r="BS99" t="s">
        <v>2059</v>
      </c>
      <c r="BT99" t="str">
        <f>HYPERLINK("https%3A%2F%2Fwww.webofscience.com%2Fwos%2Fwoscc%2Ffull-record%2FWOS:000283091400001","View Full Record in Web of Science")</f>
        <v>View Full Record in Web of Science</v>
      </c>
    </row>
    <row r="100" spans="1:72" x14ac:dyDescent="0.15">
      <c r="A100" t="s">
        <v>72</v>
      </c>
      <c r="B100" t="s">
        <v>2060</v>
      </c>
      <c r="C100" t="s">
        <v>74</v>
      </c>
      <c r="D100" t="s">
        <v>74</v>
      </c>
      <c r="E100" t="s">
        <v>74</v>
      </c>
      <c r="F100" t="s">
        <v>2061</v>
      </c>
      <c r="G100" t="s">
        <v>74</v>
      </c>
      <c r="H100" t="s">
        <v>74</v>
      </c>
      <c r="I100" t="s">
        <v>2062</v>
      </c>
      <c r="J100" t="s">
        <v>2063</v>
      </c>
      <c r="K100" t="s">
        <v>74</v>
      </c>
      <c r="L100" t="s">
        <v>74</v>
      </c>
      <c r="M100" t="s">
        <v>78</v>
      </c>
      <c r="N100" t="s">
        <v>79</v>
      </c>
      <c r="O100" t="s">
        <v>74</v>
      </c>
      <c r="P100" t="s">
        <v>74</v>
      </c>
      <c r="Q100" t="s">
        <v>74</v>
      </c>
      <c r="R100" t="s">
        <v>74</v>
      </c>
      <c r="S100" t="s">
        <v>74</v>
      </c>
      <c r="T100" t="s">
        <v>74</v>
      </c>
      <c r="U100" t="s">
        <v>2064</v>
      </c>
      <c r="V100" t="s">
        <v>2065</v>
      </c>
      <c r="W100" t="s">
        <v>2066</v>
      </c>
      <c r="X100" t="s">
        <v>2067</v>
      </c>
      <c r="Y100" t="s">
        <v>2068</v>
      </c>
      <c r="Z100" t="s">
        <v>2069</v>
      </c>
      <c r="AA100" t="s">
        <v>2070</v>
      </c>
      <c r="AB100" t="s">
        <v>2071</v>
      </c>
      <c r="AC100" t="s">
        <v>2072</v>
      </c>
      <c r="AD100" t="s">
        <v>2073</v>
      </c>
      <c r="AE100" t="s">
        <v>2074</v>
      </c>
      <c r="AF100" t="s">
        <v>74</v>
      </c>
      <c r="AG100">
        <v>39</v>
      </c>
      <c r="AH100">
        <v>57</v>
      </c>
      <c r="AI100">
        <v>66</v>
      </c>
      <c r="AJ100">
        <v>1</v>
      </c>
      <c r="AK100">
        <v>53</v>
      </c>
      <c r="AL100" t="s">
        <v>2075</v>
      </c>
      <c r="AM100" t="s">
        <v>412</v>
      </c>
      <c r="AN100" t="s">
        <v>2076</v>
      </c>
      <c r="AO100" t="s">
        <v>2077</v>
      </c>
      <c r="AP100" t="s">
        <v>2078</v>
      </c>
      <c r="AQ100" t="s">
        <v>74</v>
      </c>
      <c r="AR100" t="s">
        <v>2079</v>
      </c>
      <c r="AS100" t="s">
        <v>2080</v>
      </c>
      <c r="AT100" t="s">
        <v>2081</v>
      </c>
      <c r="AU100">
        <v>2010</v>
      </c>
      <c r="AV100">
        <v>20</v>
      </c>
      <c r="AW100">
        <v>19</v>
      </c>
      <c r="AX100" t="s">
        <v>74</v>
      </c>
      <c r="AY100" t="s">
        <v>74</v>
      </c>
      <c r="AZ100" t="s">
        <v>74</v>
      </c>
      <c r="BA100" t="s">
        <v>74</v>
      </c>
      <c r="BB100">
        <v>1758</v>
      </c>
      <c r="BC100">
        <v>1762</v>
      </c>
      <c r="BD100" t="s">
        <v>74</v>
      </c>
      <c r="BE100" t="s">
        <v>2082</v>
      </c>
      <c r="BF100" t="str">
        <f>HYPERLINK("http://dx.doi.org/10.1016/j.cub.2010.08.041","http://dx.doi.org/10.1016/j.cub.2010.08.041")</f>
        <v>http://dx.doi.org/10.1016/j.cub.2010.08.041</v>
      </c>
      <c r="BG100" t="s">
        <v>74</v>
      </c>
      <c r="BH100" t="s">
        <v>74</v>
      </c>
      <c r="BI100">
        <v>5</v>
      </c>
      <c r="BJ100" t="s">
        <v>2083</v>
      </c>
      <c r="BK100" t="s">
        <v>100</v>
      </c>
      <c r="BL100" t="s">
        <v>2084</v>
      </c>
      <c r="BM100" t="s">
        <v>2085</v>
      </c>
      <c r="BN100">
        <v>20850320</v>
      </c>
      <c r="BO100" t="s">
        <v>1000</v>
      </c>
      <c r="BP100" t="s">
        <v>74</v>
      </c>
      <c r="BQ100" t="s">
        <v>74</v>
      </c>
      <c r="BR100" t="s">
        <v>104</v>
      </c>
      <c r="BS100" t="s">
        <v>2086</v>
      </c>
      <c r="BT100" t="str">
        <f>HYPERLINK("https%3A%2F%2Fwww.webofscience.com%2Fwos%2Fwoscc%2Ffull-record%2FWOS:000283041300030","View Full Record in Web of Science")</f>
        <v>View Full Record in Web of Science</v>
      </c>
    </row>
    <row r="101" spans="1:72" x14ac:dyDescent="0.15">
      <c r="A101" t="s">
        <v>72</v>
      </c>
      <c r="B101" t="s">
        <v>2087</v>
      </c>
      <c r="C101" t="s">
        <v>74</v>
      </c>
      <c r="D101" t="s">
        <v>74</v>
      </c>
      <c r="E101" t="s">
        <v>74</v>
      </c>
      <c r="F101" t="s">
        <v>2088</v>
      </c>
      <c r="G101" t="s">
        <v>74</v>
      </c>
      <c r="H101" t="s">
        <v>74</v>
      </c>
      <c r="I101" t="s">
        <v>2089</v>
      </c>
      <c r="J101" t="s">
        <v>1702</v>
      </c>
      <c r="K101" t="s">
        <v>74</v>
      </c>
      <c r="L101" t="s">
        <v>74</v>
      </c>
      <c r="M101" t="s">
        <v>78</v>
      </c>
      <c r="N101" t="s">
        <v>79</v>
      </c>
      <c r="O101" t="s">
        <v>74</v>
      </c>
      <c r="P101" t="s">
        <v>74</v>
      </c>
      <c r="Q101" t="s">
        <v>74</v>
      </c>
      <c r="R101" t="s">
        <v>74</v>
      </c>
      <c r="S101" t="s">
        <v>74</v>
      </c>
      <c r="T101" t="s">
        <v>74</v>
      </c>
      <c r="U101" t="s">
        <v>2090</v>
      </c>
      <c r="V101" t="s">
        <v>2091</v>
      </c>
      <c r="W101" t="s">
        <v>2092</v>
      </c>
      <c r="X101" t="s">
        <v>2093</v>
      </c>
      <c r="Y101" t="s">
        <v>2094</v>
      </c>
      <c r="Z101" t="s">
        <v>2095</v>
      </c>
      <c r="AA101" t="s">
        <v>2096</v>
      </c>
      <c r="AB101" t="s">
        <v>2097</v>
      </c>
      <c r="AC101" t="s">
        <v>306</v>
      </c>
      <c r="AD101" t="s">
        <v>307</v>
      </c>
      <c r="AE101" t="s">
        <v>2098</v>
      </c>
      <c r="AF101" t="s">
        <v>74</v>
      </c>
      <c r="AG101">
        <v>32</v>
      </c>
      <c r="AH101">
        <v>3</v>
      </c>
      <c r="AI101">
        <v>3</v>
      </c>
      <c r="AJ101">
        <v>0</v>
      </c>
      <c r="AK101">
        <v>5</v>
      </c>
      <c r="AL101" t="s">
        <v>1521</v>
      </c>
      <c r="AM101" t="s">
        <v>1522</v>
      </c>
      <c r="AN101" t="s">
        <v>1523</v>
      </c>
      <c r="AO101" t="s">
        <v>1714</v>
      </c>
      <c r="AP101" t="s">
        <v>1715</v>
      </c>
      <c r="AQ101" t="s">
        <v>74</v>
      </c>
      <c r="AR101" t="s">
        <v>1716</v>
      </c>
      <c r="AS101" t="s">
        <v>1717</v>
      </c>
      <c r="AT101" t="s">
        <v>2099</v>
      </c>
      <c r="AU101">
        <v>2010</v>
      </c>
      <c r="AV101">
        <v>115</v>
      </c>
      <c r="AW101" t="s">
        <v>74</v>
      </c>
      <c r="AX101" t="s">
        <v>74</v>
      </c>
      <c r="AY101" t="s">
        <v>74</v>
      </c>
      <c r="AZ101" t="s">
        <v>74</v>
      </c>
      <c r="BA101" t="s">
        <v>74</v>
      </c>
      <c r="BB101" t="s">
        <v>74</v>
      </c>
      <c r="BC101" t="s">
        <v>74</v>
      </c>
      <c r="BD101" t="s">
        <v>2100</v>
      </c>
      <c r="BE101" t="s">
        <v>2101</v>
      </c>
      <c r="BF101" t="str">
        <f>HYPERLINK("http://dx.doi.org/10.1029/2009JD013397","http://dx.doi.org/10.1029/2009JD013397")</f>
        <v>http://dx.doi.org/10.1029/2009JD013397</v>
      </c>
      <c r="BG101" t="s">
        <v>74</v>
      </c>
      <c r="BH101" t="s">
        <v>74</v>
      </c>
      <c r="BI101">
        <v>10</v>
      </c>
      <c r="BJ101" t="s">
        <v>319</v>
      </c>
      <c r="BK101" t="s">
        <v>100</v>
      </c>
      <c r="BL101" t="s">
        <v>319</v>
      </c>
      <c r="BM101" t="s">
        <v>2102</v>
      </c>
      <c r="BN101" t="s">
        <v>74</v>
      </c>
      <c r="BO101" t="s">
        <v>74</v>
      </c>
      <c r="BP101" t="s">
        <v>74</v>
      </c>
      <c r="BQ101" t="s">
        <v>74</v>
      </c>
      <c r="BR101" t="s">
        <v>104</v>
      </c>
      <c r="BS101" t="s">
        <v>2103</v>
      </c>
      <c r="BT101" t="str">
        <f>HYPERLINK("https%3A%2F%2Fwww.webofscience.com%2Fwos%2Fwoscc%2Ffull-record%2FWOS:000286990600007","View Full Record in Web of Science")</f>
        <v>View Full Record in Web of Science</v>
      </c>
    </row>
    <row r="102" spans="1:72" x14ac:dyDescent="0.15">
      <c r="A102" t="s">
        <v>72</v>
      </c>
      <c r="B102" t="s">
        <v>2104</v>
      </c>
      <c r="C102" t="s">
        <v>74</v>
      </c>
      <c r="D102" t="s">
        <v>74</v>
      </c>
      <c r="E102" t="s">
        <v>74</v>
      </c>
      <c r="F102" t="s">
        <v>2105</v>
      </c>
      <c r="G102" t="s">
        <v>74</v>
      </c>
      <c r="H102" t="s">
        <v>74</v>
      </c>
      <c r="I102" t="s">
        <v>2106</v>
      </c>
      <c r="J102" t="s">
        <v>2107</v>
      </c>
      <c r="K102" t="s">
        <v>74</v>
      </c>
      <c r="L102" t="s">
        <v>74</v>
      </c>
      <c r="M102" t="s">
        <v>78</v>
      </c>
      <c r="N102" t="s">
        <v>79</v>
      </c>
      <c r="O102" t="s">
        <v>74</v>
      </c>
      <c r="P102" t="s">
        <v>74</v>
      </c>
      <c r="Q102" t="s">
        <v>74</v>
      </c>
      <c r="R102" t="s">
        <v>74</v>
      </c>
      <c r="S102" t="s">
        <v>74</v>
      </c>
      <c r="T102" t="s">
        <v>74</v>
      </c>
      <c r="U102" t="s">
        <v>2108</v>
      </c>
      <c r="V102" t="s">
        <v>2109</v>
      </c>
      <c r="W102" t="s">
        <v>2110</v>
      </c>
      <c r="X102" t="s">
        <v>2111</v>
      </c>
      <c r="Y102" t="s">
        <v>2112</v>
      </c>
      <c r="Z102" t="s">
        <v>74</v>
      </c>
      <c r="AA102" t="s">
        <v>2113</v>
      </c>
      <c r="AB102" t="s">
        <v>2114</v>
      </c>
      <c r="AC102" t="s">
        <v>2115</v>
      </c>
      <c r="AD102" t="s">
        <v>2116</v>
      </c>
      <c r="AE102" t="s">
        <v>74</v>
      </c>
      <c r="AF102" t="s">
        <v>74</v>
      </c>
      <c r="AG102">
        <v>29</v>
      </c>
      <c r="AH102">
        <v>107</v>
      </c>
      <c r="AI102">
        <v>118</v>
      </c>
      <c r="AJ102">
        <v>0</v>
      </c>
      <c r="AK102">
        <v>10</v>
      </c>
      <c r="AL102" t="s">
        <v>2117</v>
      </c>
      <c r="AM102" t="s">
        <v>2118</v>
      </c>
      <c r="AN102" t="s">
        <v>2119</v>
      </c>
      <c r="AO102" t="s">
        <v>2120</v>
      </c>
      <c r="AP102" t="s">
        <v>74</v>
      </c>
      <c r="AQ102" t="s">
        <v>74</v>
      </c>
      <c r="AR102" t="s">
        <v>2121</v>
      </c>
      <c r="AS102" t="s">
        <v>2122</v>
      </c>
      <c r="AT102" t="s">
        <v>2123</v>
      </c>
      <c r="AU102">
        <v>2010</v>
      </c>
      <c r="AV102">
        <v>105</v>
      </c>
      <c r="AW102">
        <v>15</v>
      </c>
      <c r="AX102" t="s">
        <v>74</v>
      </c>
      <c r="AY102" t="s">
        <v>74</v>
      </c>
      <c r="AZ102" t="s">
        <v>74</v>
      </c>
      <c r="BA102" t="s">
        <v>74</v>
      </c>
      <c r="BB102" t="s">
        <v>74</v>
      </c>
      <c r="BC102" t="s">
        <v>74</v>
      </c>
      <c r="BD102">
        <v>151101</v>
      </c>
      <c r="BE102" t="s">
        <v>2124</v>
      </c>
      <c r="BF102" t="str">
        <f>HYPERLINK("http://dx.doi.org/10.1103/PhysRevLett.105.151101","http://dx.doi.org/10.1103/PhysRevLett.105.151101")</f>
        <v>http://dx.doi.org/10.1103/PhysRevLett.105.151101</v>
      </c>
      <c r="BG102" t="s">
        <v>74</v>
      </c>
      <c r="BH102" t="s">
        <v>74</v>
      </c>
      <c r="BI102">
        <v>5</v>
      </c>
      <c r="BJ102" t="s">
        <v>2125</v>
      </c>
      <c r="BK102" t="s">
        <v>100</v>
      </c>
      <c r="BL102" t="s">
        <v>2126</v>
      </c>
      <c r="BM102" t="s">
        <v>2127</v>
      </c>
      <c r="BN102">
        <v>21230887</v>
      </c>
      <c r="BO102" t="s">
        <v>134</v>
      </c>
      <c r="BP102" t="s">
        <v>74</v>
      </c>
      <c r="BQ102" t="s">
        <v>74</v>
      </c>
      <c r="BR102" t="s">
        <v>104</v>
      </c>
      <c r="BS102" t="s">
        <v>2128</v>
      </c>
      <c r="BT102" t="str">
        <f>HYPERLINK("https%3A%2F%2Fwww.webofscience.com%2Fwos%2Fwoscc%2Ffull-record%2FWOS:000282511800001","View Full Record in Web of Science")</f>
        <v>View Full Record in Web of Science</v>
      </c>
    </row>
    <row r="103" spans="1:72" x14ac:dyDescent="0.15">
      <c r="A103" t="s">
        <v>72</v>
      </c>
      <c r="B103" t="s">
        <v>2129</v>
      </c>
      <c r="C103" t="s">
        <v>74</v>
      </c>
      <c r="D103" t="s">
        <v>74</v>
      </c>
      <c r="E103" t="s">
        <v>74</v>
      </c>
      <c r="F103" t="s">
        <v>2130</v>
      </c>
      <c r="G103" t="s">
        <v>74</v>
      </c>
      <c r="H103" t="s">
        <v>74</v>
      </c>
      <c r="I103" t="s">
        <v>2131</v>
      </c>
      <c r="J103" t="s">
        <v>2132</v>
      </c>
      <c r="K103" t="s">
        <v>74</v>
      </c>
      <c r="L103" t="s">
        <v>74</v>
      </c>
      <c r="M103" t="s">
        <v>78</v>
      </c>
      <c r="N103" t="s">
        <v>79</v>
      </c>
      <c r="O103" t="s">
        <v>74</v>
      </c>
      <c r="P103" t="s">
        <v>74</v>
      </c>
      <c r="Q103" t="s">
        <v>74</v>
      </c>
      <c r="R103" t="s">
        <v>74</v>
      </c>
      <c r="S103" t="s">
        <v>74</v>
      </c>
      <c r="T103" t="s">
        <v>2133</v>
      </c>
      <c r="U103" t="s">
        <v>2134</v>
      </c>
      <c r="V103" t="s">
        <v>2135</v>
      </c>
      <c r="W103" t="s">
        <v>2136</v>
      </c>
      <c r="X103" t="s">
        <v>2137</v>
      </c>
      <c r="Y103" t="s">
        <v>2138</v>
      </c>
      <c r="Z103" t="s">
        <v>2139</v>
      </c>
      <c r="AA103" t="s">
        <v>74</v>
      </c>
      <c r="AB103" t="s">
        <v>74</v>
      </c>
      <c r="AC103" t="s">
        <v>2140</v>
      </c>
      <c r="AD103" t="s">
        <v>2141</v>
      </c>
      <c r="AE103" t="s">
        <v>2142</v>
      </c>
      <c r="AF103" t="s">
        <v>74</v>
      </c>
      <c r="AG103">
        <v>62</v>
      </c>
      <c r="AH103">
        <v>135</v>
      </c>
      <c r="AI103">
        <v>153</v>
      </c>
      <c r="AJ103">
        <v>0</v>
      </c>
      <c r="AK103">
        <v>28</v>
      </c>
      <c r="AL103" t="s">
        <v>2143</v>
      </c>
      <c r="AM103" t="s">
        <v>1522</v>
      </c>
      <c r="AN103" t="s">
        <v>2144</v>
      </c>
      <c r="AO103" t="s">
        <v>2145</v>
      </c>
      <c r="AP103" t="s">
        <v>2146</v>
      </c>
      <c r="AQ103" t="s">
        <v>74</v>
      </c>
      <c r="AR103" t="s">
        <v>2147</v>
      </c>
      <c r="AS103" t="s">
        <v>2148</v>
      </c>
      <c r="AT103" t="s">
        <v>2123</v>
      </c>
      <c r="AU103">
        <v>2010</v>
      </c>
      <c r="AV103">
        <v>107</v>
      </c>
      <c r="AW103">
        <v>40</v>
      </c>
      <c r="AX103" t="s">
        <v>74</v>
      </c>
      <c r="AY103" t="s">
        <v>74</v>
      </c>
      <c r="AZ103" t="s">
        <v>74</v>
      </c>
      <c r="BA103" t="s">
        <v>74</v>
      </c>
      <c r="BB103">
        <v>17073</v>
      </c>
      <c r="BC103">
        <v>17078</v>
      </c>
      <c r="BD103" t="s">
        <v>74</v>
      </c>
      <c r="BE103" t="s">
        <v>2149</v>
      </c>
      <c r="BF103" t="str">
        <f>HYPERLINK("http://dx.doi.org/10.1073/pnas.0913800107","http://dx.doi.org/10.1073/pnas.0913800107")</f>
        <v>http://dx.doi.org/10.1073/pnas.0913800107</v>
      </c>
      <c r="BG103" t="s">
        <v>74</v>
      </c>
      <c r="BH103" t="s">
        <v>74</v>
      </c>
      <c r="BI103">
        <v>6</v>
      </c>
      <c r="BJ103" t="s">
        <v>444</v>
      </c>
      <c r="BK103" t="s">
        <v>100</v>
      </c>
      <c r="BL103" t="s">
        <v>445</v>
      </c>
      <c r="BM103" t="s">
        <v>2150</v>
      </c>
      <c r="BN103">
        <v>20861445</v>
      </c>
      <c r="BO103" t="s">
        <v>1533</v>
      </c>
      <c r="BP103" t="s">
        <v>74</v>
      </c>
      <c r="BQ103" t="s">
        <v>74</v>
      </c>
      <c r="BR103" t="s">
        <v>104</v>
      </c>
      <c r="BS103" t="s">
        <v>2151</v>
      </c>
      <c r="BT103" t="str">
        <f>HYPERLINK("https%3A%2F%2Fwww.webofscience.com%2Fwos%2Fwoscc%2Ffull-record%2FWOS:000282512000008","View Full Record in Web of Science")</f>
        <v>View Full Record in Web of Science</v>
      </c>
    </row>
    <row r="104" spans="1:72" x14ac:dyDescent="0.15">
      <c r="A104" t="s">
        <v>72</v>
      </c>
      <c r="B104" t="s">
        <v>2152</v>
      </c>
      <c r="C104" t="s">
        <v>74</v>
      </c>
      <c r="D104" t="s">
        <v>74</v>
      </c>
      <c r="E104" t="s">
        <v>74</v>
      </c>
      <c r="F104" t="s">
        <v>2153</v>
      </c>
      <c r="G104" t="s">
        <v>74</v>
      </c>
      <c r="H104" t="s">
        <v>74</v>
      </c>
      <c r="I104" t="s">
        <v>2154</v>
      </c>
      <c r="J104" t="s">
        <v>1509</v>
      </c>
      <c r="K104" t="s">
        <v>74</v>
      </c>
      <c r="L104" t="s">
        <v>74</v>
      </c>
      <c r="M104" t="s">
        <v>78</v>
      </c>
      <c r="N104" t="s">
        <v>220</v>
      </c>
      <c r="O104" t="s">
        <v>74</v>
      </c>
      <c r="P104" t="s">
        <v>74</v>
      </c>
      <c r="Q104" t="s">
        <v>74</v>
      </c>
      <c r="R104" t="s">
        <v>74</v>
      </c>
      <c r="S104" t="s">
        <v>74</v>
      </c>
      <c r="T104" t="s">
        <v>74</v>
      </c>
      <c r="U104" t="s">
        <v>2155</v>
      </c>
      <c r="V104" t="s">
        <v>74</v>
      </c>
      <c r="W104" t="s">
        <v>2156</v>
      </c>
      <c r="X104" t="s">
        <v>2157</v>
      </c>
      <c r="Y104" t="s">
        <v>2158</v>
      </c>
      <c r="Z104" t="s">
        <v>2159</v>
      </c>
      <c r="AA104" t="s">
        <v>74</v>
      </c>
      <c r="AB104" t="s">
        <v>74</v>
      </c>
      <c r="AC104" t="s">
        <v>74</v>
      </c>
      <c r="AD104" t="s">
        <v>74</v>
      </c>
      <c r="AE104" t="s">
        <v>74</v>
      </c>
      <c r="AF104" t="s">
        <v>74</v>
      </c>
      <c r="AG104">
        <v>5</v>
      </c>
      <c r="AH104">
        <v>8</v>
      </c>
      <c r="AI104">
        <v>8</v>
      </c>
      <c r="AJ104">
        <v>2</v>
      </c>
      <c r="AK104">
        <v>4</v>
      </c>
      <c r="AL104" t="s">
        <v>1521</v>
      </c>
      <c r="AM104" t="s">
        <v>1522</v>
      </c>
      <c r="AN104" t="s">
        <v>1523</v>
      </c>
      <c r="AO104" t="s">
        <v>1524</v>
      </c>
      <c r="AP104" t="s">
        <v>1525</v>
      </c>
      <c r="AQ104" t="s">
        <v>74</v>
      </c>
      <c r="AR104" t="s">
        <v>1526</v>
      </c>
      <c r="AS104" t="s">
        <v>1527</v>
      </c>
      <c r="AT104" t="s">
        <v>2160</v>
      </c>
      <c r="AU104">
        <v>2010</v>
      </c>
      <c r="AV104">
        <v>115</v>
      </c>
      <c r="AW104" t="s">
        <v>74</v>
      </c>
      <c r="AX104" t="s">
        <v>74</v>
      </c>
      <c r="AY104" t="s">
        <v>74</v>
      </c>
      <c r="AZ104" t="s">
        <v>74</v>
      </c>
      <c r="BA104" t="s">
        <v>74</v>
      </c>
      <c r="BB104" t="s">
        <v>74</v>
      </c>
      <c r="BC104" t="s">
        <v>74</v>
      </c>
      <c r="BD104" t="s">
        <v>2161</v>
      </c>
      <c r="BE104" t="s">
        <v>2162</v>
      </c>
      <c r="BF104" t="str">
        <f>HYPERLINK("http://dx.doi.org/10.1029/2010JC006097","http://dx.doi.org/10.1029/2010JC006097")</f>
        <v>http://dx.doi.org/10.1029/2010JC006097</v>
      </c>
      <c r="BG104" t="s">
        <v>74</v>
      </c>
      <c r="BH104" t="s">
        <v>74</v>
      </c>
      <c r="BI104">
        <v>2</v>
      </c>
      <c r="BJ104" t="s">
        <v>1531</v>
      </c>
      <c r="BK104" t="s">
        <v>100</v>
      </c>
      <c r="BL104" t="s">
        <v>1531</v>
      </c>
      <c r="BM104" t="s">
        <v>2163</v>
      </c>
      <c r="BN104" t="s">
        <v>74</v>
      </c>
      <c r="BO104" t="s">
        <v>394</v>
      </c>
      <c r="BP104" t="s">
        <v>74</v>
      </c>
      <c r="BQ104" t="s">
        <v>74</v>
      </c>
      <c r="BR104" t="s">
        <v>104</v>
      </c>
      <c r="BS104" t="s">
        <v>2164</v>
      </c>
      <c r="BT104" t="str">
        <f>HYPERLINK("https%3A%2F%2Fwww.webofscience.com%2Fwos%2Fwoscc%2Ffull-record%2FWOS:000282511200008","View Full Record in Web of Science")</f>
        <v>View Full Record in Web of Science</v>
      </c>
    </row>
    <row r="105" spans="1:72" x14ac:dyDescent="0.15">
      <c r="A105" t="s">
        <v>72</v>
      </c>
      <c r="B105" t="s">
        <v>2165</v>
      </c>
      <c r="C105" t="s">
        <v>74</v>
      </c>
      <c r="D105" t="s">
        <v>74</v>
      </c>
      <c r="E105" t="s">
        <v>74</v>
      </c>
      <c r="F105" t="s">
        <v>2166</v>
      </c>
      <c r="G105" t="s">
        <v>74</v>
      </c>
      <c r="H105" t="s">
        <v>74</v>
      </c>
      <c r="I105" t="s">
        <v>2167</v>
      </c>
      <c r="J105" t="s">
        <v>1509</v>
      </c>
      <c r="K105" t="s">
        <v>74</v>
      </c>
      <c r="L105" t="s">
        <v>74</v>
      </c>
      <c r="M105" t="s">
        <v>78</v>
      </c>
      <c r="N105" t="s">
        <v>79</v>
      </c>
      <c r="O105" t="s">
        <v>74</v>
      </c>
      <c r="P105" t="s">
        <v>74</v>
      </c>
      <c r="Q105" t="s">
        <v>74</v>
      </c>
      <c r="R105" t="s">
        <v>74</v>
      </c>
      <c r="S105" t="s">
        <v>74</v>
      </c>
      <c r="T105" t="s">
        <v>74</v>
      </c>
      <c r="U105" t="s">
        <v>2168</v>
      </c>
      <c r="V105" t="s">
        <v>2169</v>
      </c>
      <c r="W105" t="s">
        <v>2170</v>
      </c>
      <c r="X105" t="s">
        <v>2171</v>
      </c>
      <c r="Y105" t="s">
        <v>2172</v>
      </c>
      <c r="Z105" t="s">
        <v>2173</v>
      </c>
      <c r="AA105" t="s">
        <v>74</v>
      </c>
      <c r="AB105" t="s">
        <v>2174</v>
      </c>
      <c r="AC105" t="s">
        <v>2175</v>
      </c>
      <c r="AD105" t="s">
        <v>2176</v>
      </c>
      <c r="AE105" t="s">
        <v>2177</v>
      </c>
      <c r="AF105" t="s">
        <v>74</v>
      </c>
      <c r="AG105">
        <v>41</v>
      </c>
      <c r="AH105">
        <v>43</v>
      </c>
      <c r="AI105">
        <v>43</v>
      </c>
      <c r="AJ105">
        <v>2</v>
      </c>
      <c r="AK105">
        <v>25</v>
      </c>
      <c r="AL105" t="s">
        <v>1521</v>
      </c>
      <c r="AM105" t="s">
        <v>1522</v>
      </c>
      <c r="AN105" t="s">
        <v>1523</v>
      </c>
      <c r="AO105" t="s">
        <v>1524</v>
      </c>
      <c r="AP105" t="s">
        <v>1525</v>
      </c>
      <c r="AQ105" t="s">
        <v>74</v>
      </c>
      <c r="AR105" t="s">
        <v>1526</v>
      </c>
      <c r="AS105" t="s">
        <v>1527</v>
      </c>
      <c r="AT105" t="s">
        <v>2160</v>
      </c>
      <c r="AU105">
        <v>2010</v>
      </c>
      <c r="AV105">
        <v>115</v>
      </c>
      <c r="AW105" t="s">
        <v>74</v>
      </c>
      <c r="AX105" t="s">
        <v>74</v>
      </c>
      <c r="AY105" t="s">
        <v>74</v>
      </c>
      <c r="AZ105" t="s">
        <v>74</v>
      </c>
      <c r="BA105" t="s">
        <v>74</v>
      </c>
      <c r="BB105" t="s">
        <v>74</v>
      </c>
      <c r="BC105" t="s">
        <v>74</v>
      </c>
      <c r="BD105" t="s">
        <v>2178</v>
      </c>
      <c r="BE105" t="s">
        <v>2179</v>
      </c>
      <c r="BF105" t="str">
        <f>HYPERLINK("http://dx.doi.org/10.1029/2010JC006133","http://dx.doi.org/10.1029/2010JC006133")</f>
        <v>http://dx.doi.org/10.1029/2010JC006133</v>
      </c>
      <c r="BG105" t="s">
        <v>74</v>
      </c>
      <c r="BH105" t="s">
        <v>74</v>
      </c>
      <c r="BI105">
        <v>10</v>
      </c>
      <c r="BJ105" t="s">
        <v>1531</v>
      </c>
      <c r="BK105" t="s">
        <v>100</v>
      </c>
      <c r="BL105" t="s">
        <v>1531</v>
      </c>
      <c r="BM105" t="s">
        <v>2163</v>
      </c>
      <c r="BN105" t="s">
        <v>74</v>
      </c>
      <c r="BO105" t="s">
        <v>2180</v>
      </c>
      <c r="BP105" t="s">
        <v>74</v>
      </c>
      <c r="BQ105" t="s">
        <v>74</v>
      </c>
      <c r="BR105" t="s">
        <v>104</v>
      </c>
      <c r="BS105" t="s">
        <v>2181</v>
      </c>
      <c r="BT105" t="str">
        <f>HYPERLINK("https%3A%2F%2Fwww.webofscience.com%2Fwos%2Fwoscc%2Ffull-record%2FWOS:000282511200009","View Full Record in Web of Science")</f>
        <v>View Full Record in Web of Science</v>
      </c>
    </row>
    <row r="106" spans="1:72" x14ac:dyDescent="0.15">
      <c r="A106" t="s">
        <v>72</v>
      </c>
      <c r="B106" t="s">
        <v>2182</v>
      </c>
      <c r="C106" t="s">
        <v>74</v>
      </c>
      <c r="D106" t="s">
        <v>74</v>
      </c>
      <c r="E106" t="s">
        <v>74</v>
      </c>
      <c r="F106" t="s">
        <v>2183</v>
      </c>
      <c r="G106" t="s">
        <v>74</v>
      </c>
      <c r="H106" t="s">
        <v>74</v>
      </c>
      <c r="I106" t="s">
        <v>2184</v>
      </c>
      <c r="J106" t="s">
        <v>1509</v>
      </c>
      <c r="K106" t="s">
        <v>74</v>
      </c>
      <c r="L106" t="s">
        <v>74</v>
      </c>
      <c r="M106" t="s">
        <v>78</v>
      </c>
      <c r="N106" t="s">
        <v>220</v>
      </c>
      <c r="O106" t="s">
        <v>74</v>
      </c>
      <c r="P106" t="s">
        <v>74</v>
      </c>
      <c r="Q106" t="s">
        <v>74</v>
      </c>
      <c r="R106" t="s">
        <v>74</v>
      </c>
      <c r="S106" t="s">
        <v>74</v>
      </c>
      <c r="T106" t="s">
        <v>74</v>
      </c>
      <c r="U106" t="s">
        <v>74</v>
      </c>
      <c r="V106" t="s">
        <v>74</v>
      </c>
      <c r="W106" t="s">
        <v>2185</v>
      </c>
      <c r="X106" t="s">
        <v>2186</v>
      </c>
      <c r="Y106" t="s">
        <v>2187</v>
      </c>
      <c r="Z106" t="s">
        <v>2188</v>
      </c>
      <c r="AA106" t="s">
        <v>74</v>
      </c>
      <c r="AB106" t="s">
        <v>74</v>
      </c>
      <c r="AC106" t="s">
        <v>74</v>
      </c>
      <c r="AD106" t="s">
        <v>74</v>
      </c>
      <c r="AE106" t="s">
        <v>74</v>
      </c>
      <c r="AF106" t="s">
        <v>74</v>
      </c>
      <c r="AG106">
        <v>6</v>
      </c>
      <c r="AH106">
        <v>5</v>
      </c>
      <c r="AI106">
        <v>5</v>
      </c>
      <c r="AJ106">
        <v>0</v>
      </c>
      <c r="AK106">
        <v>6</v>
      </c>
      <c r="AL106" t="s">
        <v>1521</v>
      </c>
      <c r="AM106" t="s">
        <v>1522</v>
      </c>
      <c r="AN106" t="s">
        <v>1523</v>
      </c>
      <c r="AO106" t="s">
        <v>1524</v>
      </c>
      <c r="AP106" t="s">
        <v>1525</v>
      </c>
      <c r="AQ106" t="s">
        <v>74</v>
      </c>
      <c r="AR106" t="s">
        <v>1526</v>
      </c>
      <c r="AS106" t="s">
        <v>1527</v>
      </c>
      <c r="AT106" t="s">
        <v>2160</v>
      </c>
      <c r="AU106">
        <v>2010</v>
      </c>
      <c r="AV106">
        <v>115</v>
      </c>
      <c r="AW106" t="s">
        <v>74</v>
      </c>
      <c r="AX106" t="s">
        <v>74</v>
      </c>
      <c r="AY106" t="s">
        <v>74</v>
      </c>
      <c r="AZ106" t="s">
        <v>74</v>
      </c>
      <c r="BA106" t="s">
        <v>74</v>
      </c>
      <c r="BB106" t="s">
        <v>74</v>
      </c>
      <c r="BC106" t="s">
        <v>74</v>
      </c>
      <c r="BD106" t="s">
        <v>2189</v>
      </c>
      <c r="BE106" t="s">
        <v>2190</v>
      </c>
      <c r="BF106" t="str">
        <f>HYPERLINK("http://dx.doi.org/10.1029/2010JC006457","http://dx.doi.org/10.1029/2010JC006457")</f>
        <v>http://dx.doi.org/10.1029/2010JC006457</v>
      </c>
      <c r="BG106" t="s">
        <v>74</v>
      </c>
      <c r="BH106" t="s">
        <v>74</v>
      </c>
      <c r="BI106">
        <v>2</v>
      </c>
      <c r="BJ106" t="s">
        <v>1531</v>
      </c>
      <c r="BK106" t="s">
        <v>100</v>
      </c>
      <c r="BL106" t="s">
        <v>1531</v>
      </c>
      <c r="BM106" t="s">
        <v>2163</v>
      </c>
      <c r="BN106" t="s">
        <v>74</v>
      </c>
      <c r="BO106" t="s">
        <v>394</v>
      </c>
      <c r="BP106" t="s">
        <v>74</v>
      </c>
      <c r="BQ106" t="s">
        <v>74</v>
      </c>
      <c r="BR106" t="s">
        <v>104</v>
      </c>
      <c r="BS106" t="s">
        <v>2191</v>
      </c>
      <c r="BT106" t="str">
        <f>HYPERLINK("https%3A%2F%2Fwww.webofscience.com%2Fwos%2Fwoscc%2Ffull-record%2FWOS:000282511200010","View Full Record in Web of Science")</f>
        <v>View Full Record in Web of Science</v>
      </c>
    </row>
    <row r="107" spans="1:72" x14ac:dyDescent="0.15">
      <c r="A107" t="s">
        <v>72</v>
      </c>
      <c r="B107" t="s">
        <v>2192</v>
      </c>
      <c r="C107" t="s">
        <v>74</v>
      </c>
      <c r="D107" t="s">
        <v>74</v>
      </c>
      <c r="E107" t="s">
        <v>74</v>
      </c>
      <c r="F107" t="s">
        <v>2193</v>
      </c>
      <c r="G107" t="s">
        <v>74</v>
      </c>
      <c r="H107" t="s">
        <v>74</v>
      </c>
      <c r="I107" t="s">
        <v>2194</v>
      </c>
      <c r="J107" t="s">
        <v>1509</v>
      </c>
      <c r="K107" t="s">
        <v>74</v>
      </c>
      <c r="L107" t="s">
        <v>74</v>
      </c>
      <c r="M107" t="s">
        <v>78</v>
      </c>
      <c r="N107" t="s">
        <v>79</v>
      </c>
      <c r="O107" t="s">
        <v>74</v>
      </c>
      <c r="P107" t="s">
        <v>74</v>
      </c>
      <c r="Q107" t="s">
        <v>74</v>
      </c>
      <c r="R107" t="s">
        <v>74</v>
      </c>
      <c r="S107" t="s">
        <v>74</v>
      </c>
      <c r="T107" t="s">
        <v>74</v>
      </c>
      <c r="U107" t="s">
        <v>2195</v>
      </c>
      <c r="V107" t="s">
        <v>2196</v>
      </c>
      <c r="W107" t="s">
        <v>2197</v>
      </c>
      <c r="X107" t="s">
        <v>2198</v>
      </c>
      <c r="Y107" t="s">
        <v>2199</v>
      </c>
      <c r="Z107" t="s">
        <v>2200</v>
      </c>
      <c r="AA107" t="s">
        <v>74</v>
      </c>
      <c r="AB107" t="s">
        <v>2201</v>
      </c>
      <c r="AC107" t="s">
        <v>2202</v>
      </c>
      <c r="AD107" t="s">
        <v>2203</v>
      </c>
      <c r="AE107" t="s">
        <v>2204</v>
      </c>
      <c r="AF107" t="s">
        <v>74</v>
      </c>
      <c r="AG107">
        <v>27</v>
      </c>
      <c r="AH107">
        <v>24</v>
      </c>
      <c r="AI107">
        <v>25</v>
      </c>
      <c r="AJ107">
        <v>0</v>
      </c>
      <c r="AK107">
        <v>7</v>
      </c>
      <c r="AL107" t="s">
        <v>1521</v>
      </c>
      <c r="AM107" t="s">
        <v>1522</v>
      </c>
      <c r="AN107" t="s">
        <v>1523</v>
      </c>
      <c r="AO107" t="s">
        <v>1524</v>
      </c>
      <c r="AP107" t="s">
        <v>1525</v>
      </c>
      <c r="AQ107" t="s">
        <v>74</v>
      </c>
      <c r="AR107" t="s">
        <v>1526</v>
      </c>
      <c r="AS107" t="s">
        <v>1527</v>
      </c>
      <c r="AT107" t="s">
        <v>2160</v>
      </c>
      <c r="AU107">
        <v>2010</v>
      </c>
      <c r="AV107">
        <v>115</v>
      </c>
      <c r="AW107" t="s">
        <v>74</v>
      </c>
      <c r="AX107" t="s">
        <v>74</v>
      </c>
      <c r="AY107" t="s">
        <v>74</v>
      </c>
      <c r="AZ107" t="s">
        <v>74</v>
      </c>
      <c r="BA107" t="s">
        <v>74</v>
      </c>
      <c r="BB107" t="s">
        <v>74</v>
      </c>
      <c r="BC107" t="s">
        <v>74</v>
      </c>
      <c r="BD107" t="s">
        <v>2205</v>
      </c>
      <c r="BE107" t="s">
        <v>2206</v>
      </c>
      <c r="BF107" t="str">
        <f>HYPERLINK("http://dx.doi.org/10.1029/2009JC006043","http://dx.doi.org/10.1029/2009JC006043")</f>
        <v>http://dx.doi.org/10.1029/2009JC006043</v>
      </c>
      <c r="BG107" t="s">
        <v>74</v>
      </c>
      <c r="BH107" t="s">
        <v>74</v>
      </c>
      <c r="BI107">
        <v>13</v>
      </c>
      <c r="BJ107" t="s">
        <v>1531</v>
      </c>
      <c r="BK107" t="s">
        <v>100</v>
      </c>
      <c r="BL107" t="s">
        <v>1531</v>
      </c>
      <c r="BM107" t="s">
        <v>2163</v>
      </c>
      <c r="BN107" t="s">
        <v>74</v>
      </c>
      <c r="BO107" t="s">
        <v>1697</v>
      </c>
      <c r="BP107" t="s">
        <v>74</v>
      </c>
      <c r="BQ107" t="s">
        <v>74</v>
      </c>
      <c r="BR107" t="s">
        <v>104</v>
      </c>
      <c r="BS107" t="s">
        <v>2207</v>
      </c>
      <c r="BT107" t="str">
        <f>HYPERLINK("https%3A%2F%2Fwww.webofscience.com%2Fwos%2Fwoscc%2Ffull-record%2FWOS:000282511200005","View Full Record in Web of Science")</f>
        <v>View Full Record in Web of Science</v>
      </c>
    </row>
    <row r="108" spans="1:72" x14ac:dyDescent="0.15">
      <c r="A108" t="s">
        <v>72</v>
      </c>
      <c r="B108" t="s">
        <v>2208</v>
      </c>
      <c r="C108" t="s">
        <v>74</v>
      </c>
      <c r="D108" t="s">
        <v>74</v>
      </c>
      <c r="E108" t="s">
        <v>74</v>
      </c>
      <c r="F108" t="s">
        <v>2209</v>
      </c>
      <c r="G108" t="s">
        <v>74</v>
      </c>
      <c r="H108" t="s">
        <v>74</v>
      </c>
      <c r="I108" t="s">
        <v>2210</v>
      </c>
      <c r="J108" t="s">
        <v>2211</v>
      </c>
      <c r="K108" t="s">
        <v>74</v>
      </c>
      <c r="L108" t="s">
        <v>74</v>
      </c>
      <c r="M108" t="s">
        <v>78</v>
      </c>
      <c r="N108" t="s">
        <v>79</v>
      </c>
      <c r="O108" t="s">
        <v>74</v>
      </c>
      <c r="P108" t="s">
        <v>74</v>
      </c>
      <c r="Q108" t="s">
        <v>74</v>
      </c>
      <c r="R108" t="s">
        <v>74</v>
      </c>
      <c r="S108" t="s">
        <v>74</v>
      </c>
      <c r="T108" t="s">
        <v>74</v>
      </c>
      <c r="U108" t="s">
        <v>2212</v>
      </c>
      <c r="V108" t="s">
        <v>2213</v>
      </c>
      <c r="W108" t="s">
        <v>2214</v>
      </c>
      <c r="X108" t="s">
        <v>2215</v>
      </c>
      <c r="Y108" t="s">
        <v>2216</v>
      </c>
      <c r="Z108" t="s">
        <v>2217</v>
      </c>
      <c r="AA108" t="s">
        <v>2218</v>
      </c>
      <c r="AB108" t="s">
        <v>2219</v>
      </c>
      <c r="AC108" t="s">
        <v>2220</v>
      </c>
      <c r="AD108" t="s">
        <v>2221</v>
      </c>
      <c r="AE108" t="s">
        <v>2222</v>
      </c>
      <c r="AF108" t="s">
        <v>74</v>
      </c>
      <c r="AG108">
        <v>63</v>
      </c>
      <c r="AH108">
        <v>5</v>
      </c>
      <c r="AI108">
        <v>7</v>
      </c>
      <c r="AJ108">
        <v>1</v>
      </c>
      <c r="AK108">
        <v>11</v>
      </c>
      <c r="AL108" t="s">
        <v>119</v>
      </c>
      <c r="AM108" t="s">
        <v>120</v>
      </c>
      <c r="AN108" t="s">
        <v>121</v>
      </c>
      <c r="AO108" t="s">
        <v>74</v>
      </c>
      <c r="AP108" t="s">
        <v>2223</v>
      </c>
      <c r="AQ108" t="s">
        <v>74</v>
      </c>
      <c r="AR108" t="s">
        <v>2224</v>
      </c>
      <c r="AS108" t="s">
        <v>2225</v>
      </c>
      <c r="AT108" t="s">
        <v>2226</v>
      </c>
      <c r="AU108">
        <v>2010</v>
      </c>
      <c r="AV108">
        <v>62</v>
      </c>
      <c r="AW108">
        <v>5</v>
      </c>
      <c r="AX108" t="s">
        <v>74</v>
      </c>
      <c r="AY108" t="s">
        <v>74</v>
      </c>
      <c r="AZ108" t="s">
        <v>74</v>
      </c>
      <c r="BA108" t="s">
        <v>74</v>
      </c>
      <c r="BB108">
        <v>719</v>
      </c>
      <c r="BC108">
        <v>736</v>
      </c>
      <c r="BD108" t="s">
        <v>74</v>
      </c>
      <c r="BE108" t="s">
        <v>2227</v>
      </c>
      <c r="BF108" t="str">
        <f>HYPERLINK("http://dx.doi.org/10.1111/j.1600-0870.2010.00462.x","http://dx.doi.org/10.1111/j.1600-0870.2010.00462.x")</f>
        <v>http://dx.doi.org/10.1111/j.1600-0870.2010.00462.x</v>
      </c>
      <c r="BG108" t="s">
        <v>74</v>
      </c>
      <c r="BH108" t="s">
        <v>74</v>
      </c>
      <c r="BI108">
        <v>18</v>
      </c>
      <c r="BJ108" t="s">
        <v>2228</v>
      </c>
      <c r="BK108" t="s">
        <v>100</v>
      </c>
      <c r="BL108" t="s">
        <v>2228</v>
      </c>
      <c r="BM108" t="s">
        <v>2229</v>
      </c>
      <c r="BN108" t="s">
        <v>74</v>
      </c>
      <c r="BO108" t="s">
        <v>1935</v>
      </c>
      <c r="BP108" t="s">
        <v>74</v>
      </c>
      <c r="BQ108" t="s">
        <v>74</v>
      </c>
      <c r="BR108" t="s">
        <v>104</v>
      </c>
      <c r="BS108" t="s">
        <v>2230</v>
      </c>
      <c r="BT108" t="str">
        <f>HYPERLINK("https%3A%2F%2Fwww.webofscience.com%2Fwos%2Fwoscc%2Ffull-record%2FWOS:000282182300010","View Full Record in Web of Science")</f>
        <v>View Full Record in Web of Science</v>
      </c>
    </row>
    <row r="109" spans="1:72" x14ac:dyDescent="0.15">
      <c r="A109" t="s">
        <v>72</v>
      </c>
      <c r="B109" t="s">
        <v>2231</v>
      </c>
      <c r="C109" t="s">
        <v>74</v>
      </c>
      <c r="D109" t="s">
        <v>74</v>
      </c>
      <c r="E109" t="s">
        <v>74</v>
      </c>
      <c r="F109" t="s">
        <v>2232</v>
      </c>
      <c r="G109" t="s">
        <v>74</v>
      </c>
      <c r="H109" t="s">
        <v>74</v>
      </c>
      <c r="I109" t="s">
        <v>2233</v>
      </c>
      <c r="J109" t="s">
        <v>2234</v>
      </c>
      <c r="K109" t="s">
        <v>74</v>
      </c>
      <c r="L109" t="s">
        <v>74</v>
      </c>
      <c r="M109" t="s">
        <v>78</v>
      </c>
      <c r="N109" t="s">
        <v>79</v>
      </c>
      <c r="O109" t="s">
        <v>74</v>
      </c>
      <c r="P109" t="s">
        <v>74</v>
      </c>
      <c r="Q109" t="s">
        <v>74</v>
      </c>
      <c r="R109" t="s">
        <v>74</v>
      </c>
      <c r="S109" t="s">
        <v>74</v>
      </c>
      <c r="T109" t="s">
        <v>74</v>
      </c>
      <c r="U109" t="s">
        <v>2235</v>
      </c>
      <c r="V109" t="s">
        <v>2236</v>
      </c>
      <c r="W109" t="s">
        <v>2237</v>
      </c>
      <c r="X109" t="s">
        <v>2238</v>
      </c>
      <c r="Y109" t="s">
        <v>2239</v>
      </c>
      <c r="Z109" t="s">
        <v>2240</v>
      </c>
      <c r="AA109" t="s">
        <v>2241</v>
      </c>
      <c r="AB109" t="s">
        <v>2242</v>
      </c>
      <c r="AC109" t="s">
        <v>2243</v>
      </c>
      <c r="AD109" t="s">
        <v>307</v>
      </c>
      <c r="AE109" t="s">
        <v>2244</v>
      </c>
      <c r="AF109" t="s">
        <v>74</v>
      </c>
      <c r="AG109">
        <v>33</v>
      </c>
      <c r="AH109">
        <v>7</v>
      </c>
      <c r="AI109">
        <v>7</v>
      </c>
      <c r="AJ109">
        <v>0</v>
      </c>
      <c r="AK109">
        <v>1</v>
      </c>
      <c r="AL109" t="s">
        <v>2245</v>
      </c>
      <c r="AM109" t="s">
        <v>673</v>
      </c>
      <c r="AN109" t="s">
        <v>674</v>
      </c>
      <c r="AO109" t="s">
        <v>2246</v>
      </c>
      <c r="AP109" t="s">
        <v>74</v>
      </c>
      <c r="AQ109" t="s">
        <v>74</v>
      </c>
      <c r="AR109" t="s">
        <v>2247</v>
      </c>
      <c r="AS109" t="s">
        <v>2248</v>
      </c>
      <c r="AT109" t="s">
        <v>2249</v>
      </c>
      <c r="AU109">
        <v>2010</v>
      </c>
      <c r="AV109">
        <v>45</v>
      </c>
      <c r="AW109" t="s">
        <v>2250</v>
      </c>
      <c r="AX109" t="s">
        <v>74</v>
      </c>
      <c r="AY109" t="s">
        <v>74</v>
      </c>
      <c r="AZ109" t="s">
        <v>74</v>
      </c>
      <c r="BA109" t="s">
        <v>74</v>
      </c>
      <c r="BB109">
        <v>1821</v>
      </c>
      <c r="BC109">
        <v>1835</v>
      </c>
      <c r="BD109" t="s">
        <v>74</v>
      </c>
      <c r="BE109" t="s">
        <v>2251</v>
      </c>
      <c r="BF109" t="str">
        <f>HYPERLINK("http://dx.doi.org/10.1111/j.1945-5100.2010.001096.x","http://dx.doi.org/10.1111/j.1945-5100.2010.001096.x")</f>
        <v>http://dx.doi.org/10.1111/j.1945-5100.2010.001096.x</v>
      </c>
      <c r="BG109" t="s">
        <v>74</v>
      </c>
      <c r="BH109" t="s">
        <v>74</v>
      </c>
      <c r="BI109">
        <v>15</v>
      </c>
      <c r="BJ109" t="s">
        <v>558</v>
      </c>
      <c r="BK109" t="s">
        <v>100</v>
      </c>
      <c r="BL109" t="s">
        <v>558</v>
      </c>
      <c r="BM109" t="s">
        <v>2252</v>
      </c>
      <c r="BN109" t="s">
        <v>74</v>
      </c>
      <c r="BO109" t="s">
        <v>394</v>
      </c>
      <c r="BP109" t="s">
        <v>74</v>
      </c>
      <c r="BQ109" t="s">
        <v>74</v>
      </c>
      <c r="BR109" t="s">
        <v>104</v>
      </c>
      <c r="BS109" t="s">
        <v>2253</v>
      </c>
      <c r="BT109" t="str">
        <f>HYPERLINK("https%3A%2F%2Fwww.webofscience.com%2Fwos%2Fwoscc%2Ffull-record%2FWOS:000285759700020","View Full Record in Web of Science")</f>
        <v>View Full Record in Web of Science</v>
      </c>
    </row>
    <row r="110" spans="1:72" x14ac:dyDescent="0.15">
      <c r="A110" t="s">
        <v>72</v>
      </c>
      <c r="B110" t="s">
        <v>2254</v>
      </c>
      <c r="C110" t="s">
        <v>74</v>
      </c>
      <c r="D110" t="s">
        <v>74</v>
      </c>
      <c r="E110" t="s">
        <v>74</v>
      </c>
      <c r="F110" t="s">
        <v>2255</v>
      </c>
      <c r="G110" t="s">
        <v>74</v>
      </c>
      <c r="H110" t="s">
        <v>74</v>
      </c>
      <c r="I110" t="s">
        <v>2256</v>
      </c>
      <c r="J110" t="s">
        <v>2257</v>
      </c>
      <c r="K110" t="s">
        <v>74</v>
      </c>
      <c r="L110" t="s">
        <v>74</v>
      </c>
      <c r="M110" t="s">
        <v>78</v>
      </c>
      <c r="N110" t="s">
        <v>79</v>
      </c>
      <c r="O110" t="s">
        <v>74</v>
      </c>
      <c r="P110" t="s">
        <v>74</v>
      </c>
      <c r="Q110" t="s">
        <v>74</v>
      </c>
      <c r="R110" t="s">
        <v>74</v>
      </c>
      <c r="S110" t="s">
        <v>74</v>
      </c>
      <c r="T110" t="s">
        <v>2258</v>
      </c>
      <c r="U110" t="s">
        <v>2259</v>
      </c>
      <c r="V110" t="s">
        <v>2260</v>
      </c>
      <c r="W110" t="s">
        <v>2261</v>
      </c>
      <c r="X110" t="s">
        <v>2262</v>
      </c>
      <c r="Y110" t="s">
        <v>2263</v>
      </c>
      <c r="Z110" t="s">
        <v>74</v>
      </c>
      <c r="AA110" t="s">
        <v>2264</v>
      </c>
      <c r="AB110" t="s">
        <v>2265</v>
      </c>
      <c r="AC110" t="s">
        <v>2266</v>
      </c>
      <c r="AD110" t="s">
        <v>2267</v>
      </c>
      <c r="AE110" t="s">
        <v>2268</v>
      </c>
      <c r="AF110" t="s">
        <v>74</v>
      </c>
      <c r="AG110">
        <v>30</v>
      </c>
      <c r="AH110">
        <v>12</v>
      </c>
      <c r="AI110">
        <v>12</v>
      </c>
      <c r="AJ110">
        <v>1</v>
      </c>
      <c r="AK110">
        <v>7</v>
      </c>
      <c r="AL110" t="s">
        <v>851</v>
      </c>
      <c r="AM110" t="s">
        <v>310</v>
      </c>
      <c r="AN110" t="s">
        <v>852</v>
      </c>
      <c r="AO110" t="s">
        <v>2269</v>
      </c>
      <c r="AP110" t="s">
        <v>2270</v>
      </c>
      <c r="AQ110" t="s">
        <v>74</v>
      </c>
      <c r="AR110" t="s">
        <v>2271</v>
      </c>
      <c r="AS110" t="s">
        <v>2272</v>
      </c>
      <c r="AT110" t="s">
        <v>2226</v>
      </c>
      <c r="AU110">
        <v>2010</v>
      </c>
      <c r="AV110">
        <v>22</v>
      </c>
      <c r="AW110">
        <v>5</v>
      </c>
      <c r="AX110" t="s">
        <v>74</v>
      </c>
      <c r="AY110" t="s">
        <v>74</v>
      </c>
      <c r="AZ110" t="s">
        <v>74</v>
      </c>
      <c r="BA110" t="s">
        <v>74</v>
      </c>
      <c r="BB110">
        <v>477</v>
      </c>
      <c r="BC110">
        <v>484</v>
      </c>
      <c r="BD110" t="s">
        <v>74</v>
      </c>
      <c r="BE110" t="s">
        <v>2273</v>
      </c>
      <c r="BF110" t="str">
        <f>HYPERLINK("http://dx.doi.org/10.1017/S0954102010000428","http://dx.doi.org/10.1017/S0954102010000428")</f>
        <v>http://dx.doi.org/10.1017/S0954102010000428</v>
      </c>
      <c r="BG110" t="s">
        <v>74</v>
      </c>
      <c r="BH110" t="s">
        <v>74</v>
      </c>
      <c r="BI110">
        <v>8</v>
      </c>
      <c r="BJ110" t="s">
        <v>755</v>
      </c>
      <c r="BK110" t="s">
        <v>100</v>
      </c>
      <c r="BL110" t="s">
        <v>756</v>
      </c>
      <c r="BM110" t="s">
        <v>2274</v>
      </c>
      <c r="BN110" t="s">
        <v>74</v>
      </c>
      <c r="BO110" t="s">
        <v>74</v>
      </c>
      <c r="BP110" t="s">
        <v>74</v>
      </c>
      <c r="BQ110" t="s">
        <v>74</v>
      </c>
      <c r="BR110" t="s">
        <v>104</v>
      </c>
      <c r="BS110" t="s">
        <v>2275</v>
      </c>
      <c r="BT110" t="str">
        <f>HYPERLINK("https%3A%2F%2Fwww.webofscience.com%2Fwos%2Fwoscc%2Ffull-record%2FWOS:000283698200004","View Full Record in Web of Science")</f>
        <v>View Full Record in Web of Science</v>
      </c>
    </row>
    <row r="111" spans="1:72" x14ac:dyDescent="0.15">
      <c r="A111" t="s">
        <v>72</v>
      </c>
      <c r="B111" t="s">
        <v>2276</v>
      </c>
      <c r="C111" t="s">
        <v>74</v>
      </c>
      <c r="D111" t="s">
        <v>74</v>
      </c>
      <c r="E111" t="s">
        <v>74</v>
      </c>
      <c r="F111" t="s">
        <v>2277</v>
      </c>
      <c r="G111" t="s">
        <v>74</v>
      </c>
      <c r="H111" t="s">
        <v>74</v>
      </c>
      <c r="I111" t="s">
        <v>2278</v>
      </c>
      <c r="J111" t="s">
        <v>2257</v>
      </c>
      <c r="K111" t="s">
        <v>74</v>
      </c>
      <c r="L111" t="s">
        <v>74</v>
      </c>
      <c r="M111" t="s">
        <v>78</v>
      </c>
      <c r="N111" t="s">
        <v>79</v>
      </c>
      <c r="O111" t="s">
        <v>74</v>
      </c>
      <c r="P111" t="s">
        <v>74</v>
      </c>
      <c r="Q111" t="s">
        <v>74</v>
      </c>
      <c r="R111" t="s">
        <v>74</v>
      </c>
      <c r="S111" t="s">
        <v>74</v>
      </c>
      <c r="T111" t="s">
        <v>2279</v>
      </c>
      <c r="U111" t="s">
        <v>2280</v>
      </c>
      <c r="V111" t="s">
        <v>2281</v>
      </c>
      <c r="W111" t="s">
        <v>2282</v>
      </c>
      <c r="X111" t="s">
        <v>2283</v>
      </c>
      <c r="Y111" t="s">
        <v>74</v>
      </c>
      <c r="Z111" t="s">
        <v>74</v>
      </c>
      <c r="AA111" t="s">
        <v>2284</v>
      </c>
      <c r="AB111" t="s">
        <v>2285</v>
      </c>
      <c r="AC111" t="s">
        <v>2286</v>
      </c>
      <c r="AD111" t="s">
        <v>2287</v>
      </c>
      <c r="AE111" t="s">
        <v>2288</v>
      </c>
      <c r="AF111" t="s">
        <v>74</v>
      </c>
      <c r="AG111">
        <v>36</v>
      </c>
      <c r="AH111">
        <v>17</v>
      </c>
      <c r="AI111">
        <v>18</v>
      </c>
      <c r="AJ111">
        <v>3</v>
      </c>
      <c r="AK111">
        <v>27</v>
      </c>
      <c r="AL111" t="s">
        <v>851</v>
      </c>
      <c r="AM111" t="s">
        <v>310</v>
      </c>
      <c r="AN111" t="s">
        <v>852</v>
      </c>
      <c r="AO111" t="s">
        <v>2269</v>
      </c>
      <c r="AP111" t="s">
        <v>2270</v>
      </c>
      <c r="AQ111" t="s">
        <v>74</v>
      </c>
      <c r="AR111" t="s">
        <v>2271</v>
      </c>
      <c r="AS111" t="s">
        <v>2272</v>
      </c>
      <c r="AT111" t="s">
        <v>2226</v>
      </c>
      <c r="AU111">
        <v>2010</v>
      </c>
      <c r="AV111">
        <v>22</v>
      </c>
      <c r="AW111">
        <v>5</v>
      </c>
      <c r="AX111" t="s">
        <v>74</v>
      </c>
      <c r="AY111" t="s">
        <v>74</v>
      </c>
      <c r="AZ111" t="s">
        <v>74</v>
      </c>
      <c r="BA111" t="s">
        <v>74</v>
      </c>
      <c r="BB111">
        <v>485</v>
      </c>
      <c r="BC111">
        <v>493</v>
      </c>
      <c r="BD111" t="s">
        <v>74</v>
      </c>
      <c r="BE111" t="s">
        <v>2289</v>
      </c>
      <c r="BF111" t="str">
        <f>HYPERLINK("http://dx.doi.org/10.1017/S0954102010000258","http://dx.doi.org/10.1017/S0954102010000258")</f>
        <v>http://dx.doi.org/10.1017/S0954102010000258</v>
      </c>
      <c r="BG111" t="s">
        <v>74</v>
      </c>
      <c r="BH111" t="s">
        <v>74</v>
      </c>
      <c r="BI111">
        <v>9</v>
      </c>
      <c r="BJ111" t="s">
        <v>755</v>
      </c>
      <c r="BK111" t="s">
        <v>100</v>
      </c>
      <c r="BL111" t="s">
        <v>756</v>
      </c>
      <c r="BM111" t="s">
        <v>2274</v>
      </c>
      <c r="BN111" t="s">
        <v>74</v>
      </c>
      <c r="BO111" t="s">
        <v>631</v>
      </c>
      <c r="BP111" t="s">
        <v>74</v>
      </c>
      <c r="BQ111" t="s">
        <v>74</v>
      </c>
      <c r="BR111" t="s">
        <v>104</v>
      </c>
      <c r="BS111" t="s">
        <v>2290</v>
      </c>
      <c r="BT111" t="str">
        <f>HYPERLINK("https%3A%2F%2Fwww.webofscience.com%2Fwos%2Fwoscc%2Ffull-record%2FWOS:000283698200005","View Full Record in Web of Science")</f>
        <v>View Full Record in Web of Science</v>
      </c>
    </row>
    <row r="112" spans="1:72" x14ac:dyDescent="0.15">
      <c r="A112" t="s">
        <v>72</v>
      </c>
      <c r="B112" t="s">
        <v>2291</v>
      </c>
      <c r="C112" t="s">
        <v>74</v>
      </c>
      <c r="D112" t="s">
        <v>74</v>
      </c>
      <c r="E112" t="s">
        <v>74</v>
      </c>
      <c r="F112" t="s">
        <v>2292</v>
      </c>
      <c r="G112" t="s">
        <v>74</v>
      </c>
      <c r="H112" t="s">
        <v>74</v>
      </c>
      <c r="I112" t="s">
        <v>2293</v>
      </c>
      <c r="J112" t="s">
        <v>2257</v>
      </c>
      <c r="K112" t="s">
        <v>74</v>
      </c>
      <c r="L112" t="s">
        <v>74</v>
      </c>
      <c r="M112" t="s">
        <v>78</v>
      </c>
      <c r="N112" t="s">
        <v>79</v>
      </c>
      <c r="O112" t="s">
        <v>74</v>
      </c>
      <c r="P112" t="s">
        <v>74</v>
      </c>
      <c r="Q112" t="s">
        <v>74</v>
      </c>
      <c r="R112" t="s">
        <v>74</v>
      </c>
      <c r="S112" t="s">
        <v>74</v>
      </c>
      <c r="T112" t="s">
        <v>2294</v>
      </c>
      <c r="U112" t="s">
        <v>2295</v>
      </c>
      <c r="V112" t="s">
        <v>2296</v>
      </c>
      <c r="W112" t="s">
        <v>2297</v>
      </c>
      <c r="X112" t="s">
        <v>2298</v>
      </c>
      <c r="Y112" t="s">
        <v>2299</v>
      </c>
      <c r="Z112" t="s">
        <v>74</v>
      </c>
      <c r="AA112" t="s">
        <v>2300</v>
      </c>
      <c r="AB112" t="s">
        <v>2301</v>
      </c>
      <c r="AC112" t="s">
        <v>2302</v>
      </c>
      <c r="AD112" t="s">
        <v>2303</v>
      </c>
      <c r="AE112" t="s">
        <v>2304</v>
      </c>
      <c r="AF112" t="s">
        <v>74</v>
      </c>
      <c r="AG112">
        <v>56</v>
      </c>
      <c r="AH112">
        <v>9</v>
      </c>
      <c r="AI112">
        <v>10</v>
      </c>
      <c r="AJ112">
        <v>0</v>
      </c>
      <c r="AK112">
        <v>11</v>
      </c>
      <c r="AL112" t="s">
        <v>851</v>
      </c>
      <c r="AM112" t="s">
        <v>310</v>
      </c>
      <c r="AN112" t="s">
        <v>852</v>
      </c>
      <c r="AO112" t="s">
        <v>2269</v>
      </c>
      <c r="AP112" t="s">
        <v>2270</v>
      </c>
      <c r="AQ112" t="s">
        <v>74</v>
      </c>
      <c r="AR112" t="s">
        <v>2271</v>
      </c>
      <c r="AS112" t="s">
        <v>2272</v>
      </c>
      <c r="AT112" t="s">
        <v>2226</v>
      </c>
      <c r="AU112">
        <v>2010</v>
      </c>
      <c r="AV112">
        <v>22</v>
      </c>
      <c r="AW112">
        <v>5</v>
      </c>
      <c r="AX112" t="s">
        <v>74</v>
      </c>
      <c r="AY112" t="s">
        <v>74</v>
      </c>
      <c r="AZ112" t="s">
        <v>74</v>
      </c>
      <c r="BA112" t="s">
        <v>74</v>
      </c>
      <c r="BB112">
        <v>494</v>
      </c>
      <c r="BC112">
        <v>507</v>
      </c>
      <c r="BD112" t="s">
        <v>74</v>
      </c>
      <c r="BE112" t="s">
        <v>2305</v>
      </c>
      <c r="BF112" t="str">
        <f>HYPERLINK("http://dx.doi.org/10.1017/S0954102010000416","http://dx.doi.org/10.1017/S0954102010000416")</f>
        <v>http://dx.doi.org/10.1017/S0954102010000416</v>
      </c>
      <c r="BG112" t="s">
        <v>74</v>
      </c>
      <c r="BH112" t="s">
        <v>74</v>
      </c>
      <c r="BI112">
        <v>14</v>
      </c>
      <c r="BJ112" t="s">
        <v>755</v>
      </c>
      <c r="BK112" t="s">
        <v>100</v>
      </c>
      <c r="BL112" t="s">
        <v>756</v>
      </c>
      <c r="BM112" t="s">
        <v>2274</v>
      </c>
      <c r="BN112" t="s">
        <v>74</v>
      </c>
      <c r="BO112" t="s">
        <v>74</v>
      </c>
      <c r="BP112" t="s">
        <v>74</v>
      </c>
      <c r="BQ112" t="s">
        <v>74</v>
      </c>
      <c r="BR112" t="s">
        <v>104</v>
      </c>
      <c r="BS112" t="s">
        <v>2306</v>
      </c>
      <c r="BT112" t="str">
        <f>HYPERLINK("https%3A%2F%2Fwww.webofscience.com%2Fwos%2Fwoscc%2Ffull-record%2FWOS:000283698200006","View Full Record in Web of Science")</f>
        <v>View Full Record in Web of Science</v>
      </c>
    </row>
    <row r="113" spans="1:72" x14ac:dyDescent="0.15">
      <c r="A113" t="s">
        <v>72</v>
      </c>
      <c r="B113" t="s">
        <v>2307</v>
      </c>
      <c r="C113" t="s">
        <v>74</v>
      </c>
      <c r="D113" t="s">
        <v>74</v>
      </c>
      <c r="E113" t="s">
        <v>74</v>
      </c>
      <c r="F113" t="s">
        <v>2308</v>
      </c>
      <c r="G113" t="s">
        <v>74</v>
      </c>
      <c r="H113" t="s">
        <v>74</v>
      </c>
      <c r="I113" t="s">
        <v>2309</v>
      </c>
      <c r="J113" t="s">
        <v>2257</v>
      </c>
      <c r="K113" t="s">
        <v>74</v>
      </c>
      <c r="L113" t="s">
        <v>74</v>
      </c>
      <c r="M113" t="s">
        <v>78</v>
      </c>
      <c r="N113" t="s">
        <v>79</v>
      </c>
      <c r="O113" t="s">
        <v>74</v>
      </c>
      <c r="P113" t="s">
        <v>74</v>
      </c>
      <c r="Q113" t="s">
        <v>74</v>
      </c>
      <c r="R113" t="s">
        <v>74</v>
      </c>
      <c r="S113" t="s">
        <v>74</v>
      </c>
      <c r="T113" t="s">
        <v>2310</v>
      </c>
      <c r="U113" t="s">
        <v>2311</v>
      </c>
      <c r="V113" t="s">
        <v>2312</v>
      </c>
      <c r="W113" t="s">
        <v>2313</v>
      </c>
      <c r="X113" t="s">
        <v>2314</v>
      </c>
      <c r="Y113" t="s">
        <v>2315</v>
      </c>
      <c r="Z113" t="s">
        <v>74</v>
      </c>
      <c r="AA113" t="s">
        <v>74</v>
      </c>
      <c r="AB113" t="s">
        <v>2316</v>
      </c>
      <c r="AC113" t="s">
        <v>2317</v>
      </c>
      <c r="AD113" t="s">
        <v>2317</v>
      </c>
      <c r="AE113" t="s">
        <v>2318</v>
      </c>
      <c r="AF113" t="s">
        <v>74</v>
      </c>
      <c r="AG113">
        <v>51</v>
      </c>
      <c r="AH113">
        <v>12</v>
      </c>
      <c r="AI113">
        <v>13</v>
      </c>
      <c r="AJ113">
        <v>0</v>
      </c>
      <c r="AK113">
        <v>4</v>
      </c>
      <c r="AL113" t="s">
        <v>851</v>
      </c>
      <c r="AM113" t="s">
        <v>310</v>
      </c>
      <c r="AN113" t="s">
        <v>852</v>
      </c>
      <c r="AO113" t="s">
        <v>2269</v>
      </c>
      <c r="AP113" t="s">
        <v>2270</v>
      </c>
      <c r="AQ113" t="s">
        <v>74</v>
      </c>
      <c r="AR113" t="s">
        <v>2271</v>
      </c>
      <c r="AS113" t="s">
        <v>2272</v>
      </c>
      <c r="AT113" t="s">
        <v>2226</v>
      </c>
      <c r="AU113">
        <v>2010</v>
      </c>
      <c r="AV113">
        <v>22</v>
      </c>
      <c r="AW113">
        <v>5</v>
      </c>
      <c r="AX113" t="s">
        <v>74</v>
      </c>
      <c r="AY113" t="s">
        <v>74</v>
      </c>
      <c r="AZ113" t="s">
        <v>74</v>
      </c>
      <c r="BA113" t="s">
        <v>74</v>
      </c>
      <c r="BB113">
        <v>513</v>
      </c>
      <c r="BC113">
        <v>521</v>
      </c>
      <c r="BD113" t="s">
        <v>74</v>
      </c>
      <c r="BE113" t="s">
        <v>2319</v>
      </c>
      <c r="BF113" t="str">
        <f>HYPERLINK("http://dx.doi.org/10.1017/S095410201000026X","http://dx.doi.org/10.1017/S095410201000026X")</f>
        <v>http://dx.doi.org/10.1017/S095410201000026X</v>
      </c>
      <c r="BG113" t="s">
        <v>74</v>
      </c>
      <c r="BH113" t="s">
        <v>74</v>
      </c>
      <c r="BI113">
        <v>9</v>
      </c>
      <c r="BJ113" t="s">
        <v>755</v>
      </c>
      <c r="BK113" t="s">
        <v>100</v>
      </c>
      <c r="BL113" t="s">
        <v>756</v>
      </c>
      <c r="BM113" t="s">
        <v>2274</v>
      </c>
      <c r="BN113" t="s">
        <v>74</v>
      </c>
      <c r="BO113" t="s">
        <v>74</v>
      </c>
      <c r="BP113" t="s">
        <v>74</v>
      </c>
      <c r="BQ113" t="s">
        <v>74</v>
      </c>
      <c r="BR113" t="s">
        <v>104</v>
      </c>
      <c r="BS113" t="s">
        <v>2320</v>
      </c>
      <c r="BT113" t="str">
        <f>HYPERLINK("https%3A%2F%2Fwww.webofscience.com%2Fwos%2Fwoscc%2Ffull-record%2FWOS:000283698200008","View Full Record in Web of Science")</f>
        <v>View Full Record in Web of Science</v>
      </c>
    </row>
    <row r="114" spans="1:72" x14ac:dyDescent="0.15">
      <c r="A114" t="s">
        <v>72</v>
      </c>
      <c r="B114" t="s">
        <v>2321</v>
      </c>
      <c r="C114" t="s">
        <v>74</v>
      </c>
      <c r="D114" t="s">
        <v>74</v>
      </c>
      <c r="E114" t="s">
        <v>74</v>
      </c>
      <c r="F114" t="s">
        <v>2322</v>
      </c>
      <c r="G114" t="s">
        <v>74</v>
      </c>
      <c r="H114" t="s">
        <v>74</v>
      </c>
      <c r="I114" t="s">
        <v>2323</v>
      </c>
      <c r="J114" t="s">
        <v>2257</v>
      </c>
      <c r="K114" t="s">
        <v>74</v>
      </c>
      <c r="L114" t="s">
        <v>74</v>
      </c>
      <c r="M114" t="s">
        <v>78</v>
      </c>
      <c r="N114" t="s">
        <v>79</v>
      </c>
      <c r="O114" t="s">
        <v>74</v>
      </c>
      <c r="P114" t="s">
        <v>74</v>
      </c>
      <c r="Q114" t="s">
        <v>74</v>
      </c>
      <c r="R114" t="s">
        <v>74</v>
      </c>
      <c r="S114" t="s">
        <v>74</v>
      </c>
      <c r="T114" t="s">
        <v>2324</v>
      </c>
      <c r="U114" t="s">
        <v>2325</v>
      </c>
      <c r="V114" t="s">
        <v>2326</v>
      </c>
      <c r="W114" t="s">
        <v>2327</v>
      </c>
      <c r="X114" t="s">
        <v>2328</v>
      </c>
      <c r="Y114" t="s">
        <v>2329</v>
      </c>
      <c r="Z114" t="s">
        <v>74</v>
      </c>
      <c r="AA114" t="s">
        <v>2330</v>
      </c>
      <c r="AB114" t="s">
        <v>2331</v>
      </c>
      <c r="AC114" t="s">
        <v>2332</v>
      </c>
      <c r="AD114" t="s">
        <v>2333</v>
      </c>
      <c r="AE114" t="s">
        <v>2334</v>
      </c>
      <c r="AF114" t="s">
        <v>74</v>
      </c>
      <c r="AG114">
        <v>43</v>
      </c>
      <c r="AH114">
        <v>6</v>
      </c>
      <c r="AI114">
        <v>8</v>
      </c>
      <c r="AJ114">
        <v>1</v>
      </c>
      <c r="AK114">
        <v>20</v>
      </c>
      <c r="AL114" t="s">
        <v>851</v>
      </c>
      <c r="AM114" t="s">
        <v>310</v>
      </c>
      <c r="AN114" t="s">
        <v>852</v>
      </c>
      <c r="AO114" t="s">
        <v>2269</v>
      </c>
      <c r="AP114" t="s">
        <v>2270</v>
      </c>
      <c r="AQ114" t="s">
        <v>74</v>
      </c>
      <c r="AR114" t="s">
        <v>2271</v>
      </c>
      <c r="AS114" t="s">
        <v>2272</v>
      </c>
      <c r="AT114" t="s">
        <v>2226</v>
      </c>
      <c r="AU114">
        <v>2010</v>
      </c>
      <c r="AV114">
        <v>22</v>
      </c>
      <c r="AW114">
        <v>5</v>
      </c>
      <c r="AX114" t="s">
        <v>74</v>
      </c>
      <c r="AY114" t="s">
        <v>74</v>
      </c>
      <c r="AZ114" t="s">
        <v>74</v>
      </c>
      <c r="BA114" t="s">
        <v>74</v>
      </c>
      <c r="BB114">
        <v>522</v>
      </c>
      <c r="BC114">
        <v>530</v>
      </c>
      <c r="BD114" t="s">
        <v>74</v>
      </c>
      <c r="BE114" t="s">
        <v>2335</v>
      </c>
      <c r="BF114" t="str">
        <f>HYPERLINK("http://dx.doi.org/10.1017/S0954102010000556","http://dx.doi.org/10.1017/S0954102010000556")</f>
        <v>http://dx.doi.org/10.1017/S0954102010000556</v>
      </c>
      <c r="BG114" t="s">
        <v>74</v>
      </c>
      <c r="BH114" t="s">
        <v>74</v>
      </c>
      <c r="BI114">
        <v>9</v>
      </c>
      <c r="BJ114" t="s">
        <v>755</v>
      </c>
      <c r="BK114" t="s">
        <v>100</v>
      </c>
      <c r="BL114" t="s">
        <v>756</v>
      </c>
      <c r="BM114" t="s">
        <v>2274</v>
      </c>
      <c r="BN114" t="s">
        <v>74</v>
      </c>
      <c r="BO114" t="s">
        <v>134</v>
      </c>
      <c r="BP114" t="s">
        <v>74</v>
      </c>
      <c r="BQ114" t="s">
        <v>74</v>
      </c>
      <c r="BR114" t="s">
        <v>104</v>
      </c>
      <c r="BS114" t="s">
        <v>2336</v>
      </c>
      <c r="BT114" t="str">
        <f>HYPERLINK("https%3A%2F%2Fwww.webofscience.com%2Fwos%2Fwoscc%2Ffull-record%2FWOS:000283698200009","View Full Record in Web of Science")</f>
        <v>View Full Record in Web of Science</v>
      </c>
    </row>
    <row r="115" spans="1:72" x14ac:dyDescent="0.15">
      <c r="A115" t="s">
        <v>72</v>
      </c>
      <c r="B115" t="s">
        <v>2337</v>
      </c>
      <c r="C115" t="s">
        <v>74</v>
      </c>
      <c r="D115" t="s">
        <v>74</v>
      </c>
      <c r="E115" t="s">
        <v>74</v>
      </c>
      <c r="F115" t="s">
        <v>2338</v>
      </c>
      <c r="G115" t="s">
        <v>74</v>
      </c>
      <c r="H115" t="s">
        <v>74</v>
      </c>
      <c r="I115" t="s">
        <v>2339</v>
      </c>
      <c r="J115" t="s">
        <v>2257</v>
      </c>
      <c r="K115" t="s">
        <v>74</v>
      </c>
      <c r="L115" t="s">
        <v>74</v>
      </c>
      <c r="M115" t="s">
        <v>78</v>
      </c>
      <c r="N115" t="s">
        <v>79</v>
      </c>
      <c r="O115" t="s">
        <v>74</v>
      </c>
      <c r="P115" t="s">
        <v>74</v>
      </c>
      <c r="Q115" t="s">
        <v>74</v>
      </c>
      <c r="R115" t="s">
        <v>74</v>
      </c>
      <c r="S115" t="s">
        <v>74</v>
      </c>
      <c r="T115" t="s">
        <v>74</v>
      </c>
      <c r="U115" t="s">
        <v>74</v>
      </c>
      <c r="V115" t="s">
        <v>74</v>
      </c>
      <c r="W115" t="s">
        <v>2340</v>
      </c>
      <c r="X115" t="s">
        <v>2341</v>
      </c>
      <c r="Y115" t="s">
        <v>2342</v>
      </c>
      <c r="Z115" t="s">
        <v>74</v>
      </c>
      <c r="AA115" t="s">
        <v>2343</v>
      </c>
      <c r="AB115" t="s">
        <v>2344</v>
      </c>
      <c r="AC115" t="s">
        <v>2345</v>
      </c>
      <c r="AD115" t="s">
        <v>2346</v>
      </c>
      <c r="AE115" t="s">
        <v>2347</v>
      </c>
      <c r="AF115" t="s">
        <v>74</v>
      </c>
      <c r="AG115">
        <v>12</v>
      </c>
      <c r="AH115">
        <v>3</v>
      </c>
      <c r="AI115">
        <v>4</v>
      </c>
      <c r="AJ115">
        <v>0</v>
      </c>
      <c r="AK115">
        <v>2</v>
      </c>
      <c r="AL115" t="s">
        <v>851</v>
      </c>
      <c r="AM115" t="s">
        <v>310</v>
      </c>
      <c r="AN115" t="s">
        <v>852</v>
      </c>
      <c r="AO115" t="s">
        <v>2269</v>
      </c>
      <c r="AP115" t="s">
        <v>2270</v>
      </c>
      <c r="AQ115" t="s">
        <v>74</v>
      </c>
      <c r="AR115" t="s">
        <v>2271</v>
      </c>
      <c r="AS115" t="s">
        <v>2272</v>
      </c>
      <c r="AT115" t="s">
        <v>2226</v>
      </c>
      <c r="AU115">
        <v>2010</v>
      </c>
      <c r="AV115">
        <v>22</v>
      </c>
      <c r="AW115">
        <v>5</v>
      </c>
      <c r="AX115" t="s">
        <v>74</v>
      </c>
      <c r="AY115" t="s">
        <v>74</v>
      </c>
      <c r="AZ115" t="s">
        <v>74</v>
      </c>
      <c r="BA115" t="s">
        <v>74</v>
      </c>
      <c r="BB115">
        <v>531</v>
      </c>
      <c r="BC115">
        <v>532</v>
      </c>
      <c r="BD115" t="s">
        <v>74</v>
      </c>
      <c r="BE115" t="s">
        <v>2348</v>
      </c>
      <c r="BF115" t="str">
        <f>HYPERLINK("http://dx.doi.org/10.1017/S0954102010000362","http://dx.doi.org/10.1017/S0954102010000362")</f>
        <v>http://dx.doi.org/10.1017/S0954102010000362</v>
      </c>
      <c r="BG115" t="s">
        <v>74</v>
      </c>
      <c r="BH115" t="s">
        <v>74</v>
      </c>
      <c r="BI115">
        <v>2</v>
      </c>
      <c r="BJ115" t="s">
        <v>755</v>
      </c>
      <c r="BK115" t="s">
        <v>100</v>
      </c>
      <c r="BL115" t="s">
        <v>756</v>
      </c>
      <c r="BM115" t="s">
        <v>2274</v>
      </c>
      <c r="BN115" t="s">
        <v>74</v>
      </c>
      <c r="BO115" t="s">
        <v>74</v>
      </c>
      <c r="BP115" t="s">
        <v>74</v>
      </c>
      <c r="BQ115" t="s">
        <v>74</v>
      </c>
      <c r="BR115" t="s">
        <v>104</v>
      </c>
      <c r="BS115" t="s">
        <v>2349</v>
      </c>
      <c r="BT115" t="str">
        <f>HYPERLINK("https%3A%2F%2Fwww.webofscience.com%2Fwos%2Fwoscc%2Ffull-record%2FWOS:000283698200010","View Full Record in Web of Science")</f>
        <v>View Full Record in Web of Science</v>
      </c>
    </row>
    <row r="116" spans="1:72" x14ac:dyDescent="0.15">
      <c r="A116" t="s">
        <v>72</v>
      </c>
      <c r="B116" t="s">
        <v>2350</v>
      </c>
      <c r="C116" t="s">
        <v>74</v>
      </c>
      <c r="D116" t="s">
        <v>74</v>
      </c>
      <c r="E116" t="s">
        <v>74</v>
      </c>
      <c r="F116" t="s">
        <v>2351</v>
      </c>
      <c r="G116" t="s">
        <v>74</v>
      </c>
      <c r="H116" t="s">
        <v>74</v>
      </c>
      <c r="I116" t="s">
        <v>2352</v>
      </c>
      <c r="J116" t="s">
        <v>2257</v>
      </c>
      <c r="K116" t="s">
        <v>74</v>
      </c>
      <c r="L116" t="s">
        <v>74</v>
      </c>
      <c r="M116" t="s">
        <v>78</v>
      </c>
      <c r="N116" t="s">
        <v>79</v>
      </c>
      <c r="O116" t="s">
        <v>74</v>
      </c>
      <c r="P116" t="s">
        <v>74</v>
      </c>
      <c r="Q116" t="s">
        <v>74</v>
      </c>
      <c r="R116" t="s">
        <v>74</v>
      </c>
      <c r="S116" t="s">
        <v>74</v>
      </c>
      <c r="T116" t="s">
        <v>2353</v>
      </c>
      <c r="U116" t="s">
        <v>74</v>
      </c>
      <c r="V116" t="s">
        <v>2354</v>
      </c>
      <c r="W116" t="s">
        <v>2355</v>
      </c>
      <c r="X116" t="s">
        <v>2356</v>
      </c>
      <c r="Y116" t="s">
        <v>2357</v>
      </c>
      <c r="Z116" t="s">
        <v>74</v>
      </c>
      <c r="AA116" t="s">
        <v>2358</v>
      </c>
      <c r="AB116" t="s">
        <v>2359</v>
      </c>
      <c r="AC116" t="s">
        <v>2360</v>
      </c>
      <c r="AD116" t="s">
        <v>2361</v>
      </c>
      <c r="AE116" t="s">
        <v>2362</v>
      </c>
      <c r="AF116" t="s">
        <v>74</v>
      </c>
      <c r="AG116">
        <v>26</v>
      </c>
      <c r="AH116">
        <v>10</v>
      </c>
      <c r="AI116">
        <v>11</v>
      </c>
      <c r="AJ116">
        <v>0</v>
      </c>
      <c r="AK116">
        <v>9</v>
      </c>
      <c r="AL116" t="s">
        <v>851</v>
      </c>
      <c r="AM116" t="s">
        <v>310</v>
      </c>
      <c r="AN116" t="s">
        <v>852</v>
      </c>
      <c r="AO116" t="s">
        <v>2269</v>
      </c>
      <c r="AP116" t="s">
        <v>2270</v>
      </c>
      <c r="AQ116" t="s">
        <v>74</v>
      </c>
      <c r="AR116" t="s">
        <v>2271</v>
      </c>
      <c r="AS116" t="s">
        <v>2272</v>
      </c>
      <c r="AT116" t="s">
        <v>2226</v>
      </c>
      <c r="AU116">
        <v>2010</v>
      </c>
      <c r="AV116">
        <v>22</v>
      </c>
      <c r="AW116">
        <v>5</v>
      </c>
      <c r="AX116" t="s">
        <v>74</v>
      </c>
      <c r="AY116" t="s">
        <v>74</v>
      </c>
      <c r="AZ116" t="s">
        <v>74</v>
      </c>
      <c r="BA116" t="s">
        <v>74</v>
      </c>
      <c r="BB116">
        <v>572</v>
      </c>
      <c r="BC116">
        <v>579</v>
      </c>
      <c r="BD116" t="s">
        <v>74</v>
      </c>
      <c r="BE116" t="s">
        <v>2363</v>
      </c>
      <c r="BF116" t="str">
        <f>HYPERLINK("http://dx.doi.org/10.1017/S0954102010000325","http://dx.doi.org/10.1017/S0954102010000325")</f>
        <v>http://dx.doi.org/10.1017/S0954102010000325</v>
      </c>
      <c r="BG116" t="s">
        <v>74</v>
      </c>
      <c r="BH116" t="s">
        <v>74</v>
      </c>
      <c r="BI116">
        <v>8</v>
      </c>
      <c r="BJ116" t="s">
        <v>755</v>
      </c>
      <c r="BK116" t="s">
        <v>100</v>
      </c>
      <c r="BL116" t="s">
        <v>756</v>
      </c>
      <c r="BM116" t="s">
        <v>2274</v>
      </c>
      <c r="BN116" t="s">
        <v>74</v>
      </c>
      <c r="BO116" t="s">
        <v>134</v>
      </c>
      <c r="BP116" t="s">
        <v>74</v>
      </c>
      <c r="BQ116" t="s">
        <v>74</v>
      </c>
      <c r="BR116" t="s">
        <v>104</v>
      </c>
      <c r="BS116" t="s">
        <v>2364</v>
      </c>
      <c r="BT116" t="str">
        <f>HYPERLINK("https%3A%2F%2Fwww.webofscience.com%2Fwos%2Fwoscc%2Ffull-record%2FWOS:000283698200013","View Full Record in Web of Science")</f>
        <v>View Full Record in Web of Science</v>
      </c>
    </row>
    <row r="117" spans="1:72" x14ac:dyDescent="0.15">
      <c r="A117" t="s">
        <v>72</v>
      </c>
      <c r="B117" t="s">
        <v>2365</v>
      </c>
      <c r="C117" t="s">
        <v>74</v>
      </c>
      <c r="D117" t="s">
        <v>74</v>
      </c>
      <c r="E117" t="s">
        <v>74</v>
      </c>
      <c r="F117" t="s">
        <v>2366</v>
      </c>
      <c r="G117" t="s">
        <v>74</v>
      </c>
      <c r="H117" t="s">
        <v>74</v>
      </c>
      <c r="I117" t="s">
        <v>2367</v>
      </c>
      <c r="J117" t="s">
        <v>2257</v>
      </c>
      <c r="K117" t="s">
        <v>74</v>
      </c>
      <c r="L117" t="s">
        <v>74</v>
      </c>
      <c r="M117" t="s">
        <v>78</v>
      </c>
      <c r="N117" t="s">
        <v>79</v>
      </c>
      <c r="O117" t="s">
        <v>74</v>
      </c>
      <c r="P117" t="s">
        <v>74</v>
      </c>
      <c r="Q117" t="s">
        <v>74</v>
      </c>
      <c r="R117" t="s">
        <v>74</v>
      </c>
      <c r="S117" t="s">
        <v>74</v>
      </c>
      <c r="T117" t="s">
        <v>2368</v>
      </c>
      <c r="U117" t="s">
        <v>2369</v>
      </c>
      <c r="V117" t="s">
        <v>2370</v>
      </c>
      <c r="W117" t="s">
        <v>2371</v>
      </c>
      <c r="X117" t="s">
        <v>2372</v>
      </c>
      <c r="Y117" t="s">
        <v>2373</v>
      </c>
      <c r="Z117" t="s">
        <v>74</v>
      </c>
      <c r="AA117" t="s">
        <v>2374</v>
      </c>
      <c r="AB117" t="s">
        <v>2375</v>
      </c>
      <c r="AC117" t="s">
        <v>2376</v>
      </c>
      <c r="AD117" t="s">
        <v>2377</v>
      </c>
      <c r="AE117" t="s">
        <v>2378</v>
      </c>
      <c r="AF117" t="s">
        <v>74</v>
      </c>
      <c r="AG117">
        <v>44</v>
      </c>
      <c r="AH117">
        <v>2</v>
      </c>
      <c r="AI117">
        <v>2</v>
      </c>
      <c r="AJ117">
        <v>1</v>
      </c>
      <c r="AK117">
        <v>13</v>
      </c>
      <c r="AL117" t="s">
        <v>851</v>
      </c>
      <c r="AM117" t="s">
        <v>310</v>
      </c>
      <c r="AN117" t="s">
        <v>852</v>
      </c>
      <c r="AO117" t="s">
        <v>2269</v>
      </c>
      <c r="AP117" t="s">
        <v>2270</v>
      </c>
      <c r="AQ117" t="s">
        <v>74</v>
      </c>
      <c r="AR117" t="s">
        <v>2271</v>
      </c>
      <c r="AS117" t="s">
        <v>2272</v>
      </c>
      <c r="AT117" t="s">
        <v>2226</v>
      </c>
      <c r="AU117">
        <v>2010</v>
      </c>
      <c r="AV117">
        <v>22</v>
      </c>
      <c r="AW117">
        <v>5</v>
      </c>
      <c r="AX117" t="s">
        <v>74</v>
      </c>
      <c r="AY117" t="s">
        <v>74</v>
      </c>
      <c r="AZ117" t="s">
        <v>74</v>
      </c>
      <c r="BA117" t="s">
        <v>74</v>
      </c>
      <c r="BB117">
        <v>580</v>
      </c>
      <c r="BC117">
        <v>588</v>
      </c>
      <c r="BD117" t="s">
        <v>74</v>
      </c>
      <c r="BE117" t="s">
        <v>2379</v>
      </c>
      <c r="BF117" t="str">
        <f>HYPERLINK("http://dx.doi.org/10.1017/S0954102010000398","http://dx.doi.org/10.1017/S0954102010000398")</f>
        <v>http://dx.doi.org/10.1017/S0954102010000398</v>
      </c>
      <c r="BG117" t="s">
        <v>74</v>
      </c>
      <c r="BH117" t="s">
        <v>74</v>
      </c>
      <c r="BI117">
        <v>9</v>
      </c>
      <c r="BJ117" t="s">
        <v>755</v>
      </c>
      <c r="BK117" t="s">
        <v>100</v>
      </c>
      <c r="BL117" t="s">
        <v>756</v>
      </c>
      <c r="BM117" t="s">
        <v>2274</v>
      </c>
      <c r="BN117" t="s">
        <v>74</v>
      </c>
      <c r="BO117" t="s">
        <v>134</v>
      </c>
      <c r="BP117" t="s">
        <v>74</v>
      </c>
      <c r="BQ117" t="s">
        <v>74</v>
      </c>
      <c r="BR117" t="s">
        <v>104</v>
      </c>
      <c r="BS117" t="s">
        <v>2380</v>
      </c>
      <c r="BT117" t="str">
        <f>HYPERLINK("https%3A%2F%2Fwww.webofscience.com%2Fwos%2Fwoscc%2Ffull-record%2FWOS:000283698200014","View Full Record in Web of Science")</f>
        <v>View Full Record in Web of Science</v>
      </c>
    </row>
    <row r="118" spans="1:72" x14ac:dyDescent="0.15">
      <c r="A118" t="s">
        <v>72</v>
      </c>
      <c r="B118" t="s">
        <v>2381</v>
      </c>
      <c r="C118" t="s">
        <v>74</v>
      </c>
      <c r="D118" t="s">
        <v>74</v>
      </c>
      <c r="E118" t="s">
        <v>74</v>
      </c>
      <c r="F118" t="s">
        <v>2382</v>
      </c>
      <c r="G118" t="s">
        <v>74</v>
      </c>
      <c r="H118" t="s">
        <v>74</v>
      </c>
      <c r="I118" t="s">
        <v>2383</v>
      </c>
      <c r="J118" t="s">
        <v>2384</v>
      </c>
      <c r="K118" t="s">
        <v>74</v>
      </c>
      <c r="L118" t="s">
        <v>74</v>
      </c>
      <c r="M118" t="s">
        <v>78</v>
      </c>
      <c r="N118" t="s">
        <v>79</v>
      </c>
      <c r="O118" t="s">
        <v>74</v>
      </c>
      <c r="P118" t="s">
        <v>74</v>
      </c>
      <c r="Q118" t="s">
        <v>74</v>
      </c>
      <c r="R118" t="s">
        <v>74</v>
      </c>
      <c r="S118" t="s">
        <v>74</v>
      </c>
      <c r="T118" t="s">
        <v>2385</v>
      </c>
      <c r="U118" t="s">
        <v>2386</v>
      </c>
      <c r="V118" t="s">
        <v>2387</v>
      </c>
      <c r="W118" t="s">
        <v>2388</v>
      </c>
      <c r="X118" t="s">
        <v>2389</v>
      </c>
      <c r="Y118" t="s">
        <v>2390</v>
      </c>
      <c r="Z118" t="s">
        <v>2391</v>
      </c>
      <c r="AA118" t="s">
        <v>74</v>
      </c>
      <c r="AB118" t="s">
        <v>74</v>
      </c>
      <c r="AC118" t="s">
        <v>2392</v>
      </c>
      <c r="AD118" t="s">
        <v>2392</v>
      </c>
      <c r="AE118" t="s">
        <v>2393</v>
      </c>
      <c r="AF118" t="s">
        <v>74</v>
      </c>
      <c r="AG118">
        <v>20</v>
      </c>
      <c r="AH118">
        <v>9</v>
      </c>
      <c r="AI118">
        <v>10</v>
      </c>
      <c r="AJ118">
        <v>0</v>
      </c>
      <c r="AK118">
        <v>7</v>
      </c>
      <c r="AL118" t="s">
        <v>2394</v>
      </c>
      <c r="AM118" t="s">
        <v>2395</v>
      </c>
      <c r="AN118" t="s">
        <v>2396</v>
      </c>
      <c r="AO118" t="s">
        <v>2397</v>
      </c>
      <c r="AP118" t="s">
        <v>2398</v>
      </c>
      <c r="AQ118" t="s">
        <v>74</v>
      </c>
      <c r="AR118" t="s">
        <v>2399</v>
      </c>
      <c r="AS118" t="s">
        <v>2400</v>
      </c>
      <c r="AT118" t="s">
        <v>2226</v>
      </c>
      <c r="AU118">
        <v>2010</v>
      </c>
      <c r="AV118">
        <v>105</v>
      </c>
      <c r="AW118">
        <v>5</v>
      </c>
      <c r="AX118" t="s">
        <v>74</v>
      </c>
      <c r="AY118" t="s">
        <v>74</v>
      </c>
      <c r="AZ118" t="s">
        <v>74</v>
      </c>
      <c r="BA118" t="s">
        <v>74</v>
      </c>
      <c r="BB118">
        <v>262</v>
      </c>
      <c r="BC118">
        <v>267</v>
      </c>
      <c r="BD118" t="s">
        <v>74</v>
      </c>
      <c r="BE118" t="s">
        <v>2401</v>
      </c>
      <c r="BF118" t="str">
        <f>HYPERLINK("http://dx.doi.org/10.2465/jmps.100615b","http://dx.doi.org/10.2465/jmps.100615b")</f>
        <v>http://dx.doi.org/10.2465/jmps.100615b</v>
      </c>
      <c r="BG118" t="s">
        <v>74</v>
      </c>
      <c r="BH118" t="s">
        <v>74</v>
      </c>
      <c r="BI118">
        <v>6</v>
      </c>
      <c r="BJ118" t="s">
        <v>2402</v>
      </c>
      <c r="BK118" t="s">
        <v>100</v>
      </c>
      <c r="BL118" t="s">
        <v>2402</v>
      </c>
      <c r="BM118" t="s">
        <v>2403</v>
      </c>
      <c r="BN118" t="s">
        <v>74</v>
      </c>
      <c r="BO118" t="s">
        <v>394</v>
      </c>
      <c r="BP118" t="s">
        <v>74</v>
      </c>
      <c r="BQ118" t="s">
        <v>74</v>
      </c>
      <c r="BR118" t="s">
        <v>104</v>
      </c>
      <c r="BS118" t="s">
        <v>2404</v>
      </c>
      <c r="BT118" t="str">
        <f>HYPERLINK("https%3A%2F%2Fwww.webofscience.com%2Fwos%2Fwoscc%2Ffull-record%2FWOS:000283959000003","View Full Record in Web of Science")</f>
        <v>View Full Record in Web of Science</v>
      </c>
    </row>
    <row r="119" spans="1:72" x14ac:dyDescent="0.15">
      <c r="A119" t="s">
        <v>72</v>
      </c>
      <c r="B119" t="s">
        <v>2405</v>
      </c>
      <c r="C119" t="s">
        <v>74</v>
      </c>
      <c r="D119" t="s">
        <v>74</v>
      </c>
      <c r="E119" t="s">
        <v>74</v>
      </c>
      <c r="F119" t="s">
        <v>2406</v>
      </c>
      <c r="G119" t="s">
        <v>74</v>
      </c>
      <c r="H119" t="s">
        <v>74</v>
      </c>
      <c r="I119" t="s">
        <v>2407</v>
      </c>
      <c r="J119" t="s">
        <v>2408</v>
      </c>
      <c r="K119" t="s">
        <v>74</v>
      </c>
      <c r="L119" t="s">
        <v>74</v>
      </c>
      <c r="M119" t="s">
        <v>78</v>
      </c>
      <c r="N119" t="s">
        <v>79</v>
      </c>
      <c r="O119" t="s">
        <v>74</v>
      </c>
      <c r="P119" t="s">
        <v>74</v>
      </c>
      <c r="Q119" t="s">
        <v>74</v>
      </c>
      <c r="R119" t="s">
        <v>74</v>
      </c>
      <c r="S119" t="s">
        <v>74</v>
      </c>
      <c r="T119" t="s">
        <v>2409</v>
      </c>
      <c r="U119" t="s">
        <v>2410</v>
      </c>
      <c r="V119" t="s">
        <v>2411</v>
      </c>
      <c r="W119" t="s">
        <v>2412</v>
      </c>
      <c r="X119" t="s">
        <v>2413</v>
      </c>
      <c r="Y119" t="s">
        <v>2414</v>
      </c>
      <c r="Z119" t="s">
        <v>2415</v>
      </c>
      <c r="AA119" t="s">
        <v>2416</v>
      </c>
      <c r="AB119" t="s">
        <v>2417</v>
      </c>
      <c r="AC119" t="s">
        <v>2418</v>
      </c>
      <c r="AD119" t="s">
        <v>2418</v>
      </c>
      <c r="AE119" t="s">
        <v>2419</v>
      </c>
      <c r="AF119" t="s">
        <v>74</v>
      </c>
      <c r="AG119">
        <v>40</v>
      </c>
      <c r="AH119">
        <v>28</v>
      </c>
      <c r="AI119">
        <v>33</v>
      </c>
      <c r="AJ119">
        <v>1</v>
      </c>
      <c r="AK119">
        <v>16</v>
      </c>
      <c r="AL119" t="s">
        <v>923</v>
      </c>
      <c r="AM119" t="s">
        <v>339</v>
      </c>
      <c r="AN119" t="s">
        <v>340</v>
      </c>
      <c r="AO119" t="s">
        <v>2420</v>
      </c>
      <c r="AP119" t="s">
        <v>2421</v>
      </c>
      <c r="AQ119" t="s">
        <v>74</v>
      </c>
      <c r="AR119" t="s">
        <v>2422</v>
      </c>
      <c r="AS119" t="s">
        <v>2423</v>
      </c>
      <c r="AT119" t="s">
        <v>2226</v>
      </c>
      <c r="AU119">
        <v>2010</v>
      </c>
      <c r="AV119">
        <v>25</v>
      </c>
      <c r="AW119">
        <v>7</v>
      </c>
      <c r="AX119" t="s">
        <v>74</v>
      </c>
      <c r="AY119" t="s">
        <v>74</v>
      </c>
      <c r="AZ119" t="s">
        <v>74</v>
      </c>
      <c r="BA119" t="s">
        <v>74</v>
      </c>
      <c r="BB119">
        <v>1179</v>
      </c>
      <c r="BC119">
        <v>1188</v>
      </c>
      <c r="BD119" t="s">
        <v>74</v>
      </c>
      <c r="BE119" t="s">
        <v>2424</v>
      </c>
      <c r="BF119" t="str">
        <f>HYPERLINK("http://dx.doi.org/10.1002/jqs.1398","http://dx.doi.org/10.1002/jqs.1398")</f>
        <v>http://dx.doi.org/10.1002/jqs.1398</v>
      </c>
      <c r="BG119" t="s">
        <v>74</v>
      </c>
      <c r="BH119" t="s">
        <v>74</v>
      </c>
      <c r="BI119">
        <v>10</v>
      </c>
      <c r="BJ119" t="s">
        <v>1409</v>
      </c>
      <c r="BK119" t="s">
        <v>100</v>
      </c>
      <c r="BL119" t="s">
        <v>1410</v>
      </c>
      <c r="BM119" t="s">
        <v>2425</v>
      </c>
      <c r="BN119" t="s">
        <v>74</v>
      </c>
      <c r="BO119" t="s">
        <v>74</v>
      </c>
      <c r="BP119" t="s">
        <v>74</v>
      </c>
      <c r="BQ119" t="s">
        <v>74</v>
      </c>
      <c r="BR119" t="s">
        <v>104</v>
      </c>
      <c r="BS119" t="s">
        <v>2426</v>
      </c>
      <c r="BT119" t="str">
        <f>HYPERLINK("https%3A%2F%2Fwww.webofscience.com%2Fwos%2Fwoscc%2Ffull-record%2FWOS:000283697100013","View Full Record in Web of Science")</f>
        <v>View Full Record in Web of Science</v>
      </c>
    </row>
    <row r="120" spans="1:72" x14ac:dyDescent="0.15">
      <c r="A120" t="s">
        <v>72</v>
      </c>
      <c r="B120" t="s">
        <v>2427</v>
      </c>
      <c r="C120" t="s">
        <v>74</v>
      </c>
      <c r="D120" t="s">
        <v>74</v>
      </c>
      <c r="E120" t="s">
        <v>74</v>
      </c>
      <c r="F120" t="s">
        <v>2428</v>
      </c>
      <c r="G120" t="s">
        <v>74</v>
      </c>
      <c r="H120" t="s">
        <v>74</v>
      </c>
      <c r="I120" t="s">
        <v>2429</v>
      </c>
      <c r="J120" t="s">
        <v>2430</v>
      </c>
      <c r="K120" t="s">
        <v>74</v>
      </c>
      <c r="L120" t="s">
        <v>74</v>
      </c>
      <c r="M120" t="s">
        <v>78</v>
      </c>
      <c r="N120" t="s">
        <v>79</v>
      </c>
      <c r="O120" t="s">
        <v>74</v>
      </c>
      <c r="P120" t="s">
        <v>74</v>
      </c>
      <c r="Q120" t="s">
        <v>74</v>
      </c>
      <c r="R120" t="s">
        <v>74</v>
      </c>
      <c r="S120" t="s">
        <v>74</v>
      </c>
      <c r="T120" t="s">
        <v>2431</v>
      </c>
      <c r="U120" t="s">
        <v>2432</v>
      </c>
      <c r="V120" t="s">
        <v>2433</v>
      </c>
      <c r="W120" t="s">
        <v>2434</v>
      </c>
      <c r="X120" t="s">
        <v>2435</v>
      </c>
      <c r="Y120" t="s">
        <v>2436</v>
      </c>
      <c r="Z120" t="s">
        <v>2437</v>
      </c>
      <c r="AA120" t="s">
        <v>74</v>
      </c>
      <c r="AB120" t="s">
        <v>74</v>
      </c>
      <c r="AC120" t="s">
        <v>74</v>
      </c>
      <c r="AD120" t="s">
        <v>74</v>
      </c>
      <c r="AE120" t="s">
        <v>74</v>
      </c>
      <c r="AF120" t="s">
        <v>74</v>
      </c>
      <c r="AG120">
        <v>51</v>
      </c>
      <c r="AH120">
        <v>17</v>
      </c>
      <c r="AI120">
        <v>17</v>
      </c>
      <c r="AJ120">
        <v>0</v>
      </c>
      <c r="AK120">
        <v>2</v>
      </c>
      <c r="AL120" t="s">
        <v>2438</v>
      </c>
      <c r="AM120" t="s">
        <v>265</v>
      </c>
      <c r="AN120" t="s">
        <v>2439</v>
      </c>
      <c r="AO120" t="s">
        <v>2440</v>
      </c>
      <c r="AP120" t="s">
        <v>2441</v>
      </c>
      <c r="AQ120" t="s">
        <v>74</v>
      </c>
      <c r="AR120" t="s">
        <v>2442</v>
      </c>
      <c r="AS120" t="s">
        <v>2443</v>
      </c>
      <c r="AT120" t="s">
        <v>2444</v>
      </c>
      <c r="AU120">
        <v>2010</v>
      </c>
      <c r="AV120">
        <v>46</v>
      </c>
      <c r="AW120">
        <v>7</v>
      </c>
      <c r="AX120" t="s">
        <v>74</v>
      </c>
      <c r="AY120" t="s">
        <v>74</v>
      </c>
      <c r="AZ120" t="s">
        <v>74</v>
      </c>
      <c r="BA120" t="s">
        <v>74</v>
      </c>
      <c r="BB120">
        <v>934</v>
      </c>
      <c r="BC120">
        <v>941</v>
      </c>
      <c r="BD120" t="s">
        <v>74</v>
      </c>
      <c r="BE120" t="s">
        <v>2445</v>
      </c>
      <c r="BF120" t="str">
        <f>HYPERLINK("http://dx.doi.org/10.1016/j.asr.2010.04.008","http://dx.doi.org/10.1016/j.asr.2010.04.008")</f>
        <v>http://dx.doi.org/10.1016/j.asr.2010.04.008</v>
      </c>
      <c r="BG120" t="s">
        <v>74</v>
      </c>
      <c r="BH120" t="s">
        <v>74</v>
      </c>
      <c r="BI120">
        <v>8</v>
      </c>
      <c r="BJ120" t="s">
        <v>2446</v>
      </c>
      <c r="BK120" t="s">
        <v>100</v>
      </c>
      <c r="BL120" t="s">
        <v>2447</v>
      </c>
      <c r="BM120" t="s">
        <v>2448</v>
      </c>
      <c r="BN120" t="s">
        <v>74</v>
      </c>
      <c r="BO120" t="s">
        <v>74</v>
      </c>
      <c r="BP120" t="s">
        <v>74</v>
      </c>
      <c r="BQ120" t="s">
        <v>74</v>
      </c>
      <c r="BR120" t="s">
        <v>104</v>
      </c>
      <c r="BS120" t="s">
        <v>2449</v>
      </c>
      <c r="BT120" t="str">
        <f>HYPERLINK("https%3A%2F%2Fwww.webofscience.com%2Fwos%2Fwoscc%2Ffull-record%2FWOS:000281922300010","View Full Record in Web of Science")</f>
        <v>View Full Record in Web of Science</v>
      </c>
    </row>
    <row r="121" spans="1:72" x14ac:dyDescent="0.15">
      <c r="A121" t="s">
        <v>72</v>
      </c>
      <c r="B121" t="s">
        <v>2450</v>
      </c>
      <c r="C121" t="s">
        <v>74</v>
      </c>
      <c r="D121" t="s">
        <v>74</v>
      </c>
      <c r="E121" t="s">
        <v>74</v>
      </c>
      <c r="F121" t="s">
        <v>2451</v>
      </c>
      <c r="G121" t="s">
        <v>74</v>
      </c>
      <c r="H121" t="s">
        <v>74</v>
      </c>
      <c r="I121" t="s">
        <v>2452</v>
      </c>
      <c r="J121" t="s">
        <v>2430</v>
      </c>
      <c r="K121" t="s">
        <v>74</v>
      </c>
      <c r="L121" t="s">
        <v>74</v>
      </c>
      <c r="M121" t="s">
        <v>78</v>
      </c>
      <c r="N121" t="s">
        <v>79</v>
      </c>
      <c r="O121" t="s">
        <v>74</v>
      </c>
      <c r="P121" t="s">
        <v>74</v>
      </c>
      <c r="Q121" t="s">
        <v>74</v>
      </c>
      <c r="R121" t="s">
        <v>74</v>
      </c>
      <c r="S121" t="s">
        <v>74</v>
      </c>
      <c r="T121" t="s">
        <v>2453</v>
      </c>
      <c r="U121" t="s">
        <v>74</v>
      </c>
      <c r="V121" t="s">
        <v>2454</v>
      </c>
      <c r="W121" t="s">
        <v>2455</v>
      </c>
      <c r="X121" t="s">
        <v>2456</v>
      </c>
      <c r="Y121" t="s">
        <v>2457</v>
      </c>
      <c r="Z121" t="s">
        <v>2458</v>
      </c>
      <c r="AA121" t="s">
        <v>2459</v>
      </c>
      <c r="AB121" t="s">
        <v>2460</v>
      </c>
      <c r="AC121" t="s">
        <v>74</v>
      </c>
      <c r="AD121" t="s">
        <v>74</v>
      </c>
      <c r="AE121" t="s">
        <v>74</v>
      </c>
      <c r="AF121" t="s">
        <v>74</v>
      </c>
      <c r="AG121">
        <v>1</v>
      </c>
      <c r="AH121">
        <v>0</v>
      </c>
      <c r="AI121">
        <v>0</v>
      </c>
      <c r="AJ121">
        <v>0</v>
      </c>
      <c r="AK121">
        <v>4</v>
      </c>
      <c r="AL121" t="s">
        <v>2438</v>
      </c>
      <c r="AM121" t="s">
        <v>265</v>
      </c>
      <c r="AN121" t="s">
        <v>2439</v>
      </c>
      <c r="AO121" t="s">
        <v>2440</v>
      </c>
      <c r="AP121" t="s">
        <v>74</v>
      </c>
      <c r="AQ121" t="s">
        <v>74</v>
      </c>
      <c r="AR121" t="s">
        <v>2442</v>
      </c>
      <c r="AS121" t="s">
        <v>2443</v>
      </c>
      <c r="AT121" t="s">
        <v>2444</v>
      </c>
      <c r="AU121">
        <v>2010</v>
      </c>
      <c r="AV121">
        <v>46</v>
      </c>
      <c r="AW121">
        <v>7</v>
      </c>
      <c r="AX121" t="s">
        <v>74</v>
      </c>
      <c r="AY121" t="s">
        <v>74</v>
      </c>
      <c r="AZ121" t="s">
        <v>74</v>
      </c>
      <c r="BA121" t="s">
        <v>74</v>
      </c>
      <c r="BB121">
        <v>960</v>
      </c>
      <c r="BC121">
        <v>967</v>
      </c>
      <c r="BD121" t="s">
        <v>74</v>
      </c>
      <c r="BE121" t="s">
        <v>2461</v>
      </c>
      <c r="BF121" t="str">
        <f>HYPERLINK("http://dx.doi.org/10.1016/j.asr.2010.04.037","http://dx.doi.org/10.1016/j.asr.2010.04.037")</f>
        <v>http://dx.doi.org/10.1016/j.asr.2010.04.037</v>
      </c>
      <c r="BG121" t="s">
        <v>74</v>
      </c>
      <c r="BH121" t="s">
        <v>74</v>
      </c>
      <c r="BI121">
        <v>8</v>
      </c>
      <c r="BJ121" t="s">
        <v>2446</v>
      </c>
      <c r="BK121" t="s">
        <v>100</v>
      </c>
      <c r="BL121" t="s">
        <v>2447</v>
      </c>
      <c r="BM121" t="s">
        <v>2448</v>
      </c>
      <c r="BN121" t="s">
        <v>74</v>
      </c>
      <c r="BO121" t="s">
        <v>74</v>
      </c>
      <c r="BP121" t="s">
        <v>74</v>
      </c>
      <c r="BQ121" t="s">
        <v>74</v>
      </c>
      <c r="BR121" t="s">
        <v>104</v>
      </c>
      <c r="BS121" t="s">
        <v>2462</v>
      </c>
      <c r="BT121" t="str">
        <f>HYPERLINK("https%3A%2F%2Fwww.webofscience.com%2Fwos%2Fwoscc%2Ffull-record%2FWOS:000281922300012","View Full Record in Web of Science")</f>
        <v>View Full Record in Web of Science</v>
      </c>
    </row>
    <row r="122" spans="1:72" x14ac:dyDescent="0.15">
      <c r="A122" t="s">
        <v>72</v>
      </c>
      <c r="B122" t="s">
        <v>2463</v>
      </c>
      <c r="C122" t="s">
        <v>74</v>
      </c>
      <c r="D122" t="s">
        <v>74</v>
      </c>
      <c r="E122" t="s">
        <v>74</v>
      </c>
      <c r="F122" t="s">
        <v>2464</v>
      </c>
      <c r="G122" t="s">
        <v>74</v>
      </c>
      <c r="H122" t="s">
        <v>74</v>
      </c>
      <c r="I122" t="s">
        <v>2465</v>
      </c>
      <c r="J122" t="s">
        <v>2466</v>
      </c>
      <c r="K122" t="s">
        <v>74</v>
      </c>
      <c r="L122" t="s">
        <v>74</v>
      </c>
      <c r="M122" t="s">
        <v>78</v>
      </c>
      <c r="N122" t="s">
        <v>79</v>
      </c>
      <c r="O122" t="s">
        <v>74</v>
      </c>
      <c r="P122" t="s">
        <v>74</v>
      </c>
      <c r="Q122" t="s">
        <v>74</v>
      </c>
      <c r="R122" t="s">
        <v>74</v>
      </c>
      <c r="S122" t="s">
        <v>74</v>
      </c>
      <c r="T122" t="s">
        <v>2467</v>
      </c>
      <c r="U122" t="s">
        <v>2468</v>
      </c>
      <c r="V122" t="s">
        <v>2469</v>
      </c>
      <c r="W122" t="s">
        <v>2470</v>
      </c>
      <c r="X122" t="s">
        <v>2471</v>
      </c>
      <c r="Y122" t="s">
        <v>2472</v>
      </c>
      <c r="Z122" t="s">
        <v>2473</v>
      </c>
      <c r="AA122" t="s">
        <v>2474</v>
      </c>
      <c r="AB122" t="s">
        <v>2475</v>
      </c>
      <c r="AC122" t="s">
        <v>74</v>
      </c>
      <c r="AD122" t="s">
        <v>74</v>
      </c>
      <c r="AE122" t="s">
        <v>74</v>
      </c>
      <c r="AF122" t="s">
        <v>74</v>
      </c>
      <c r="AG122">
        <v>43</v>
      </c>
      <c r="AH122">
        <v>8</v>
      </c>
      <c r="AI122">
        <v>9</v>
      </c>
      <c r="AJ122">
        <v>1</v>
      </c>
      <c r="AK122">
        <v>4</v>
      </c>
      <c r="AL122" t="s">
        <v>923</v>
      </c>
      <c r="AM122" t="s">
        <v>339</v>
      </c>
      <c r="AN122" t="s">
        <v>340</v>
      </c>
      <c r="AO122" t="s">
        <v>2476</v>
      </c>
      <c r="AP122" t="s">
        <v>2477</v>
      </c>
      <c r="AQ122" t="s">
        <v>74</v>
      </c>
      <c r="AR122" t="s">
        <v>2478</v>
      </c>
      <c r="AS122" t="s">
        <v>2479</v>
      </c>
      <c r="AT122" t="s">
        <v>2226</v>
      </c>
      <c r="AU122">
        <v>2010</v>
      </c>
      <c r="AV122">
        <v>293</v>
      </c>
      <c r="AW122">
        <v>10</v>
      </c>
      <c r="AX122" t="s">
        <v>74</v>
      </c>
      <c r="AY122" t="s">
        <v>74</v>
      </c>
      <c r="AZ122" t="s">
        <v>74</v>
      </c>
      <c r="BA122" t="s">
        <v>74</v>
      </c>
      <c r="BB122">
        <v>1692</v>
      </c>
      <c r="BC122">
        <v>1697</v>
      </c>
      <c r="BD122" t="s">
        <v>74</v>
      </c>
      <c r="BE122" t="s">
        <v>2480</v>
      </c>
      <c r="BF122" t="str">
        <f>HYPERLINK("http://dx.doi.org/10.1002/ar.21238","http://dx.doi.org/10.1002/ar.21238")</f>
        <v>http://dx.doi.org/10.1002/ar.21238</v>
      </c>
      <c r="BG122" t="s">
        <v>74</v>
      </c>
      <c r="BH122" t="s">
        <v>74</v>
      </c>
      <c r="BI122">
        <v>6</v>
      </c>
      <c r="BJ122" t="s">
        <v>2481</v>
      </c>
      <c r="BK122" t="s">
        <v>100</v>
      </c>
      <c r="BL122" t="s">
        <v>2481</v>
      </c>
      <c r="BM122" t="s">
        <v>2482</v>
      </c>
      <c r="BN122">
        <v>20730860</v>
      </c>
      <c r="BO122" t="s">
        <v>394</v>
      </c>
      <c r="BP122" t="s">
        <v>74</v>
      </c>
      <c r="BQ122" t="s">
        <v>74</v>
      </c>
      <c r="BR122" t="s">
        <v>104</v>
      </c>
      <c r="BS122" t="s">
        <v>2483</v>
      </c>
      <c r="BT122" t="str">
        <f>HYPERLINK("https%3A%2F%2Fwww.webofscience.com%2Fwos%2Fwoscc%2Ffull-record%2FWOS:000283272600007","View Full Record in Web of Science")</f>
        <v>View Full Record in Web of Science</v>
      </c>
    </row>
    <row r="123" spans="1:72" x14ac:dyDescent="0.15">
      <c r="A123" t="s">
        <v>72</v>
      </c>
      <c r="B123" t="s">
        <v>2484</v>
      </c>
      <c r="C123" t="s">
        <v>74</v>
      </c>
      <c r="D123" t="s">
        <v>74</v>
      </c>
      <c r="E123" t="s">
        <v>74</v>
      </c>
      <c r="F123" t="s">
        <v>2485</v>
      </c>
      <c r="G123" t="s">
        <v>74</v>
      </c>
      <c r="H123" t="s">
        <v>74</v>
      </c>
      <c r="I123" t="s">
        <v>2486</v>
      </c>
      <c r="J123" t="s">
        <v>2257</v>
      </c>
      <c r="K123" t="s">
        <v>74</v>
      </c>
      <c r="L123" t="s">
        <v>74</v>
      </c>
      <c r="M123" t="s">
        <v>78</v>
      </c>
      <c r="N123" t="s">
        <v>220</v>
      </c>
      <c r="O123" t="s">
        <v>74</v>
      </c>
      <c r="P123" t="s">
        <v>74</v>
      </c>
      <c r="Q123" t="s">
        <v>74</v>
      </c>
      <c r="R123" t="s">
        <v>74</v>
      </c>
      <c r="S123" t="s">
        <v>74</v>
      </c>
      <c r="T123" t="s">
        <v>74</v>
      </c>
      <c r="U123" t="s">
        <v>74</v>
      </c>
      <c r="V123" t="s">
        <v>74</v>
      </c>
      <c r="W123" t="s">
        <v>74</v>
      </c>
      <c r="X123" t="s">
        <v>74</v>
      </c>
      <c r="Y123" t="s">
        <v>74</v>
      </c>
      <c r="Z123" t="s">
        <v>74</v>
      </c>
      <c r="AA123" t="s">
        <v>2487</v>
      </c>
      <c r="AB123" t="s">
        <v>74</v>
      </c>
      <c r="AC123" t="s">
        <v>2488</v>
      </c>
      <c r="AD123" t="s">
        <v>337</v>
      </c>
      <c r="AE123" t="s">
        <v>74</v>
      </c>
      <c r="AF123" t="s">
        <v>74</v>
      </c>
      <c r="AG123">
        <v>0</v>
      </c>
      <c r="AH123">
        <v>0</v>
      </c>
      <c r="AI123">
        <v>0</v>
      </c>
      <c r="AJ123">
        <v>0</v>
      </c>
      <c r="AK123">
        <v>1</v>
      </c>
      <c r="AL123" t="s">
        <v>851</v>
      </c>
      <c r="AM123" t="s">
        <v>310</v>
      </c>
      <c r="AN123" t="s">
        <v>852</v>
      </c>
      <c r="AO123" t="s">
        <v>2269</v>
      </c>
      <c r="AP123" t="s">
        <v>74</v>
      </c>
      <c r="AQ123" t="s">
        <v>74</v>
      </c>
      <c r="AR123" t="s">
        <v>2271</v>
      </c>
      <c r="AS123" t="s">
        <v>2272</v>
      </c>
      <c r="AT123" t="s">
        <v>2226</v>
      </c>
      <c r="AU123">
        <v>2010</v>
      </c>
      <c r="AV123">
        <v>22</v>
      </c>
      <c r="AW123">
        <v>5</v>
      </c>
      <c r="AX123" t="s">
        <v>74</v>
      </c>
      <c r="AY123" t="s">
        <v>74</v>
      </c>
      <c r="AZ123" t="s">
        <v>74</v>
      </c>
      <c r="BA123" t="s">
        <v>74</v>
      </c>
      <c r="BB123">
        <v>461</v>
      </c>
      <c r="BC123">
        <v>461</v>
      </c>
      <c r="BD123" t="s">
        <v>74</v>
      </c>
      <c r="BE123" t="s">
        <v>2489</v>
      </c>
      <c r="BF123" t="str">
        <f>HYPERLINK("http://dx.doi.org/10.1017/S0954102010000714","http://dx.doi.org/10.1017/S0954102010000714")</f>
        <v>http://dx.doi.org/10.1017/S0954102010000714</v>
      </c>
      <c r="BG123" t="s">
        <v>74</v>
      </c>
      <c r="BH123" t="s">
        <v>74</v>
      </c>
      <c r="BI123">
        <v>1</v>
      </c>
      <c r="BJ123" t="s">
        <v>755</v>
      </c>
      <c r="BK123" t="s">
        <v>100</v>
      </c>
      <c r="BL123" t="s">
        <v>756</v>
      </c>
      <c r="BM123" t="s">
        <v>2274</v>
      </c>
      <c r="BN123" t="s">
        <v>74</v>
      </c>
      <c r="BO123" t="s">
        <v>394</v>
      </c>
      <c r="BP123" t="s">
        <v>74</v>
      </c>
      <c r="BQ123" t="s">
        <v>74</v>
      </c>
      <c r="BR123" t="s">
        <v>104</v>
      </c>
      <c r="BS123" t="s">
        <v>2490</v>
      </c>
      <c r="BT123" t="str">
        <f>HYPERLINK("https%3A%2F%2Fwww.webofscience.com%2Fwos%2Fwoscc%2Ffull-record%2FWOS:000283698200001","View Full Record in Web of Science")</f>
        <v>View Full Record in Web of Science</v>
      </c>
    </row>
    <row r="124" spans="1:72" x14ac:dyDescent="0.15">
      <c r="A124" t="s">
        <v>72</v>
      </c>
      <c r="B124" t="s">
        <v>2491</v>
      </c>
      <c r="C124" t="s">
        <v>74</v>
      </c>
      <c r="D124" t="s">
        <v>74</v>
      </c>
      <c r="E124" t="s">
        <v>74</v>
      </c>
      <c r="F124" t="s">
        <v>2492</v>
      </c>
      <c r="G124" t="s">
        <v>74</v>
      </c>
      <c r="H124" t="s">
        <v>74</v>
      </c>
      <c r="I124" t="s">
        <v>2493</v>
      </c>
      <c r="J124" t="s">
        <v>2257</v>
      </c>
      <c r="K124" t="s">
        <v>74</v>
      </c>
      <c r="L124" t="s">
        <v>74</v>
      </c>
      <c r="M124" t="s">
        <v>78</v>
      </c>
      <c r="N124" t="s">
        <v>79</v>
      </c>
      <c r="O124" t="s">
        <v>74</v>
      </c>
      <c r="P124" t="s">
        <v>74</v>
      </c>
      <c r="Q124" t="s">
        <v>74</v>
      </c>
      <c r="R124" t="s">
        <v>74</v>
      </c>
      <c r="S124" t="s">
        <v>74</v>
      </c>
      <c r="T124" t="s">
        <v>2494</v>
      </c>
      <c r="U124" t="s">
        <v>2495</v>
      </c>
      <c r="V124" t="s">
        <v>2496</v>
      </c>
      <c r="W124" t="s">
        <v>2497</v>
      </c>
      <c r="X124" t="s">
        <v>2498</v>
      </c>
      <c r="Y124" t="s">
        <v>2499</v>
      </c>
      <c r="Z124" t="s">
        <v>74</v>
      </c>
      <c r="AA124" t="s">
        <v>2500</v>
      </c>
      <c r="AB124" t="s">
        <v>2501</v>
      </c>
      <c r="AC124" t="s">
        <v>2502</v>
      </c>
      <c r="AD124" t="s">
        <v>2503</v>
      </c>
      <c r="AE124" t="s">
        <v>2504</v>
      </c>
      <c r="AF124" t="s">
        <v>74</v>
      </c>
      <c r="AG124">
        <v>22</v>
      </c>
      <c r="AH124">
        <v>12</v>
      </c>
      <c r="AI124">
        <v>13</v>
      </c>
      <c r="AJ124">
        <v>0</v>
      </c>
      <c r="AK124">
        <v>6</v>
      </c>
      <c r="AL124" t="s">
        <v>851</v>
      </c>
      <c r="AM124" t="s">
        <v>310</v>
      </c>
      <c r="AN124" t="s">
        <v>852</v>
      </c>
      <c r="AO124" t="s">
        <v>2269</v>
      </c>
      <c r="AP124" t="s">
        <v>2270</v>
      </c>
      <c r="AQ124" t="s">
        <v>74</v>
      </c>
      <c r="AR124" t="s">
        <v>2271</v>
      </c>
      <c r="AS124" t="s">
        <v>2272</v>
      </c>
      <c r="AT124" t="s">
        <v>2226</v>
      </c>
      <c r="AU124">
        <v>2010</v>
      </c>
      <c r="AV124">
        <v>22</v>
      </c>
      <c r="AW124">
        <v>5</v>
      </c>
      <c r="AX124" t="s">
        <v>74</v>
      </c>
      <c r="AY124" t="s">
        <v>74</v>
      </c>
      <c r="AZ124" t="s">
        <v>74</v>
      </c>
      <c r="BA124" t="s">
        <v>74</v>
      </c>
      <c r="BB124">
        <v>463</v>
      </c>
      <c r="BC124">
        <v>469</v>
      </c>
      <c r="BD124" t="s">
        <v>74</v>
      </c>
      <c r="BE124" t="s">
        <v>2505</v>
      </c>
      <c r="BF124" t="str">
        <f>HYPERLINK("http://dx.doi.org/10.1017/S0954102010000295","http://dx.doi.org/10.1017/S0954102010000295")</f>
        <v>http://dx.doi.org/10.1017/S0954102010000295</v>
      </c>
      <c r="BG124" t="s">
        <v>74</v>
      </c>
      <c r="BH124" t="s">
        <v>74</v>
      </c>
      <c r="BI124">
        <v>7</v>
      </c>
      <c r="BJ124" t="s">
        <v>755</v>
      </c>
      <c r="BK124" t="s">
        <v>100</v>
      </c>
      <c r="BL124" t="s">
        <v>756</v>
      </c>
      <c r="BM124" t="s">
        <v>2274</v>
      </c>
      <c r="BN124" t="s">
        <v>74</v>
      </c>
      <c r="BO124" t="s">
        <v>74</v>
      </c>
      <c r="BP124" t="s">
        <v>74</v>
      </c>
      <c r="BQ124" t="s">
        <v>74</v>
      </c>
      <c r="BR124" t="s">
        <v>104</v>
      </c>
      <c r="BS124" t="s">
        <v>2506</v>
      </c>
      <c r="BT124" t="str">
        <f>HYPERLINK("https%3A%2F%2Fwww.webofscience.com%2Fwos%2Fwoscc%2Ffull-record%2FWOS:000283698200002","View Full Record in Web of Science")</f>
        <v>View Full Record in Web of Science</v>
      </c>
    </row>
    <row r="125" spans="1:72" x14ac:dyDescent="0.15">
      <c r="A125" t="s">
        <v>72</v>
      </c>
      <c r="B125" t="s">
        <v>2507</v>
      </c>
      <c r="C125" t="s">
        <v>74</v>
      </c>
      <c r="D125" t="s">
        <v>74</v>
      </c>
      <c r="E125" t="s">
        <v>74</v>
      </c>
      <c r="F125" t="s">
        <v>2508</v>
      </c>
      <c r="G125" t="s">
        <v>74</v>
      </c>
      <c r="H125" t="s">
        <v>74</v>
      </c>
      <c r="I125" t="s">
        <v>2509</v>
      </c>
      <c r="J125" t="s">
        <v>2257</v>
      </c>
      <c r="K125" t="s">
        <v>74</v>
      </c>
      <c r="L125" t="s">
        <v>74</v>
      </c>
      <c r="M125" t="s">
        <v>78</v>
      </c>
      <c r="N125" t="s">
        <v>79</v>
      </c>
      <c r="O125" t="s">
        <v>74</v>
      </c>
      <c r="P125" t="s">
        <v>74</v>
      </c>
      <c r="Q125" t="s">
        <v>74</v>
      </c>
      <c r="R125" t="s">
        <v>74</v>
      </c>
      <c r="S125" t="s">
        <v>74</v>
      </c>
      <c r="T125" t="s">
        <v>2510</v>
      </c>
      <c r="U125" t="s">
        <v>2511</v>
      </c>
      <c r="V125" t="s">
        <v>2512</v>
      </c>
      <c r="W125" t="s">
        <v>2513</v>
      </c>
      <c r="X125" t="s">
        <v>2514</v>
      </c>
      <c r="Y125" t="s">
        <v>2515</v>
      </c>
      <c r="Z125" t="s">
        <v>74</v>
      </c>
      <c r="AA125" t="s">
        <v>2516</v>
      </c>
      <c r="AB125" t="s">
        <v>2517</v>
      </c>
      <c r="AC125" t="s">
        <v>2518</v>
      </c>
      <c r="AD125" t="s">
        <v>289</v>
      </c>
      <c r="AE125" t="s">
        <v>2519</v>
      </c>
      <c r="AF125" t="s">
        <v>74</v>
      </c>
      <c r="AG125">
        <v>38</v>
      </c>
      <c r="AH125">
        <v>10</v>
      </c>
      <c r="AI125">
        <v>12</v>
      </c>
      <c r="AJ125">
        <v>0</v>
      </c>
      <c r="AK125">
        <v>17</v>
      </c>
      <c r="AL125" t="s">
        <v>851</v>
      </c>
      <c r="AM125" t="s">
        <v>310</v>
      </c>
      <c r="AN125" t="s">
        <v>852</v>
      </c>
      <c r="AO125" t="s">
        <v>2269</v>
      </c>
      <c r="AP125" t="s">
        <v>2270</v>
      </c>
      <c r="AQ125" t="s">
        <v>74</v>
      </c>
      <c r="AR125" t="s">
        <v>2271</v>
      </c>
      <c r="AS125" t="s">
        <v>2272</v>
      </c>
      <c r="AT125" t="s">
        <v>2226</v>
      </c>
      <c r="AU125">
        <v>2010</v>
      </c>
      <c r="AV125">
        <v>22</v>
      </c>
      <c r="AW125">
        <v>5</v>
      </c>
      <c r="AX125" t="s">
        <v>74</v>
      </c>
      <c r="AY125" t="s">
        <v>74</v>
      </c>
      <c r="AZ125" t="s">
        <v>74</v>
      </c>
      <c r="BA125" t="s">
        <v>74</v>
      </c>
      <c r="BB125">
        <v>470</v>
      </c>
      <c r="BC125">
        <v>476</v>
      </c>
      <c r="BD125" t="s">
        <v>74</v>
      </c>
      <c r="BE125" t="s">
        <v>2520</v>
      </c>
      <c r="BF125" t="str">
        <f>HYPERLINK("http://dx.doi.org/10.1017/S0954102010000404","http://dx.doi.org/10.1017/S0954102010000404")</f>
        <v>http://dx.doi.org/10.1017/S0954102010000404</v>
      </c>
      <c r="BG125" t="s">
        <v>74</v>
      </c>
      <c r="BH125" t="s">
        <v>74</v>
      </c>
      <c r="BI125">
        <v>7</v>
      </c>
      <c r="BJ125" t="s">
        <v>755</v>
      </c>
      <c r="BK125" t="s">
        <v>100</v>
      </c>
      <c r="BL125" t="s">
        <v>756</v>
      </c>
      <c r="BM125" t="s">
        <v>2274</v>
      </c>
      <c r="BN125" t="s">
        <v>74</v>
      </c>
      <c r="BO125" t="s">
        <v>134</v>
      </c>
      <c r="BP125" t="s">
        <v>74</v>
      </c>
      <c r="BQ125" t="s">
        <v>74</v>
      </c>
      <c r="BR125" t="s">
        <v>104</v>
      </c>
      <c r="BS125" t="s">
        <v>2521</v>
      </c>
      <c r="BT125" t="str">
        <f>HYPERLINK("https%3A%2F%2Fwww.webofscience.com%2Fwos%2Fwoscc%2Ffull-record%2FWOS:000283698200003","View Full Record in Web of Science")</f>
        <v>View Full Record in Web of Science</v>
      </c>
    </row>
    <row r="126" spans="1:72" x14ac:dyDescent="0.15">
      <c r="A126" t="s">
        <v>72</v>
      </c>
      <c r="B126" t="s">
        <v>2522</v>
      </c>
      <c r="C126" t="s">
        <v>74</v>
      </c>
      <c r="D126" t="s">
        <v>74</v>
      </c>
      <c r="E126" t="s">
        <v>74</v>
      </c>
      <c r="F126" t="s">
        <v>2523</v>
      </c>
      <c r="G126" t="s">
        <v>74</v>
      </c>
      <c r="H126" t="s">
        <v>74</v>
      </c>
      <c r="I126" t="s">
        <v>2524</v>
      </c>
      <c r="J126" t="s">
        <v>2257</v>
      </c>
      <c r="K126" t="s">
        <v>74</v>
      </c>
      <c r="L126" t="s">
        <v>74</v>
      </c>
      <c r="M126" t="s">
        <v>78</v>
      </c>
      <c r="N126" t="s">
        <v>79</v>
      </c>
      <c r="O126" t="s">
        <v>74</v>
      </c>
      <c r="P126" t="s">
        <v>74</v>
      </c>
      <c r="Q126" t="s">
        <v>74</v>
      </c>
      <c r="R126" t="s">
        <v>74</v>
      </c>
      <c r="S126" t="s">
        <v>74</v>
      </c>
      <c r="T126" t="s">
        <v>2525</v>
      </c>
      <c r="U126" t="s">
        <v>2526</v>
      </c>
      <c r="V126" t="s">
        <v>2527</v>
      </c>
      <c r="W126" t="s">
        <v>2528</v>
      </c>
      <c r="X126" t="s">
        <v>690</v>
      </c>
      <c r="Y126" t="s">
        <v>2529</v>
      </c>
      <c r="Z126" t="s">
        <v>74</v>
      </c>
      <c r="AA126" t="s">
        <v>2530</v>
      </c>
      <c r="AB126" t="s">
        <v>2531</v>
      </c>
      <c r="AC126" t="s">
        <v>2532</v>
      </c>
      <c r="AD126" t="s">
        <v>2533</v>
      </c>
      <c r="AE126" t="s">
        <v>2534</v>
      </c>
      <c r="AF126" t="s">
        <v>74</v>
      </c>
      <c r="AG126">
        <v>27</v>
      </c>
      <c r="AH126">
        <v>21</v>
      </c>
      <c r="AI126">
        <v>21</v>
      </c>
      <c r="AJ126">
        <v>1</v>
      </c>
      <c r="AK126">
        <v>20</v>
      </c>
      <c r="AL126" t="s">
        <v>851</v>
      </c>
      <c r="AM126" t="s">
        <v>310</v>
      </c>
      <c r="AN126" t="s">
        <v>852</v>
      </c>
      <c r="AO126" t="s">
        <v>2269</v>
      </c>
      <c r="AP126" t="s">
        <v>2270</v>
      </c>
      <c r="AQ126" t="s">
        <v>74</v>
      </c>
      <c r="AR126" t="s">
        <v>2271</v>
      </c>
      <c r="AS126" t="s">
        <v>2272</v>
      </c>
      <c r="AT126" t="s">
        <v>2226</v>
      </c>
      <c r="AU126">
        <v>2010</v>
      </c>
      <c r="AV126">
        <v>22</v>
      </c>
      <c r="AW126">
        <v>5</v>
      </c>
      <c r="AX126" t="s">
        <v>74</v>
      </c>
      <c r="AY126" t="s">
        <v>74</v>
      </c>
      <c r="AZ126" t="s">
        <v>74</v>
      </c>
      <c r="BA126" t="s">
        <v>74</v>
      </c>
      <c r="BB126">
        <v>508</v>
      </c>
      <c r="BC126">
        <v>512</v>
      </c>
      <c r="BD126" t="s">
        <v>74</v>
      </c>
      <c r="BE126" t="s">
        <v>2535</v>
      </c>
      <c r="BF126" t="str">
        <f>HYPERLINK("http://dx.doi.org/10.1017/S095410201000057X","http://dx.doi.org/10.1017/S095410201000057X")</f>
        <v>http://dx.doi.org/10.1017/S095410201000057X</v>
      </c>
      <c r="BG126" t="s">
        <v>74</v>
      </c>
      <c r="BH126" t="s">
        <v>74</v>
      </c>
      <c r="BI126">
        <v>5</v>
      </c>
      <c r="BJ126" t="s">
        <v>755</v>
      </c>
      <c r="BK126" t="s">
        <v>100</v>
      </c>
      <c r="BL126" t="s">
        <v>756</v>
      </c>
      <c r="BM126" t="s">
        <v>2274</v>
      </c>
      <c r="BN126" t="s">
        <v>74</v>
      </c>
      <c r="BO126" t="s">
        <v>1025</v>
      </c>
      <c r="BP126" t="s">
        <v>74</v>
      </c>
      <c r="BQ126" t="s">
        <v>74</v>
      </c>
      <c r="BR126" t="s">
        <v>104</v>
      </c>
      <c r="BS126" t="s">
        <v>2536</v>
      </c>
      <c r="BT126" t="str">
        <f>HYPERLINK("https%3A%2F%2Fwww.webofscience.com%2Fwos%2Fwoscc%2Ffull-record%2FWOS:000283698200007","View Full Record in Web of Science")</f>
        <v>View Full Record in Web of Science</v>
      </c>
    </row>
    <row r="127" spans="1:72" x14ac:dyDescent="0.15">
      <c r="A127" t="s">
        <v>72</v>
      </c>
      <c r="B127" t="s">
        <v>2537</v>
      </c>
      <c r="C127" t="s">
        <v>74</v>
      </c>
      <c r="D127" t="s">
        <v>74</v>
      </c>
      <c r="E127" t="s">
        <v>74</v>
      </c>
      <c r="F127" t="s">
        <v>2538</v>
      </c>
      <c r="G127" t="s">
        <v>74</v>
      </c>
      <c r="H127" t="s">
        <v>74</v>
      </c>
      <c r="I127" t="s">
        <v>2539</v>
      </c>
      <c r="J127" t="s">
        <v>2257</v>
      </c>
      <c r="K127" t="s">
        <v>74</v>
      </c>
      <c r="L127" t="s">
        <v>74</v>
      </c>
      <c r="M127" t="s">
        <v>78</v>
      </c>
      <c r="N127" t="s">
        <v>79</v>
      </c>
      <c r="O127" t="s">
        <v>74</v>
      </c>
      <c r="P127" t="s">
        <v>74</v>
      </c>
      <c r="Q127" t="s">
        <v>74</v>
      </c>
      <c r="R127" t="s">
        <v>74</v>
      </c>
      <c r="S127" t="s">
        <v>74</v>
      </c>
      <c r="T127" t="s">
        <v>2540</v>
      </c>
      <c r="U127" t="s">
        <v>2541</v>
      </c>
      <c r="V127" t="s">
        <v>2542</v>
      </c>
      <c r="W127" t="s">
        <v>2543</v>
      </c>
      <c r="X127" t="s">
        <v>2544</v>
      </c>
      <c r="Y127" t="s">
        <v>2545</v>
      </c>
      <c r="Z127" t="s">
        <v>74</v>
      </c>
      <c r="AA127" t="s">
        <v>2546</v>
      </c>
      <c r="AB127" t="s">
        <v>2547</v>
      </c>
      <c r="AC127" t="s">
        <v>2548</v>
      </c>
      <c r="AD127" t="s">
        <v>2549</v>
      </c>
      <c r="AE127" t="s">
        <v>2550</v>
      </c>
      <c r="AF127" t="s">
        <v>74</v>
      </c>
      <c r="AG127">
        <v>49</v>
      </c>
      <c r="AH127">
        <v>23</v>
      </c>
      <c r="AI127">
        <v>24</v>
      </c>
      <c r="AJ127">
        <v>1</v>
      </c>
      <c r="AK127">
        <v>20</v>
      </c>
      <c r="AL127" t="s">
        <v>851</v>
      </c>
      <c r="AM127" t="s">
        <v>310</v>
      </c>
      <c r="AN127" t="s">
        <v>852</v>
      </c>
      <c r="AO127" t="s">
        <v>2269</v>
      </c>
      <c r="AP127" t="s">
        <v>2270</v>
      </c>
      <c r="AQ127" t="s">
        <v>74</v>
      </c>
      <c r="AR127" t="s">
        <v>2271</v>
      </c>
      <c r="AS127" t="s">
        <v>2272</v>
      </c>
      <c r="AT127" t="s">
        <v>2226</v>
      </c>
      <c r="AU127">
        <v>2010</v>
      </c>
      <c r="AV127">
        <v>22</v>
      </c>
      <c r="AW127">
        <v>5</v>
      </c>
      <c r="AX127" t="s">
        <v>74</v>
      </c>
      <c r="AY127" t="s">
        <v>74</v>
      </c>
      <c r="AZ127" t="s">
        <v>74</v>
      </c>
      <c r="BA127" t="s">
        <v>74</v>
      </c>
      <c r="BB127">
        <v>533</v>
      </c>
      <c r="BC127">
        <v>558</v>
      </c>
      <c r="BD127" t="s">
        <v>74</v>
      </c>
      <c r="BE127" t="s">
        <v>2551</v>
      </c>
      <c r="BF127" t="str">
        <f>HYPERLINK("http://dx.doi.org/10.1017/S0954102010000246","http://dx.doi.org/10.1017/S0954102010000246")</f>
        <v>http://dx.doi.org/10.1017/S0954102010000246</v>
      </c>
      <c r="BG127" t="s">
        <v>74</v>
      </c>
      <c r="BH127" t="s">
        <v>74</v>
      </c>
      <c r="BI127">
        <v>26</v>
      </c>
      <c r="BJ127" t="s">
        <v>755</v>
      </c>
      <c r="BK127" t="s">
        <v>100</v>
      </c>
      <c r="BL127" t="s">
        <v>756</v>
      </c>
      <c r="BM127" t="s">
        <v>2274</v>
      </c>
      <c r="BN127" t="s">
        <v>74</v>
      </c>
      <c r="BO127" t="s">
        <v>74</v>
      </c>
      <c r="BP127" t="s">
        <v>74</v>
      </c>
      <c r="BQ127" t="s">
        <v>74</v>
      </c>
      <c r="BR127" t="s">
        <v>104</v>
      </c>
      <c r="BS127" t="s">
        <v>2552</v>
      </c>
      <c r="BT127" t="str">
        <f>HYPERLINK("https%3A%2F%2Fwww.webofscience.com%2Fwos%2Fwoscc%2Ffull-record%2FWOS:000283698200011","View Full Record in Web of Science")</f>
        <v>View Full Record in Web of Science</v>
      </c>
    </row>
    <row r="128" spans="1:72" x14ac:dyDescent="0.15">
      <c r="A128" t="s">
        <v>72</v>
      </c>
      <c r="B128" t="s">
        <v>2553</v>
      </c>
      <c r="C128" t="s">
        <v>74</v>
      </c>
      <c r="D128" t="s">
        <v>74</v>
      </c>
      <c r="E128" t="s">
        <v>74</v>
      </c>
      <c r="F128" t="s">
        <v>2554</v>
      </c>
      <c r="G128" t="s">
        <v>74</v>
      </c>
      <c r="H128" t="s">
        <v>74</v>
      </c>
      <c r="I128" t="s">
        <v>2555</v>
      </c>
      <c r="J128" t="s">
        <v>2257</v>
      </c>
      <c r="K128" t="s">
        <v>74</v>
      </c>
      <c r="L128" t="s">
        <v>74</v>
      </c>
      <c r="M128" t="s">
        <v>78</v>
      </c>
      <c r="N128" t="s">
        <v>79</v>
      </c>
      <c r="O128" t="s">
        <v>74</v>
      </c>
      <c r="P128" t="s">
        <v>74</v>
      </c>
      <c r="Q128" t="s">
        <v>74</v>
      </c>
      <c r="R128" t="s">
        <v>74</v>
      </c>
      <c r="S128" t="s">
        <v>74</v>
      </c>
      <c r="T128" t="s">
        <v>2556</v>
      </c>
      <c r="U128" t="s">
        <v>2557</v>
      </c>
      <c r="V128" t="s">
        <v>2558</v>
      </c>
      <c r="W128" t="s">
        <v>2559</v>
      </c>
      <c r="X128" t="s">
        <v>2560</v>
      </c>
      <c r="Y128" t="s">
        <v>2561</v>
      </c>
      <c r="Z128" t="s">
        <v>74</v>
      </c>
      <c r="AA128" t="s">
        <v>2562</v>
      </c>
      <c r="AB128" t="s">
        <v>2563</v>
      </c>
      <c r="AC128" t="s">
        <v>2564</v>
      </c>
      <c r="AD128" t="s">
        <v>2565</v>
      </c>
      <c r="AE128" t="s">
        <v>2566</v>
      </c>
      <c r="AF128" t="s">
        <v>74</v>
      </c>
      <c r="AG128">
        <v>34</v>
      </c>
      <c r="AH128">
        <v>20</v>
      </c>
      <c r="AI128">
        <v>21</v>
      </c>
      <c r="AJ128">
        <v>0</v>
      </c>
      <c r="AK128">
        <v>7</v>
      </c>
      <c r="AL128" t="s">
        <v>851</v>
      </c>
      <c r="AM128" t="s">
        <v>310</v>
      </c>
      <c r="AN128" t="s">
        <v>852</v>
      </c>
      <c r="AO128" t="s">
        <v>2269</v>
      </c>
      <c r="AP128" t="s">
        <v>2270</v>
      </c>
      <c r="AQ128" t="s">
        <v>74</v>
      </c>
      <c r="AR128" t="s">
        <v>2271</v>
      </c>
      <c r="AS128" t="s">
        <v>2272</v>
      </c>
      <c r="AT128" t="s">
        <v>2226</v>
      </c>
      <c r="AU128">
        <v>2010</v>
      </c>
      <c r="AV128">
        <v>22</v>
      </c>
      <c r="AW128">
        <v>5</v>
      </c>
      <c r="AX128" t="s">
        <v>74</v>
      </c>
      <c r="AY128" t="s">
        <v>74</v>
      </c>
      <c r="AZ128" t="s">
        <v>74</v>
      </c>
      <c r="BA128" t="s">
        <v>74</v>
      </c>
      <c r="BB128">
        <v>559</v>
      </c>
      <c r="BC128">
        <v>571</v>
      </c>
      <c r="BD128" t="s">
        <v>74</v>
      </c>
      <c r="BE128" t="s">
        <v>2567</v>
      </c>
      <c r="BF128" t="str">
        <f>HYPERLINK("http://dx.doi.org/10.1017/S0954102010000283","http://dx.doi.org/10.1017/S0954102010000283")</f>
        <v>http://dx.doi.org/10.1017/S0954102010000283</v>
      </c>
      <c r="BG128" t="s">
        <v>74</v>
      </c>
      <c r="BH128" t="s">
        <v>74</v>
      </c>
      <c r="BI128">
        <v>13</v>
      </c>
      <c r="BJ128" t="s">
        <v>755</v>
      </c>
      <c r="BK128" t="s">
        <v>100</v>
      </c>
      <c r="BL128" t="s">
        <v>756</v>
      </c>
      <c r="BM128" t="s">
        <v>2274</v>
      </c>
      <c r="BN128" t="s">
        <v>74</v>
      </c>
      <c r="BO128" t="s">
        <v>74</v>
      </c>
      <c r="BP128" t="s">
        <v>74</v>
      </c>
      <c r="BQ128" t="s">
        <v>74</v>
      </c>
      <c r="BR128" t="s">
        <v>104</v>
      </c>
      <c r="BS128" t="s">
        <v>2568</v>
      </c>
      <c r="BT128" t="str">
        <f>HYPERLINK("https%3A%2F%2Fwww.webofscience.com%2Fwos%2Fwoscc%2Ffull-record%2FWOS:000283698200012","View Full Record in Web of Science")</f>
        <v>View Full Record in Web of Science</v>
      </c>
    </row>
    <row r="129" spans="1:72" x14ac:dyDescent="0.15">
      <c r="A129" t="s">
        <v>72</v>
      </c>
      <c r="B129" t="s">
        <v>2569</v>
      </c>
      <c r="C129" t="s">
        <v>74</v>
      </c>
      <c r="D129" t="s">
        <v>74</v>
      </c>
      <c r="E129" t="s">
        <v>74</v>
      </c>
      <c r="F129" t="s">
        <v>2570</v>
      </c>
      <c r="G129" t="s">
        <v>74</v>
      </c>
      <c r="H129" t="s">
        <v>74</v>
      </c>
      <c r="I129" t="s">
        <v>2571</v>
      </c>
      <c r="J129" t="s">
        <v>2572</v>
      </c>
      <c r="K129" t="s">
        <v>74</v>
      </c>
      <c r="L129" t="s">
        <v>74</v>
      </c>
      <c r="M129" t="s">
        <v>78</v>
      </c>
      <c r="N129" t="s">
        <v>79</v>
      </c>
      <c r="O129" t="s">
        <v>74</v>
      </c>
      <c r="P129" t="s">
        <v>74</v>
      </c>
      <c r="Q129" t="s">
        <v>74</v>
      </c>
      <c r="R129" t="s">
        <v>74</v>
      </c>
      <c r="S129" t="s">
        <v>74</v>
      </c>
      <c r="T129" t="s">
        <v>2573</v>
      </c>
      <c r="U129" t="s">
        <v>74</v>
      </c>
      <c r="V129" t="s">
        <v>2574</v>
      </c>
      <c r="W129" t="s">
        <v>2575</v>
      </c>
      <c r="X129" t="s">
        <v>2576</v>
      </c>
      <c r="Y129" t="s">
        <v>2577</v>
      </c>
      <c r="Z129" t="s">
        <v>2578</v>
      </c>
      <c r="AA129" t="s">
        <v>74</v>
      </c>
      <c r="AB129" t="s">
        <v>2579</v>
      </c>
      <c r="AC129" t="s">
        <v>2580</v>
      </c>
      <c r="AD129" t="s">
        <v>2581</v>
      </c>
      <c r="AE129" t="s">
        <v>2582</v>
      </c>
      <c r="AF129" t="s">
        <v>74</v>
      </c>
      <c r="AG129">
        <v>24</v>
      </c>
      <c r="AH129">
        <v>17</v>
      </c>
      <c r="AI129">
        <v>17</v>
      </c>
      <c r="AJ129">
        <v>0</v>
      </c>
      <c r="AK129">
        <v>18</v>
      </c>
      <c r="AL129" t="s">
        <v>464</v>
      </c>
      <c r="AM129" t="s">
        <v>310</v>
      </c>
      <c r="AN129" t="s">
        <v>971</v>
      </c>
      <c r="AO129" t="s">
        <v>2583</v>
      </c>
      <c r="AP129" t="s">
        <v>2584</v>
      </c>
      <c r="AQ129" t="s">
        <v>74</v>
      </c>
      <c r="AR129" t="s">
        <v>2585</v>
      </c>
      <c r="AS129" t="s">
        <v>2586</v>
      </c>
      <c r="AT129" t="s">
        <v>2226</v>
      </c>
      <c r="AU129">
        <v>2010</v>
      </c>
      <c r="AV129">
        <v>162</v>
      </c>
      <c r="AW129">
        <v>3</v>
      </c>
      <c r="AX129" t="s">
        <v>74</v>
      </c>
      <c r="AY129" t="s">
        <v>74</v>
      </c>
      <c r="AZ129" t="s">
        <v>74</v>
      </c>
      <c r="BA129" t="s">
        <v>74</v>
      </c>
      <c r="BB129">
        <v>795</v>
      </c>
      <c r="BC129">
        <v>804</v>
      </c>
      <c r="BD129" t="s">
        <v>74</v>
      </c>
      <c r="BE129" t="s">
        <v>2587</v>
      </c>
      <c r="BF129" t="str">
        <f>HYPERLINK("http://dx.doi.org/10.1007/s12010-009-8845-z","http://dx.doi.org/10.1007/s12010-009-8845-z")</f>
        <v>http://dx.doi.org/10.1007/s12010-009-8845-z</v>
      </c>
      <c r="BG129" t="s">
        <v>74</v>
      </c>
      <c r="BH129" t="s">
        <v>74</v>
      </c>
      <c r="BI129">
        <v>10</v>
      </c>
      <c r="BJ129" t="s">
        <v>2588</v>
      </c>
      <c r="BK129" t="s">
        <v>100</v>
      </c>
      <c r="BL129" t="s">
        <v>2588</v>
      </c>
      <c r="BM129" t="s">
        <v>2589</v>
      </c>
      <c r="BN129">
        <v>19924388</v>
      </c>
      <c r="BO129" t="s">
        <v>74</v>
      </c>
      <c r="BP129" t="s">
        <v>74</v>
      </c>
      <c r="BQ129" t="s">
        <v>74</v>
      </c>
      <c r="BR129" t="s">
        <v>104</v>
      </c>
      <c r="BS129" t="s">
        <v>2590</v>
      </c>
      <c r="BT129" t="str">
        <f>HYPERLINK("https%3A%2F%2Fwww.webofscience.com%2Fwos%2Fwoscc%2Ffull-record%2FWOS:000278178500016","View Full Record in Web of Science")</f>
        <v>View Full Record in Web of Science</v>
      </c>
    </row>
    <row r="130" spans="1:72" x14ac:dyDescent="0.15">
      <c r="A130" t="s">
        <v>72</v>
      </c>
      <c r="B130" t="s">
        <v>2591</v>
      </c>
      <c r="C130" t="s">
        <v>74</v>
      </c>
      <c r="D130" t="s">
        <v>74</v>
      </c>
      <c r="E130" t="s">
        <v>74</v>
      </c>
      <c r="F130" t="s">
        <v>2592</v>
      </c>
      <c r="G130" t="s">
        <v>74</v>
      </c>
      <c r="H130" t="s">
        <v>74</v>
      </c>
      <c r="I130" t="s">
        <v>2593</v>
      </c>
      <c r="J130" t="s">
        <v>2594</v>
      </c>
      <c r="K130" t="s">
        <v>74</v>
      </c>
      <c r="L130" t="s">
        <v>74</v>
      </c>
      <c r="M130" t="s">
        <v>78</v>
      </c>
      <c r="N130" t="s">
        <v>326</v>
      </c>
      <c r="O130" t="s">
        <v>74</v>
      </c>
      <c r="P130" t="s">
        <v>74</v>
      </c>
      <c r="Q130" t="s">
        <v>74</v>
      </c>
      <c r="R130" t="s">
        <v>74</v>
      </c>
      <c r="S130" t="s">
        <v>74</v>
      </c>
      <c r="T130" t="s">
        <v>2595</v>
      </c>
      <c r="U130" t="s">
        <v>2596</v>
      </c>
      <c r="V130" t="s">
        <v>2597</v>
      </c>
      <c r="W130" t="s">
        <v>2598</v>
      </c>
      <c r="X130" t="s">
        <v>2599</v>
      </c>
      <c r="Y130" t="s">
        <v>2600</v>
      </c>
      <c r="Z130" t="s">
        <v>2601</v>
      </c>
      <c r="AA130" t="s">
        <v>74</v>
      </c>
      <c r="AB130" t="s">
        <v>2602</v>
      </c>
      <c r="AC130" t="s">
        <v>74</v>
      </c>
      <c r="AD130" t="s">
        <v>74</v>
      </c>
      <c r="AE130" t="s">
        <v>74</v>
      </c>
      <c r="AF130" t="s">
        <v>74</v>
      </c>
      <c r="AG130">
        <v>177</v>
      </c>
      <c r="AH130">
        <v>39</v>
      </c>
      <c r="AI130">
        <v>48</v>
      </c>
      <c r="AJ130">
        <v>0</v>
      </c>
      <c r="AK130">
        <v>24</v>
      </c>
      <c r="AL130" t="s">
        <v>464</v>
      </c>
      <c r="AM130" t="s">
        <v>310</v>
      </c>
      <c r="AN130" t="s">
        <v>971</v>
      </c>
      <c r="AO130" t="s">
        <v>2603</v>
      </c>
      <c r="AP130" t="s">
        <v>2604</v>
      </c>
      <c r="AQ130" t="s">
        <v>74</v>
      </c>
      <c r="AR130" t="s">
        <v>2605</v>
      </c>
      <c r="AS130" t="s">
        <v>2606</v>
      </c>
      <c r="AT130" t="s">
        <v>2226</v>
      </c>
      <c r="AU130">
        <v>2010</v>
      </c>
      <c r="AV130">
        <v>18</v>
      </c>
      <c r="AW130">
        <v>4</v>
      </c>
      <c r="AX130" t="s">
        <v>74</v>
      </c>
      <c r="AY130" t="s">
        <v>74</v>
      </c>
      <c r="AZ130" t="s">
        <v>74</v>
      </c>
      <c r="BA130" t="s">
        <v>74</v>
      </c>
      <c r="BB130">
        <v>417</v>
      </c>
      <c r="BC130">
        <v>469</v>
      </c>
      <c r="BD130" t="s">
        <v>74</v>
      </c>
      <c r="BE130" t="s">
        <v>2607</v>
      </c>
      <c r="BF130" t="str">
        <f>HYPERLINK("http://dx.doi.org/10.1007/s00159-010-0032-2","http://dx.doi.org/10.1007/s00159-010-0032-2")</f>
        <v>http://dx.doi.org/10.1007/s00159-010-0032-2</v>
      </c>
      <c r="BG130" t="s">
        <v>74</v>
      </c>
      <c r="BH130" t="s">
        <v>74</v>
      </c>
      <c r="BI130">
        <v>53</v>
      </c>
      <c r="BJ130" t="s">
        <v>1805</v>
      </c>
      <c r="BK130" t="s">
        <v>100</v>
      </c>
      <c r="BL130" t="s">
        <v>1805</v>
      </c>
      <c r="BM130" t="s">
        <v>2608</v>
      </c>
      <c r="BN130" t="s">
        <v>74</v>
      </c>
      <c r="BO130" t="s">
        <v>134</v>
      </c>
      <c r="BP130" t="s">
        <v>74</v>
      </c>
      <c r="BQ130" t="s">
        <v>74</v>
      </c>
      <c r="BR130" t="s">
        <v>104</v>
      </c>
      <c r="BS130" t="s">
        <v>2609</v>
      </c>
      <c r="BT130" t="str">
        <f>HYPERLINK("https%3A%2F%2Fwww.webofscience.com%2Fwos%2Fwoscc%2Ffull-record%2FWOS:000282824000001","View Full Record in Web of Science")</f>
        <v>View Full Record in Web of Science</v>
      </c>
    </row>
    <row r="131" spans="1:72" x14ac:dyDescent="0.15">
      <c r="A131" t="s">
        <v>72</v>
      </c>
      <c r="B131" t="s">
        <v>2610</v>
      </c>
      <c r="C131" t="s">
        <v>74</v>
      </c>
      <c r="D131" t="s">
        <v>74</v>
      </c>
      <c r="E131" t="s">
        <v>74</v>
      </c>
      <c r="F131" t="s">
        <v>2611</v>
      </c>
      <c r="G131" t="s">
        <v>74</v>
      </c>
      <c r="H131" t="s">
        <v>74</v>
      </c>
      <c r="I131" t="s">
        <v>2612</v>
      </c>
      <c r="J131" t="s">
        <v>2613</v>
      </c>
      <c r="K131" t="s">
        <v>74</v>
      </c>
      <c r="L131" t="s">
        <v>74</v>
      </c>
      <c r="M131" t="s">
        <v>78</v>
      </c>
      <c r="N131" t="s">
        <v>79</v>
      </c>
      <c r="O131" t="s">
        <v>74</v>
      </c>
      <c r="P131" t="s">
        <v>74</v>
      </c>
      <c r="Q131" t="s">
        <v>74</v>
      </c>
      <c r="R131" t="s">
        <v>74</v>
      </c>
      <c r="S131" t="s">
        <v>74</v>
      </c>
      <c r="T131" t="s">
        <v>2614</v>
      </c>
      <c r="U131" t="s">
        <v>2615</v>
      </c>
      <c r="V131" t="s">
        <v>2616</v>
      </c>
      <c r="W131" t="s">
        <v>2617</v>
      </c>
      <c r="X131" t="s">
        <v>2618</v>
      </c>
      <c r="Y131" t="s">
        <v>2619</v>
      </c>
      <c r="Z131" t="s">
        <v>2620</v>
      </c>
      <c r="AA131" t="s">
        <v>2621</v>
      </c>
      <c r="AB131" t="s">
        <v>2622</v>
      </c>
      <c r="AC131" t="s">
        <v>2623</v>
      </c>
      <c r="AD131" t="s">
        <v>2624</v>
      </c>
      <c r="AE131" t="s">
        <v>2625</v>
      </c>
      <c r="AF131" t="s">
        <v>74</v>
      </c>
      <c r="AG131">
        <v>19</v>
      </c>
      <c r="AH131">
        <v>4</v>
      </c>
      <c r="AI131">
        <v>4</v>
      </c>
      <c r="AJ131">
        <v>0</v>
      </c>
      <c r="AK131">
        <v>5</v>
      </c>
      <c r="AL131" t="s">
        <v>923</v>
      </c>
      <c r="AM131" t="s">
        <v>339</v>
      </c>
      <c r="AN131" t="s">
        <v>340</v>
      </c>
      <c r="AO131" t="s">
        <v>2626</v>
      </c>
      <c r="AP131" t="s">
        <v>74</v>
      </c>
      <c r="AQ131" t="s">
        <v>74</v>
      </c>
      <c r="AR131" t="s">
        <v>2627</v>
      </c>
      <c r="AS131" t="s">
        <v>2628</v>
      </c>
      <c r="AT131" t="s">
        <v>2629</v>
      </c>
      <c r="AU131">
        <v>2010</v>
      </c>
      <c r="AV131">
        <v>11</v>
      </c>
      <c r="AW131">
        <v>4</v>
      </c>
      <c r="AX131" t="s">
        <v>74</v>
      </c>
      <c r="AY131" t="s">
        <v>74</v>
      </c>
      <c r="AZ131" t="s">
        <v>74</v>
      </c>
      <c r="BA131" t="s">
        <v>74</v>
      </c>
      <c r="BB131">
        <v>249</v>
      </c>
      <c r="BC131">
        <v>254</v>
      </c>
      <c r="BD131" t="s">
        <v>74</v>
      </c>
      <c r="BE131" t="s">
        <v>2630</v>
      </c>
      <c r="BF131" t="str">
        <f>HYPERLINK("http://dx.doi.org/10.1002/asl.283","http://dx.doi.org/10.1002/asl.283")</f>
        <v>http://dx.doi.org/10.1002/asl.283</v>
      </c>
      <c r="BG131" t="s">
        <v>74</v>
      </c>
      <c r="BH131" t="s">
        <v>74</v>
      </c>
      <c r="BI131">
        <v>6</v>
      </c>
      <c r="BJ131" t="s">
        <v>2631</v>
      </c>
      <c r="BK131" t="s">
        <v>100</v>
      </c>
      <c r="BL131" t="s">
        <v>2631</v>
      </c>
      <c r="BM131" t="s">
        <v>2632</v>
      </c>
      <c r="BN131" t="s">
        <v>74</v>
      </c>
      <c r="BO131" t="s">
        <v>1000</v>
      </c>
      <c r="BP131" t="s">
        <v>74</v>
      </c>
      <c r="BQ131" t="s">
        <v>74</v>
      </c>
      <c r="BR131" t="s">
        <v>104</v>
      </c>
      <c r="BS131" t="s">
        <v>2633</v>
      </c>
      <c r="BT131" t="str">
        <f>HYPERLINK("https%3A%2F%2Fwww.webofscience.com%2Fwos%2Fwoscc%2Ffull-record%2FWOS:000285065700002","View Full Record in Web of Science")</f>
        <v>View Full Record in Web of Science</v>
      </c>
    </row>
    <row r="132" spans="1:72" x14ac:dyDescent="0.15">
      <c r="A132" t="s">
        <v>72</v>
      </c>
      <c r="B132" t="s">
        <v>2634</v>
      </c>
      <c r="C132" t="s">
        <v>74</v>
      </c>
      <c r="D132" t="s">
        <v>74</v>
      </c>
      <c r="E132" t="s">
        <v>74</v>
      </c>
      <c r="F132" t="s">
        <v>2635</v>
      </c>
      <c r="G132" t="s">
        <v>74</v>
      </c>
      <c r="H132" t="s">
        <v>74</v>
      </c>
      <c r="I132" t="s">
        <v>2636</v>
      </c>
      <c r="J132" t="s">
        <v>2637</v>
      </c>
      <c r="K132" t="s">
        <v>74</v>
      </c>
      <c r="L132" t="s">
        <v>74</v>
      </c>
      <c r="M132" t="s">
        <v>78</v>
      </c>
      <c r="N132" t="s">
        <v>79</v>
      </c>
      <c r="O132" t="s">
        <v>74</v>
      </c>
      <c r="P132" t="s">
        <v>74</v>
      </c>
      <c r="Q132" t="s">
        <v>74</v>
      </c>
      <c r="R132" t="s">
        <v>74</v>
      </c>
      <c r="S132" t="s">
        <v>74</v>
      </c>
      <c r="T132" t="s">
        <v>2638</v>
      </c>
      <c r="U132" t="s">
        <v>2639</v>
      </c>
      <c r="V132" t="s">
        <v>2640</v>
      </c>
      <c r="W132" t="s">
        <v>2641</v>
      </c>
      <c r="X132" t="s">
        <v>2642</v>
      </c>
      <c r="Y132" t="s">
        <v>2643</v>
      </c>
      <c r="Z132" t="s">
        <v>2644</v>
      </c>
      <c r="AA132" t="s">
        <v>74</v>
      </c>
      <c r="AB132" t="s">
        <v>74</v>
      </c>
      <c r="AC132" t="s">
        <v>2645</v>
      </c>
      <c r="AD132" t="s">
        <v>2646</v>
      </c>
      <c r="AE132" t="s">
        <v>2647</v>
      </c>
      <c r="AF132" t="s">
        <v>74</v>
      </c>
      <c r="AG132">
        <v>70</v>
      </c>
      <c r="AH132">
        <v>33</v>
      </c>
      <c r="AI132">
        <v>36</v>
      </c>
      <c r="AJ132">
        <v>2</v>
      </c>
      <c r="AK132">
        <v>29</v>
      </c>
      <c r="AL132" t="s">
        <v>826</v>
      </c>
      <c r="AM132" t="s">
        <v>827</v>
      </c>
      <c r="AN132" t="s">
        <v>828</v>
      </c>
      <c r="AO132" t="s">
        <v>2648</v>
      </c>
      <c r="AP132" t="s">
        <v>2649</v>
      </c>
      <c r="AQ132" t="s">
        <v>74</v>
      </c>
      <c r="AR132" t="s">
        <v>2637</v>
      </c>
      <c r="AS132" t="s">
        <v>2637</v>
      </c>
      <c r="AT132" t="s">
        <v>2226</v>
      </c>
      <c r="AU132">
        <v>2010</v>
      </c>
      <c r="AV132">
        <v>127</v>
      </c>
      <c r="AW132">
        <v>4</v>
      </c>
      <c r="AX132" t="s">
        <v>74</v>
      </c>
      <c r="AY132" t="s">
        <v>74</v>
      </c>
      <c r="AZ132" t="s">
        <v>74</v>
      </c>
      <c r="BA132" t="s">
        <v>74</v>
      </c>
      <c r="BB132">
        <v>871</v>
      </c>
      <c r="BC132">
        <v>881</v>
      </c>
      <c r="BD132" t="s">
        <v>74</v>
      </c>
      <c r="BE132" t="s">
        <v>2650</v>
      </c>
      <c r="BF132" t="str">
        <f>HYPERLINK("http://dx.doi.org/10.1525/auk.2010.10029","http://dx.doi.org/10.1525/auk.2010.10029")</f>
        <v>http://dx.doi.org/10.1525/auk.2010.10029</v>
      </c>
      <c r="BG132" t="s">
        <v>74</v>
      </c>
      <c r="BH132" t="s">
        <v>74</v>
      </c>
      <c r="BI132">
        <v>11</v>
      </c>
      <c r="BJ132" t="s">
        <v>491</v>
      </c>
      <c r="BK132" t="s">
        <v>100</v>
      </c>
      <c r="BL132" t="s">
        <v>492</v>
      </c>
      <c r="BM132" t="s">
        <v>2651</v>
      </c>
      <c r="BN132" t="s">
        <v>74</v>
      </c>
      <c r="BO132" t="s">
        <v>394</v>
      </c>
      <c r="BP132" t="s">
        <v>74</v>
      </c>
      <c r="BQ132" t="s">
        <v>74</v>
      </c>
      <c r="BR132" t="s">
        <v>104</v>
      </c>
      <c r="BS132" t="s">
        <v>2652</v>
      </c>
      <c r="BT132" t="str">
        <f>HYPERLINK("https%3A%2F%2Fwww.webofscience.com%2Fwos%2Fwoscc%2Ffull-record%2FWOS:000284195400015","View Full Record in Web of Science")</f>
        <v>View Full Record in Web of Science</v>
      </c>
    </row>
    <row r="133" spans="1:72" x14ac:dyDescent="0.15">
      <c r="A133" t="s">
        <v>72</v>
      </c>
      <c r="B133" t="s">
        <v>2653</v>
      </c>
      <c r="C133" t="s">
        <v>74</v>
      </c>
      <c r="D133" t="s">
        <v>74</v>
      </c>
      <c r="E133" t="s">
        <v>74</v>
      </c>
      <c r="F133" t="s">
        <v>2654</v>
      </c>
      <c r="G133" t="s">
        <v>74</v>
      </c>
      <c r="H133" t="s">
        <v>74</v>
      </c>
      <c r="I133" t="s">
        <v>2655</v>
      </c>
      <c r="J133" t="s">
        <v>2656</v>
      </c>
      <c r="K133" t="s">
        <v>74</v>
      </c>
      <c r="L133" t="s">
        <v>74</v>
      </c>
      <c r="M133" t="s">
        <v>78</v>
      </c>
      <c r="N133" t="s">
        <v>79</v>
      </c>
      <c r="O133" t="s">
        <v>74</v>
      </c>
      <c r="P133" t="s">
        <v>74</v>
      </c>
      <c r="Q133" t="s">
        <v>74</v>
      </c>
      <c r="R133" t="s">
        <v>74</v>
      </c>
      <c r="S133" t="s">
        <v>74</v>
      </c>
      <c r="T133" t="s">
        <v>2657</v>
      </c>
      <c r="U133" t="s">
        <v>2658</v>
      </c>
      <c r="V133" t="s">
        <v>2659</v>
      </c>
      <c r="W133" t="s">
        <v>2660</v>
      </c>
      <c r="X133" t="s">
        <v>2661</v>
      </c>
      <c r="Y133" t="s">
        <v>2662</v>
      </c>
      <c r="Z133" t="s">
        <v>2663</v>
      </c>
      <c r="AA133" t="s">
        <v>74</v>
      </c>
      <c r="AB133" t="s">
        <v>2664</v>
      </c>
      <c r="AC133" t="s">
        <v>2665</v>
      </c>
      <c r="AD133" t="s">
        <v>2666</v>
      </c>
      <c r="AE133" t="s">
        <v>2667</v>
      </c>
      <c r="AF133" t="s">
        <v>74</v>
      </c>
      <c r="AG133">
        <v>68</v>
      </c>
      <c r="AH133">
        <v>41</v>
      </c>
      <c r="AI133">
        <v>41</v>
      </c>
      <c r="AJ133">
        <v>1</v>
      </c>
      <c r="AK133">
        <v>49</v>
      </c>
      <c r="AL133" t="s">
        <v>464</v>
      </c>
      <c r="AM133" t="s">
        <v>576</v>
      </c>
      <c r="AN133" t="s">
        <v>577</v>
      </c>
      <c r="AO133" t="s">
        <v>2668</v>
      </c>
      <c r="AP133" t="s">
        <v>2669</v>
      </c>
      <c r="AQ133" t="s">
        <v>74</v>
      </c>
      <c r="AR133" t="s">
        <v>2670</v>
      </c>
      <c r="AS133" t="s">
        <v>2671</v>
      </c>
      <c r="AT133" t="s">
        <v>2226</v>
      </c>
      <c r="AU133">
        <v>2010</v>
      </c>
      <c r="AV133">
        <v>12</v>
      </c>
      <c r="AW133">
        <v>10</v>
      </c>
      <c r="AX133" t="s">
        <v>74</v>
      </c>
      <c r="AY133" t="s">
        <v>74</v>
      </c>
      <c r="AZ133" t="s">
        <v>74</v>
      </c>
      <c r="BA133" t="s">
        <v>74</v>
      </c>
      <c r="BB133">
        <v>3405</v>
      </c>
      <c r="BC133">
        <v>3417</v>
      </c>
      <c r="BD133" t="s">
        <v>74</v>
      </c>
      <c r="BE133" t="s">
        <v>2672</v>
      </c>
      <c r="BF133" t="str">
        <f>HYPERLINK("http://dx.doi.org/10.1007/s10530-010-9739-2","http://dx.doi.org/10.1007/s10530-010-9739-2")</f>
        <v>http://dx.doi.org/10.1007/s10530-010-9739-2</v>
      </c>
      <c r="BG133" t="s">
        <v>74</v>
      </c>
      <c r="BH133" t="s">
        <v>74</v>
      </c>
      <c r="BI133">
        <v>13</v>
      </c>
      <c r="BJ133" t="s">
        <v>1282</v>
      </c>
      <c r="BK133" t="s">
        <v>100</v>
      </c>
      <c r="BL133" t="s">
        <v>680</v>
      </c>
      <c r="BM133" t="s">
        <v>2673</v>
      </c>
      <c r="BN133" t="s">
        <v>74</v>
      </c>
      <c r="BO133" t="s">
        <v>74</v>
      </c>
      <c r="BP133" t="s">
        <v>74</v>
      </c>
      <c r="BQ133" t="s">
        <v>74</v>
      </c>
      <c r="BR133" t="s">
        <v>104</v>
      </c>
      <c r="BS133" t="s">
        <v>2674</v>
      </c>
      <c r="BT133" t="str">
        <f>HYPERLINK("https%3A%2F%2Fwww.webofscience.com%2Fwos%2Fwoscc%2Ffull-record%2FWOS:000281977200004","View Full Record in Web of Science")</f>
        <v>View Full Record in Web of Science</v>
      </c>
    </row>
    <row r="134" spans="1:72" x14ac:dyDescent="0.15">
      <c r="A134" t="s">
        <v>72</v>
      </c>
      <c r="B134" t="s">
        <v>2675</v>
      </c>
      <c r="C134" t="s">
        <v>74</v>
      </c>
      <c r="D134" t="s">
        <v>74</v>
      </c>
      <c r="E134" t="s">
        <v>74</v>
      </c>
      <c r="F134" t="s">
        <v>2676</v>
      </c>
      <c r="G134" t="s">
        <v>74</v>
      </c>
      <c r="H134" t="s">
        <v>74</v>
      </c>
      <c r="I134" t="s">
        <v>2677</v>
      </c>
      <c r="J134" t="s">
        <v>2678</v>
      </c>
      <c r="K134" t="s">
        <v>74</v>
      </c>
      <c r="L134" t="s">
        <v>74</v>
      </c>
      <c r="M134" t="s">
        <v>78</v>
      </c>
      <c r="N134" t="s">
        <v>79</v>
      </c>
      <c r="O134" t="s">
        <v>74</v>
      </c>
      <c r="P134" t="s">
        <v>74</v>
      </c>
      <c r="Q134" t="s">
        <v>74</v>
      </c>
      <c r="R134" t="s">
        <v>74</v>
      </c>
      <c r="S134" t="s">
        <v>74</v>
      </c>
      <c r="T134" t="s">
        <v>2679</v>
      </c>
      <c r="U134" t="s">
        <v>2680</v>
      </c>
      <c r="V134" t="s">
        <v>2681</v>
      </c>
      <c r="W134" t="s">
        <v>2682</v>
      </c>
      <c r="X134" t="s">
        <v>2683</v>
      </c>
      <c r="Y134" t="s">
        <v>2684</v>
      </c>
      <c r="Z134" t="s">
        <v>2685</v>
      </c>
      <c r="AA134" t="s">
        <v>2686</v>
      </c>
      <c r="AB134" t="s">
        <v>2687</v>
      </c>
      <c r="AC134" t="s">
        <v>2688</v>
      </c>
      <c r="AD134" t="s">
        <v>2689</v>
      </c>
      <c r="AE134" t="s">
        <v>2690</v>
      </c>
      <c r="AF134" t="s">
        <v>74</v>
      </c>
      <c r="AG134">
        <v>13</v>
      </c>
      <c r="AH134">
        <v>2</v>
      </c>
      <c r="AI134">
        <v>3</v>
      </c>
      <c r="AJ134">
        <v>0</v>
      </c>
      <c r="AK134">
        <v>11</v>
      </c>
      <c r="AL134" t="s">
        <v>464</v>
      </c>
      <c r="AM134" t="s">
        <v>576</v>
      </c>
      <c r="AN134" t="s">
        <v>577</v>
      </c>
      <c r="AO134" t="s">
        <v>2691</v>
      </c>
      <c r="AP134" t="s">
        <v>74</v>
      </c>
      <c r="AQ134" t="s">
        <v>74</v>
      </c>
      <c r="AR134" t="s">
        <v>2692</v>
      </c>
      <c r="AS134" t="s">
        <v>2693</v>
      </c>
      <c r="AT134" t="s">
        <v>2226</v>
      </c>
      <c r="AU134">
        <v>2010</v>
      </c>
      <c r="AV134">
        <v>4</v>
      </c>
      <c r="AW134">
        <v>2</v>
      </c>
      <c r="AX134" t="s">
        <v>74</v>
      </c>
      <c r="AY134" t="s">
        <v>74</v>
      </c>
      <c r="AZ134" t="s">
        <v>74</v>
      </c>
      <c r="BA134" t="s">
        <v>74</v>
      </c>
      <c r="BB134">
        <v>151</v>
      </c>
      <c r="BC134">
        <v>154</v>
      </c>
      <c r="BD134" t="s">
        <v>74</v>
      </c>
      <c r="BE134" t="s">
        <v>2694</v>
      </c>
      <c r="BF134" t="str">
        <f>HYPERLINK("http://dx.doi.org/10.1007/s12104-010-9230-0","http://dx.doi.org/10.1007/s12104-010-9230-0")</f>
        <v>http://dx.doi.org/10.1007/s12104-010-9230-0</v>
      </c>
      <c r="BG134" t="s">
        <v>74</v>
      </c>
      <c r="BH134" t="s">
        <v>74</v>
      </c>
      <c r="BI134">
        <v>4</v>
      </c>
      <c r="BJ134" t="s">
        <v>2695</v>
      </c>
      <c r="BK134" t="s">
        <v>100</v>
      </c>
      <c r="BL134" t="s">
        <v>2695</v>
      </c>
      <c r="BM134" t="s">
        <v>2696</v>
      </c>
      <c r="BN134">
        <v>20455034</v>
      </c>
      <c r="BO134" t="s">
        <v>74</v>
      </c>
      <c r="BP134" t="s">
        <v>74</v>
      </c>
      <c r="BQ134" t="s">
        <v>74</v>
      </c>
      <c r="BR134" t="s">
        <v>104</v>
      </c>
      <c r="BS134" t="s">
        <v>2697</v>
      </c>
      <c r="BT134" t="str">
        <f>HYPERLINK("https%3A%2F%2Fwww.webofscience.com%2Fwos%2Fwoscc%2Ffull-record%2FWOS:000282317100008","View Full Record in Web of Science")</f>
        <v>View Full Record in Web of Science</v>
      </c>
    </row>
    <row r="135" spans="1:72" x14ac:dyDescent="0.15">
      <c r="A135" t="s">
        <v>72</v>
      </c>
      <c r="B135" t="s">
        <v>2698</v>
      </c>
      <c r="C135" t="s">
        <v>74</v>
      </c>
      <c r="D135" t="s">
        <v>74</v>
      </c>
      <c r="E135" t="s">
        <v>74</v>
      </c>
      <c r="F135" t="s">
        <v>2699</v>
      </c>
      <c r="G135" t="s">
        <v>74</v>
      </c>
      <c r="H135" t="s">
        <v>74</v>
      </c>
      <c r="I135" t="s">
        <v>2700</v>
      </c>
      <c r="J135" t="s">
        <v>2701</v>
      </c>
      <c r="K135" t="s">
        <v>74</v>
      </c>
      <c r="L135" t="s">
        <v>74</v>
      </c>
      <c r="M135" t="s">
        <v>78</v>
      </c>
      <c r="N135" t="s">
        <v>79</v>
      </c>
      <c r="O135" t="s">
        <v>74</v>
      </c>
      <c r="P135" t="s">
        <v>74</v>
      </c>
      <c r="Q135" t="s">
        <v>74</v>
      </c>
      <c r="R135" t="s">
        <v>74</v>
      </c>
      <c r="S135" t="s">
        <v>74</v>
      </c>
      <c r="T135" t="s">
        <v>2702</v>
      </c>
      <c r="U135" t="s">
        <v>74</v>
      </c>
      <c r="V135" t="s">
        <v>2703</v>
      </c>
      <c r="W135" t="s">
        <v>2704</v>
      </c>
      <c r="X135" t="s">
        <v>2705</v>
      </c>
      <c r="Y135" t="s">
        <v>2706</v>
      </c>
      <c r="Z135" t="s">
        <v>74</v>
      </c>
      <c r="AA135" t="s">
        <v>2707</v>
      </c>
      <c r="AB135" t="s">
        <v>2708</v>
      </c>
      <c r="AC135" t="s">
        <v>2709</v>
      </c>
      <c r="AD135" t="s">
        <v>2710</v>
      </c>
      <c r="AE135" t="s">
        <v>2711</v>
      </c>
      <c r="AF135" t="s">
        <v>74</v>
      </c>
      <c r="AG135">
        <v>21</v>
      </c>
      <c r="AH135">
        <v>25</v>
      </c>
      <c r="AI135">
        <v>32</v>
      </c>
      <c r="AJ135">
        <v>3</v>
      </c>
      <c r="AK135">
        <v>26</v>
      </c>
      <c r="AL135" t="s">
        <v>2712</v>
      </c>
      <c r="AM135" t="s">
        <v>2713</v>
      </c>
      <c r="AN135" t="s">
        <v>2714</v>
      </c>
      <c r="AO135" t="s">
        <v>2715</v>
      </c>
      <c r="AP135" t="s">
        <v>74</v>
      </c>
      <c r="AQ135" t="s">
        <v>74</v>
      </c>
      <c r="AR135" t="s">
        <v>2716</v>
      </c>
      <c r="AS135" t="s">
        <v>2717</v>
      </c>
      <c r="AT135" t="s">
        <v>2226</v>
      </c>
      <c r="AU135">
        <v>2010</v>
      </c>
      <c r="AV135">
        <v>70</v>
      </c>
      <c r="AW135">
        <v>3</v>
      </c>
      <c r="AX135" t="s">
        <v>74</v>
      </c>
      <c r="AY135" t="s">
        <v>2718</v>
      </c>
      <c r="AZ135" t="s">
        <v>582</v>
      </c>
      <c r="BA135" t="s">
        <v>74</v>
      </c>
      <c r="BB135">
        <v>815</v>
      </c>
      <c r="BC135">
        <v>824</v>
      </c>
      <c r="BD135" t="s">
        <v>74</v>
      </c>
      <c r="BE135" t="s">
        <v>2719</v>
      </c>
      <c r="BF135" t="str">
        <f>HYPERLINK("http://dx.doi.org/10.1590/S1519-69842010000400012","http://dx.doi.org/10.1590/S1519-69842010000400012")</f>
        <v>http://dx.doi.org/10.1590/S1519-69842010000400012</v>
      </c>
      <c r="BG135" t="s">
        <v>74</v>
      </c>
      <c r="BH135" t="s">
        <v>74</v>
      </c>
      <c r="BI135">
        <v>10</v>
      </c>
      <c r="BJ135" t="s">
        <v>346</v>
      </c>
      <c r="BK135" t="s">
        <v>100</v>
      </c>
      <c r="BL135" t="s">
        <v>347</v>
      </c>
      <c r="BM135" t="s">
        <v>2720</v>
      </c>
      <c r="BN135">
        <v>21085786</v>
      </c>
      <c r="BO135" t="s">
        <v>2721</v>
      </c>
      <c r="BP135" t="s">
        <v>74</v>
      </c>
      <c r="BQ135" t="s">
        <v>74</v>
      </c>
      <c r="BR135" t="s">
        <v>104</v>
      </c>
      <c r="BS135" t="s">
        <v>2722</v>
      </c>
      <c r="BT135" t="str">
        <f>HYPERLINK("https%3A%2F%2Fwww.webofscience.com%2Fwos%2Fwoscc%2Ffull-record%2FWOS:000284740200013","View Full Record in Web of Science")</f>
        <v>View Full Record in Web of Science</v>
      </c>
    </row>
    <row r="136" spans="1:72" x14ac:dyDescent="0.15">
      <c r="A136" t="s">
        <v>72</v>
      </c>
      <c r="B136" t="s">
        <v>2723</v>
      </c>
      <c r="C136" t="s">
        <v>74</v>
      </c>
      <c r="D136" t="s">
        <v>74</v>
      </c>
      <c r="E136" t="s">
        <v>74</v>
      </c>
      <c r="F136" t="s">
        <v>2724</v>
      </c>
      <c r="G136" t="s">
        <v>74</v>
      </c>
      <c r="H136" t="s">
        <v>74</v>
      </c>
      <c r="I136" t="s">
        <v>2725</v>
      </c>
      <c r="J136" t="s">
        <v>2726</v>
      </c>
      <c r="K136" t="s">
        <v>74</v>
      </c>
      <c r="L136" t="s">
        <v>74</v>
      </c>
      <c r="M136" t="s">
        <v>78</v>
      </c>
      <c r="N136" t="s">
        <v>79</v>
      </c>
      <c r="O136" t="s">
        <v>74</v>
      </c>
      <c r="P136" t="s">
        <v>74</v>
      </c>
      <c r="Q136" t="s">
        <v>74</v>
      </c>
      <c r="R136" t="s">
        <v>74</v>
      </c>
      <c r="S136" t="s">
        <v>74</v>
      </c>
      <c r="T136" t="s">
        <v>2727</v>
      </c>
      <c r="U136" t="s">
        <v>2728</v>
      </c>
      <c r="V136" t="s">
        <v>2729</v>
      </c>
      <c r="W136" t="s">
        <v>2730</v>
      </c>
      <c r="X136" t="s">
        <v>2731</v>
      </c>
      <c r="Y136" t="s">
        <v>2732</v>
      </c>
      <c r="Z136" t="s">
        <v>2733</v>
      </c>
      <c r="AA136" t="s">
        <v>74</v>
      </c>
      <c r="AB136" t="s">
        <v>74</v>
      </c>
      <c r="AC136" t="s">
        <v>2734</v>
      </c>
      <c r="AD136" t="s">
        <v>2735</v>
      </c>
      <c r="AE136" t="s">
        <v>2736</v>
      </c>
      <c r="AF136" t="s">
        <v>74</v>
      </c>
      <c r="AG136">
        <v>46</v>
      </c>
      <c r="AH136">
        <v>6</v>
      </c>
      <c r="AI136">
        <v>6</v>
      </c>
      <c r="AJ136">
        <v>0</v>
      </c>
      <c r="AK136">
        <v>12</v>
      </c>
      <c r="AL136" t="s">
        <v>2737</v>
      </c>
      <c r="AM136" t="s">
        <v>2738</v>
      </c>
      <c r="AN136" t="s">
        <v>2739</v>
      </c>
      <c r="AO136" t="s">
        <v>2740</v>
      </c>
      <c r="AP136" t="s">
        <v>2741</v>
      </c>
      <c r="AQ136" t="s">
        <v>74</v>
      </c>
      <c r="AR136" t="s">
        <v>2742</v>
      </c>
      <c r="AS136" t="s">
        <v>2743</v>
      </c>
      <c r="AT136" t="s">
        <v>2629</v>
      </c>
      <c r="AU136">
        <v>2010</v>
      </c>
      <c r="AV136">
        <v>58</v>
      </c>
      <c r="AW136">
        <v>4</v>
      </c>
      <c r="AX136" t="s">
        <v>74</v>
      </c>
      <c r="AY136" t="s">
        <v>74</v>
      </c>
      <c r="AZ136" t="s">
        <v>74</v>
      </c>
      <c r="BA136" t="s">
        <v>74</v>
      </c>
      <c r="BB136">
        <v>287</v>
      </c>
      <c r="BC136">
        <v>298</v>
      </c>
      <c r="BD136" t="s">
        <v>74</v>
      </c>
      <c r="BE136" t="s">
        <v>2744</v>
      </c>
      <c r="BF136" t="str">
        <f>HYPERLINK("http://dx.doi.org/10.1590/S1679-87592010000400004","http://dx.doi.org/10.1590/S1679-87592010000400004")</f>
        <v>http://dx.doi.org/10.1590/S1679-87592010000400004</v>
      </c>
      <c r="BG136" t="s">
        <v>74</v>
      </c>
      <c r="BH136" t="s">
        <v>74</v>
      </c>
      <c r="BI136">
        <v>12</v>
      </c>
      <c r="BJ136" t="s">
        <v>930</v>
      </c>
      <c r="BK136" t="s">
        <v>100</v>
      </c>
      <c r="BL136" t="s">
        <v>930</v>
      </c>
      <c r="BM136" t="s">
        <v>2745</v>
      </c>
      <c r="BN136" t="s">
        <v>74</v>
      </c>
      <c r="BO136" t="s">
        <v>2746</v>
      </c>
      <c r="BP136" t="s">
        <v>74</v>
      </c>
      <c r="BQ136" t="s">
        <v>74</v>
      </c>
      <c r="BR136" t="s">
        <v>104</v>
      </c>
      <c r="BS136" t="s">
        <v>2747</v>
      </c>
      <c r="BT136" t="str">
        <f>HYPERLINK("https%3A%2F%2Fwww.webofscience.com%2Fwos%2Fwoscc%2Ffull-record%2FWOS:000287141100004","View Full Record in Web of Science")</f>
        <v>View Full Record in Web of Science</v>
      </c>
    </row>
    <row r="137" spans="1:72" x14ac:dyDescent="0.15">
      <c r="A137" t="s">
        <v>72</v>
      </c>
      <c r="B137" t="s">
        <v>2748</v>
      </c>
      <c r="C137" t="s">
        <v>74</v>
      </c>
      <c r="D137" t="s">
        <v>74</v>
      </c>
      <c r="E137" t="s">
        <v>74</v>
      </c>
      <c r="F137" t="s">
        <v>2749</v>
      </c>
      <c r="G137" t="s">
        <v>74</v>
      </c>
      <c r="H137" t="s">
        <v>74</v>
      </c>
      <c r="I137" t="s">
        <v>2750</v>
      </c>
      <c r="J137" t="s">
        <v>2751</v>
      </c>
      <c r="K137" t="s">
        <v>74</v>
      </c>
      <c r="L137" t="s">
        <v>74</v>
      </c>
      <c r="M137" t="s">
        <v>78</v>
      </c>
      <c r="N137" t="s">
        <v>79</v>
      </c>
      <c r="O137" t="s">
        <v>74</v>
      </c>
      <c r="P137" t="s">
        <v>74</v>
      </c>
      <c r="Q137" t="s">
        <v>74</v>
      </c>
      <c r="R137" t="s">
        <v>74</v>
      </c>
      <c r="S137" t="s">
        <v>74</v>
      </c>
      <c r="T137" t="s">
        <v>74</v>
      </c>
      <c r="U137" t="s">
        <v>2752</v>
      </c>
      <c r="V137" t="s">
        <v>2753</v>
      </c>
      <c r="W137" t="s">
        <v>2754</v>
      </c>
      <c r="X137" t="s">
        <v>2755</v>
      </c>
      <c r="Y137" t="s">
        <v>2756</v>
      </c>
      <c r="Z137" t="s">
        <v>2757</v>
      </c>
      <c r="AA137" t="s">
        <v>74</v>
      </c>
      <c r="AB137" t="s">
        <v>74</v>
      </c>
      <c r="AC137" t="s">
        <v>74</v>
      </c>
      <c r="AD137" t="s">
        <v>74</v>
      </c>
      <c r="AE137" t="s">
        <v>74</v>
      </c>
      <c r="AF137" t="s">
        <v>74</v>
      </c>
      <c r="AG137">
        <v>19</v>
      </c>
      <c r="AH137">
        <v>8</v>
      </c>
      <c r="AI137">
        <v>8</v>
      </c>
      <c r="AJ137">
        <v>0</v>
      </c>
      <c r="AK137">
        <v>2</v>
      </c>
      <c r="AL137" t="s">
        <v>1161</v>
      </c>
      <c r="AM137" t="s">
        <v>1162</v>
      </c>
      <c r="AN137" t="s">
        <v>1163</v>
      </c>
      <c r="AO137" t="s">
        <v>2758</v>
      </c>
      <c r="AP137" t="s">
        <v>2759</v>
      </c>
      <c r="AQ137" t="s">
        <v>74</v>
      </c>
      <c r="AR137" t="s">
        <v>2760</v>
      </c>
      <c r="AS137" t="s">
        <v>2761</v>
      </c>
      <c r="AT137" t="s">
        <v>2226</v>
      </c>
      <c r="AU137">
        <v>2010</v>
      </c>
      <c r="AV137">
        <v>36</v>
      </c>
      <c r="AW137">
        <v>5</v>
      </c>
      <c r="AX137" t="s">
        <v>74</v>
      </c>
      <c r="AY137" t="s">
        <v>74</v>
      </c>
      <c r="AZ137" t="s">
        <v>582</v>
      </c>
      <c r="BA137" t="s">
        <v>74</v>
      </c>
      <c r="BB137">
        <v>464</v>
      </c>
      <c r="BC137">
        <v>473</v>
      </c>
      <c r="BD137" t="s">
        <v>74</v>
      </c>
      <c r="BE137" t="s">
        <v>2762</v>
      </c>
      <c r="BF137" t="str">
        <f>HYPERLINK("http://dx.doi.org/10.5589/m10-081","http://dx.doi.org/10.5589/m10-081")</f>
        <v>http://dx.doi.org/10.5589/m10-081</v>
      </c>
      <c r="BG137" t="s">
        <v>74</v>
      </c>
      <c r="BH137" t="s">
        <v>74</v>
      </c>
      <c r="BI137">
        <v>10</v>
      </c>
      <c r="BJ137" t="s">
        <v>2763</v>
      </c>
      <c r="BK137" t="s">
        <v>100</v>
      </c>
      <c r="BL137" t="s">
        <v>2763</v>
      </c>
      <c r="BM137" t="s">
        <v>2764</v>
      </c>
      <c r="BN137" t="s">
        <v>74</v>
      </c>
      <c r="BO137" t="s">
        <v>74</v>
      </c>
      <c r="BP137" t="s">
        <v>74</v>
      </c>
      <c r="BQ137" t="s">
        <v>74</v>
      </c>
      <c r="BR137" t="s">
        <v>104</v>
      </c>
      <c r="BS137" t="s">
        <v>2765</v>
      </c>
      <c r="BT137" t="str">
        <f>HYPERLINK("https%3A%2F%2Fwww.webofscience.com%2Fwos%2Fwoscc%2Ffull-record%2FWOS:000208356500004","View Full Record in Web of Science")</f>
        <v>View Full Record in Web of Science</v>
      </c>
    </row>
    <row r="138" spans="1:72" x14ac:dyDescent="0.15">
      <c r="A138" t="s">
        <v>72</v>
      </c>
      <c r="B138" t="s">
        <v>2766</v>
      </c>
      <c r="C138" t="s">
        <v>74</v>
      </c>
      <c r="D138" t="s">
        <v>74</v>
      </c>
      <c r="E138" t="s">
        <v>74</v>
      </c>
      <c r="F138" t="s">
        <v>2767</v>
      </c>
      <c r="G138" t="s">
        <v>74</v>
      </c>
      <c r="H138" t="s">
        <v>74</v>
      </c>
      <c r="I138" t="s">
        <v>2768</v>
      </c>
      <c r="J138" t="s">
        <v>2751</v>
      </c>
      <c r="K138" t="s">
        <v>74</v>
      </c>
      <c r="L138" t="s">
        <v>74</v>
      </c>
      <c r="M138" t="s">
        <v>78</v>
      </c>
      <c r="N138" t="s">
        <v>79</v>
      </c>
      <c r="O138" t="s">
        <v>74</v>
      </c>
      <c r="P138" t="s">
        <v>74</v>
      </c>
      <c r="Q138" t="s">
        <v>74</v>
      </c>
      <c r="R138" t="s">
        <v>74</v>
      </c>
      <c r="S138" t="s">
        <v>74</v>
      </c>
      <c r="T138" t="s">
        <v>74</v>
      </c>
      <c r="U138" t="s">
        <v>2769</v>
      </c>
      <c r="V138" t="s">
        <v>2770</v>
      </c>
      <c r="W138" t="s">
        <v>2771</v>
      </c>
      <c r="X138" t="s">
        <v>2772</v>
      </c>
      <c r="Y138" t="s">
        <v>2773</v>
      </c>
      <c r="Z138" t="s">
        <v>2774</v>
      </c>
      <c r="AA138" t="s">
        <v>2775</v>
      </c>
      <c r="AB138" t="s">
        <v>2776</v>
      </c>
      <c r="AC138" t="s">
        <v>2777</v>
      </c>
      <c r="AD138" t="s">
        <v>2778</v>
      </c>
      <c r="AE138" t="s">
        <v>2779</v>
      </c>
      <c r="AF138" t="s">
        <v>74</v>
      </c>
      <c r="AG138">
        <v>34</v>
      </c>
      <c r="AH138">
        <v>40</v>
      </c>
      <c r="AI138">
        <v>41</v>
      </c>
      <c r="AJ138">
        <v>0</v>
      </c>
      <c r="AK138">
        <v>17</v>
      </c>
      <c r="AL138" t="s">
        <v>1161</v>
      </c>
      <c r="AM138" t="s">
        <v>1162</v>
      </c>
      <c r="AN138" t="s">
        <v>1163</v>
      </c>
      <c r="AO138" t="s">
        <v>2758</v>
      </c>
      <c r="AP138" t="s">
        <v>2759</v>
      </c>
      <c r="AQ138" t="s">
        <v>74</v>
      </c>
      <c r="AR138" t="s">
        <v>2760</v>
      </c>
      <c r="AS138" t="s">
        <v>2761</v>
      </c>
      <c r="AT138" t="s">
        <v>2226</v>
      </c>
      <c r="AU138">
        <v>2010</v>
      </c>
      <c r="AV138">
        <v>36</v>
      </c>
      <c r="AW138">
        <v>5</v>
      </c>
      <c r="AX138" t="s">
        <v>74</v>
      </c>
      <c r="AY138" t="s">
        <v>74</v>
      </c>
      <c r="AZ138" t="s">
        <v>582</v>
      </c>
      <c r="BA138" t="s">
        <v>74</v>
      </c>
      <c r="BB138">
        <v>498</v>
      </c>
      <c r="BC138">
        <v>513</v>
      </c>
      <c r="BD138" t="s">
        <v>74</v>
      </c>
      <c r="BE138" t="s">
        <v>2780</v>
      </c>
      <c r="BF138" t="str">
        <f>HYPERLINK("http://dx.doi.org/10.5589/m10-075","http://dx.doi.org/10.5589/m10-075")</f>
        <v>http://dx.doi.org/10.5589/m10-075</v>
      </c>
      <c r="BG138" t="s">
        <v>74</v>
      </c>
      <c r="BH138" t="s">
        <v>74</v>
      </c>
      <c r="BI138">
        <v>16</v>
      </c>
      <c r="BJ138" t="s">
        <v>2763</v>
      </c>
      <c r="BK138" t="s">
        <v>100</v>
      </c>
      <c r="BL138" t="s">
        <v>2763</v>
      </c>
      <c r="BM138" t="s">
        <v>2764</v>
      </c>
      <c r="BN138" t="s">
        <v>74</v>
      </c>
      <c r="BO138" t="s">
        <v>74</v>
      </c>
      <c r="BP138" t="s">
        <v>74</v>
      </c>
      <c r="BQ138" t="s">
        <v>74</v>
      </c>
      <c r="BR138" t="s">
        <v>104</v>
      </c>
      <c r="BS138" t="s">
        <v>2781</v>
      </c>
      <c r="BT138" t="str">
        <f>HYPERLINK("https%3A%2F%2Fwww.webofscience.com%2Fwos%2Fwoscc%2Ffull-record%2FWOS:000208356500007","View Full Record in Web of Science")</f>
        <v>View Full Record in Web of Science</v>
      </c>
    </row>
    <row r="139" spans="1:72" x14ac:dyDescent="0.15">
      <c r="A139" t="s">
        <v>72</v>
      </c>
      <c r="B139" t="s">
        <v>2782</v>
      </c>
      <c r="C139" t="s">
        <v>74</v>
      </c>
      <c r="D139" t="s">
        <v>74</v>
      </c>
      <c r="E139" t="s">
        <v>74</v>
      </c>
      <c r="F139" t="s">
        <v>2783</v>
      </c>
      <c r="G139" t="s">
        <v>74</v>
      </c>
      <c r="H139" t="s">
        <v>74</v>
      </c>
      <c r="I139" t="s">
        <v>2784</v>
      </c>
      <c r="J139" t="s">
        <v>2785</v>
      </c>
      <c r="K139" t="s">
        <v>74</v>
      </c>
      <c r="L139" t="s">
        <v>74</v>
      </c>
      <c r="M139" t="s">
        <v>78</v>
      </c>
      <c r="N139" t="s">
        <v>220</v>
      </c>
      <c r="O139" t="s">
        <v>74</v>
      </c>
      <c r="P139" t="s">
        <v>74</v>
      </c>
      <c r="Q139" t="s">
        <v>74</v>
      </c>
      <c r="R139" t="s">
        <v>74</v>
      </c>
      <c r="S139" t="s">
        <v>74</v>
      </c>
      <c r="T139" t="s">
        <v>74</v>
      </c>
      <c r="U139" t="s">
        <v>74</v>
      </c>
      <c r="V139" t="s">
        <v>74</v>
      </c>
      <c r="W139" t="s">
        <v>2786</v>
      </c>
      <c r="X139" t="s">
        <v>1460</v>
      </c>
      <c r="Y139" t="s">
        <v>1616</v>
      </c>
      <c r="Z139" t="s">
        <v>1617</v>
      </c>
      <c r="AA139" t="s">
        <v>2787</v>
      </c>
      <c r="AB139" t="s">
        <v>2788</v>
      </c>
      <c r="AC139" t="s">
        <v>74</v>
      </c>
      <c r="AD139" t="s">
        <v>74</v>
      </c>
      <c r="AE139" t="s">
        <v>74</v>
      </c>
      <c r="AF139" t="s">
        <v>74</v>
      </c>
      <c r="AG139">
        <v>1</v>
      </c>
      <c r="AH139">
        <v>0</v>
      </c>
      <c r="AI139">
        <v>0</v>
      </c>
      <c r="AJ139">
        <v>0</v>
      </c>
      <c r="AK139">
        <v>0</v>
      </c>
      <c r="AL139" t="s">
        <v>2789</v>
      </c>
      <c r="AM139" t="s">
        <v>1598</v>
      </c>
      <c r="AN139" t="s">
        <v>2790</v>
      </c>
      <c r="AO139" t="s">
        <v>2791</v>
      </c>
      <c r="AP139" t="s">
        <v>74</v>
      </c>
      <c r="AQ139" t="s">
        <v>74</v>
      </c>
      <c r="AR139" t="s">
        <v>2792</v>
      </c>
      <c r="AS139" t="s">
        <v>2793</v>
      </c>
      <c r="AT139" t="s">
        <v>2226</v>
      </c>
      <c r="AU139">
        <v>2010</v>
      </c>
      <c r="AV139">
        <v>1</v>
      </c>
      <c r="AW139">
        <v>1</v>
      </c>
      <c r="AX139" t="s">
        <v>74</v>
      </c>
      <c r="AY139" t="s">
        <v>74</v>
      </c>
      <c r="AZ139" t="s">
        <v>74</v>
      </c>
      <c r="BA139" t="s">
        <v>74</v>
      </c>
      <c r="BB139">
        <v>5</v>
      </c>
      <c r="BC139">
        <v>7</v>
      </c>
      <c r="BD139" t="s">
        <v>74</v>
      </c>
      <c r="BE139" t="s">
        <v>2794</v>
      </c>
      <c r="BF139" t="str">
        <f>HYPERLINK("http://dx.doi.org/10.4155/CMT.10.10","http://dx.doi.org/10.4155/CMT.10.10")</f>
        <v>http://dx.doi.org/10.4155/CMT.10.10</v>
      </c>
      <c r="BG139" t="s">
        <v>74</v>
      </c>
      <c r="BH139" t="s">
        <v>74</v>
      </c>
      <c r="BI139">
        <v>3</v>
      </c>
      <c r="BJ139" t="s">
        <v>2795</v>
      </c>
      <c r="BK139" t="s">
        <v>2796</v>
      </c>
      <c r="BL139" t="s">
        <v>2797</v>
      </c>
      <c r="BM139" t="s">
        <v>2798</v>
      </c>
      <c r="BN139" t="s">
        <v>74</v>
      </c>
      <c r="BO139" t="s">
        <v>74</v>
      </c>
      <c r="BP139" t="s">
        <v>74</v>
      </c>
      <c r="BQ139" t="s">
        <v>74</v>
      </c>
      <c r="BR139" t="s">
        <v>104</v>
      </c>
      <c r="BS139" t="s">
        <v>2799</v>
      </c>
      <c r="BT139" t="str">
        <f>HYPERLINK("https%3A%2F%2Fwww.webofscience.com%2Fwos%2Fwoscc%2Ffull-record%2FWOS:000208650000002","View Full Record in Web of Science")</f>
        <v>View Full Record in Web of Science</v>
      </c>
    </row>
    <row r="140" spans="1:72" x14ac:dyDescent="0.15">
      <c r="A140" t="s">
        <v>72</v>
      </c>
      <c r="B140" t="s">
        <v>2800</v>
      </c>
      <c r="C140" t="s">
        <v>74</v>
      </c>
      <c r="D140" t="s">
        <v>74</v>
      </c>
      <c r="E140" t="s">
        <v>74</v>
      </c>
      <c r="F140" t="s">
        <v>2801</v>
      </c>
      <c r="G140" t="s">
        <v>74</v>
      </c>
      <c r="H140" t="s">
        <v>74</v>
      </c>
      <c r="I140" t="s">
        <v>2802</v>
      </c>
      <c r="J140" t="s">
        <v>425</v>
      </c>
      <c r="K140" t="s">
        <v>74</v>
      </c>
      <c r="L140" t="s">
        <v>74</v>
      </c>
      <c r="M140" t="s">
        <v>78</v>
      </c>
      <c r="N140" t="s">
        <v>79</v>
      </c>
      <c r="O140" t="s">
        <v>74</v>
      </c>
      <c r="P140" t="s">
        <v>74</v>
      </c>
      <c r="Q140" t="s">
        <v>74</v>
      </c>
      <c r="R140" t="s">
        <v>74</v>
      </c>
      <c r="S140" t="s">
        <v>74</v>
      </c>
      <c r="T140" t="s">
        <v>2803</v>
      </c>
      <c r="U140" t="s">
        <v>2804</v>
      </c>
      <c r="V140" t="s">
        <v>2805</v>
      </c>
      <c r="W140" t="s">
        <v>2806</v>
      </c>
      <c r="X140" t="s">
        <v>2807</v>
      </c>
      <c r="Y140" t="s">
        <v>2808</v>
      </c>
      <c r="Z140" t="s">
        <v>2809</v>
      </c>
      <c r="AA140" t="s">
        <v>74</v>
      </c>
      <c r="AB140" t="s">
        <v>74</v>
      </c>
      <c r="AC140" t="s">
        <v>2810</v>
      </c>
      <c r="AD140" t="s">
        <v>2811</v>
      </c>
      <c r="AE140" t="s">
        <v>2812</v>
      </c>
      <c r="AF140" t="s">
        <v>74</v>
      </c>
      <c r="AG140">
        <v>33</v>
      </c>
      <c r="AH140">
        <v>2</v>
      </c>
      <c r="AI140">
        <v>5</v>
      </c>
      <c r="AJ140">
        <v>2</v>
      </c>
      <c r="AK140">
        <v>20</v>
      </c>
      <c r="AL140" t="s">
        <v>436</v>
      </c>
      <c r="AM140" t="s">
        <v>437</v>
      </c>
      <c r="AN140" t="s">
        <v>438</v>
      </c>
      <c r="AO140" t="s">
        <v>439</v>
      </c>
      <c r="AP140" t="s">
        <v>440</v>
      </c>
      <c r="AQ140" t="s">
        <v>74</v>
      </c>
      <c r="AR140" t="s">
        <v>441</v>
      </c>
      <c r="AS140" t="s">
        <v>442</v>
      </c>
      <c r="AT140" t="s">
        <v>2226</v>
      </c>
      <c r="AU140">
        <v>2010</v>
      </c>
      <c r="AV140">
        <v>55</v>
      </c>
      <c r="AW140">
        <v>29</v>
      </c>
      <c r="AX140" t="s">
        <v>74</v>
      </c>
      <c r="AY140" t="s">
        <v>74</v>
      </c>
      <c r="AZ140" t="s">
        <v>74</v>
      </c>
      <c r="BA140" t="s">
        <v>74</v>
      </c>
      <c r="BB140">
        <v>3338</v>
      </c>
      <c r="BC140">
        <v>3344</v>
      </c>
      <c r="BD140" t="s">
        <v>74</v>
      </c>
      <c r="BE140" t="s">
        <v>2813</v>
      </c>
      <c r="BF140" t="str">
        <f>HYPERLINK("http://dx.doi.org/10.1007/s11434-010-4074-7","http://dx.doi.org/10.1007/s11434-010-4074-7")</f>
        <v>http://dx.doi.org/10.1007/s11434-010-4074-7</v>
      </c>
      <c r="BG140" t="s">
        <v>74</v>
      </c>
      <c r="BH140" t="s">
        <v>74</v>
      </c>
      <c r="BI140">
        <v>7</v>
      </c>
      <c r="BJ140" t="s">
        <v>444</v>
      </c>
      <c r="BK140" t="s">
        <v>100</v>
      </c>
      <c r="BL140" t="s">
        <v>445</v>
      </c>
      <c r="BM140" t="s">
        <v>2814</v>
      </c>
      <c r="BN140" t="s">
        <v>74</v>
      </c>
      <c r="BO140" t="s">
        <v>74</v>
      </c>
      <c r="BP140" t="s">
        <v>74</v>
      </c>
      <c r="BQ140" t="s">
        <v>74</v>
      </c>
      <c r="BR140" t="s">
        <v>104</v>
      </c>
      <c r="BS140" t="s">
        <v>2815</v>
      </c>
      <c r="BT140" t="str">
        <f>HYPERLINK("https%3A%2F%2Fwww.webofscience.com%2Fwos%2Fwoscc%2Ffull-record%2FWOS:000283360600017","View Full Record in Web of Science")</f>
        <v>View Full Record in Web of Science</v>
      </c>
    </row>
    <row r="141" spans="1:72" x14ac:dyDescent="0.15">
      <c r="A141" t="s">
        <v>72</v>
      </c>
      <c r="B141" t="s">
        <v>2816</v>
      </c>
      <c r="C141" t="s">
        <v>74</v>
      </c>
      <c r="D141" t="s">
        <v>74</v>
      </c>
      <c r="E141" t="s">
        <v>74</v>
      </c>
      <c r="F141" t="s">
        <v>2817</v>
      </c>
      <c r="G141" t="s">
        <v>74</v>
      </c>
      <c r="H141" t="s">
        <v>74</v>
      </c>
      <c r="I141" t="s">
        <v>2818</v>
      </c>
      <c r="J141" t="s">
        <v>451</v>
      </c>
      <c r="K141" t="s">
        <v>74</v>
      </c>
      <c r="L141" t="s">
        <v>74</v>
      </c>
      <c r="M141" t="s">
        <v>78</v>
      </c>
      <c r="N141" t="s">
        <v>79</v>
      </c>
      <c r="O141" t="s">
        <v>74</v>
      </c>
      <c r="P141" t="s">
        <v>74</v>
      </c>
      <c r="Q141" t="s">
        <v>74</v>
      </c>
      <c r="R141" t="s">
        <v>74</v>
      </c>
      <c r="S141" t="s">
        <v>74</v>
      </c>
      <c r="T141" t="s">
        <v>74</v>
      </c>
      <c r="U141" t="s">
        <v>2819</v>
      </c>
      <c r="V141" t="s">
        <v>2820</v>
      </c>
      <c r="W141" t="s">
        <v>2821</v>
      </c>
      <c r="X141" t="s">
        <v>2822</v>
      </c>
      <c r="Y141" t="s">
        <v>2823</v>
      </c>
      <c r="Z141" t="s">
        <v>2824</v>
      </c>
      <c r="AA141" t="s">
        <v>2825</v>
      </c>
      <c r="AB141" t="s">
        <v>2826</v>
      </c>
      <c r="AC141" t="s">
        <v>74</v>
      </c>
      <c r="AD141" t="s">
        <v>74</v>
      </c>
      <c r="AE141" t="s">
        <v>74</v>
      </c>
      <c r="AF141" t="s">
        <v>74</v>
      </c>
      <c r="AG141">
        <v>65</v>
      </c>
      <c r="AH141">
        <v>19</v>
      </c>
      <c r="AI141">
        <v>20</v>
      </c>
      <c r="AJ141">
        <v>0</v>
      </c>
      <c r="AK141">
        <v>37</v>
      </c>
      <c r="AL141" t="s">
        <v>464</v>
      </c>
      <c r="AM141" t="s">
        <v>310</v>
      </c>
      <c r="AN141" t="s">
        <v>971</v>
      </c>
      <c r="AO141" t="s">
        <v>466</v>
      </c>
      <c r="AP141" t="s">
        <v>467</v>
      </c>
      <c r="AQ141" t="s">
        <v>74</v>
      </c>
      <c r="AR141" t="s">
        <v>468</v>
      </c>
      <c r="AS141" t="s">
        <v>469</v>
      </c>
      <c r="AT141" t="s">
        <v>2226</v>
      </c>
      <c r="AU141">
        <v>2010</v>
      </c>
      <c r="AV141">
        <v>35</v>
      </c>
      <c r="AW141">
        <v>5</v>
      </c>
      <c r="AX141" t="s">
        <v>74</v>
      </c>
      <c r="AY141" t="s">
        <v>74</v>
      </c>
      <c r="AZ141" t="s">
        <v>74</v>
      </c>
      <c r="BA141" t="s">
        <v>74</v>
      </c>
      <c r="BB141">
        <v>741</v>
      </c>
      <c r="BC141">
        <v>756</v>
      </c>
      <c r="BD141" t="s">
        <v>74</v>
      </c>
      <c r="BE141" t="s">
        <v>2827</v>
      </c>
      <c r="BF141" t="str">
        <f>HYPERLINK("http://dx.doi.org/10.1007/s00382-009-0643-3","http://dx.doi.org/10.1007/s00382-009-0643-3")</f>
        <v>http://dx.doi.org/10.1007/s00382-009-0643-3</v>
      </c>
      <c r="BG141" t="s">
        <v>74</v>
      </c>
      <c r="BH141" t="s">
        <v>74</v>
      </c>
      <c r="BI141">
        <v>16</v>
      </c>
      <c r="BJ141" t="s">
        <v>319</v>
      </c>
      <c r="BK141" t="s">
        <v>100</v>
      </c>
      <c r="BL141" t="s">
        <v>319</v>
      </c>
      <c r="BM141" t="s">
        <v>2828</v>
      </c>
      <c r="BN141" t="s">
        <v>74</v>
      </c>
      <c r="BO141" t="s">
        <v>74</v>
      </c>
      <c r="BP141" t="s">
        <v>74</v>
      </c>
      <c r="BQ141" t="s">
        <v>74</v>
      </c>
      <c r="BR141" t="s">
        <v>104</v>
      </c>
      <c r="BS141" t="s">
        <v>2829</v>
      </c>
      <c r="BT141" t="str">
        <f>HYPERLINK("https%3A%2F%2Fwww.webofscience.com%2Fwos%2Fwoscc%2Ffull-record%2FWOS:000282210800002","View Full Record in Web of Science")</f>
        <v>View Full Record in Web of Science</v>
      </c>
    </row>
    <row r="142" spans="1:72" x14ac:dyDescent="0.15">
      <c r="A142" t="s">
        <v>72</v>
      </c>
      <c r="B142" t="s">
        <v>2830</v>
      </c>
      <c r="C142" t="s">
        <v>74</v>
      </c>
      <c r="D142" t="s">
        <v>74</v>
      </c>
      <c r="E142" t="s">
        <v>74</v>
      </c>
      <c r="F142" t="s">
        <v>2831</v>
      </c>
      <c r="G142" t="s">
        <v>74</v>
      </c>
      <c r="H142" t="s">
        <v>74</v>
      </c>
      <c r="I142" t="s">
        <v>2832</v>
      </c>
      <c r="J142" t="s">
        <v>451</v>
      </c>
      <c r="K142" t="s">
        <v>74</v>
      </c>
      <c r="L142" t="s">
        <v>74</v>
      </c>
      <c r="M142" t="s">
        <v>78</v>
      </c>
      <c r="N142" t="s">
        <v>79</v>
      </c>
      <c r="O142" t="s">
        <v>74</v>
      </c>
      <c r="P142" t="s">
        <v>74</v>
      </c>
      <c r="Q142" t="s">
        <v>74</v>
      </c>
      <c r="R142" t="s">
        <v>74</v>
      </c>
      <c r="S142" t="s">
        <v>74</v>
      </c>
      <c r="T142" t="s">
        <v>2833</v>
      </c>
      <c r="U142" t="s">
        <v>2834</v>
      </c>
      <c r="V142" t="s">
        <v>2835</v>
      </c>
      <c r="W142" t="s">
        <v>2836</v>
      </c>
      <c r="X142" t="s">
        <v>2837</v>
      </c>
      <c r="Y142" t="s">
        <v>2838</v>
      </c>
      <c r="Z142" t="s">
        <v>2839</v>
      </c>
      <c r="AA142" t="s">
        <v>2840</v>
      </c>
      <c r="AB142" t="s">
        <v>2841</v>
      </c>
      <c r="AC142" t="s">
        <v>2842</v>
      </c>
      <c r="AD142" t="s">
        <v>2843</v>
      </c>
      <c r="AE142" t="s">
        <v>74</v>
      </c>
      <c r="AF142" t="s">
        <v>74</v>
      </c>
      <c r="AG142">
        <v>76</v>
      </c>
      <c r="AH142">
        <v>27</v>
      </c>
      <c r="AI142">
        <v>30</v>
      </c>
      <c r="AJ142">
        <v>0</v>
      </c>
      <c r="AK142">
        <v>12</v>
      </c>
      <c r="AL142" t="s">
        <v>464</v>
      </c>
      <c r="AM142" t="s">
        <v>310</v>
      </c>
      <c r="AN142" t="s">
        <v>465</v>
      </c>
      <c r="AO142" t="s">
        <v>466</v>
      </c>
      <c r="AP142" t="s">
        <v>467</v>
      </c>
      <c r="AQ142" t="s">
        <v>74</v>
      </c>
      <c r="AR142" t="s">
        <v>468</v>
      </c>
      <c r="AS142" t="s">
        <v>469</v>
      </c>
      <c r="AT142" t="s">
        <v>2226</v>
      </c>
      <c r="AU142">
        <v>2010</v>
      </c>
      <c r="AV142">
        <v>35</v>
      </c>
      <c r="AW142">
        <v>5</v>
      </c>
      <c r="AX142" t="s">
        <v>74</v>
      </c>
      <c r="AY142" t="s">
        <v>74</v>
      </c>
      <c r="AZ142" t="s">
        <v>74</v>
      </c>
      <c r="BA142" t="s">
        <v>74</v>
      </c>
      <c r="BB142">
        <v>757</v>
      </c>
      <c r="BC142">
        <v>770</v>
      </c>
      <c r="BD142" t="s">
        <v>74</v>
      </c>
      <c r="BE142" t="s">
        <v>2844</v>
      </c>
      <c r="BF142" t="str">
        <f>HYPERLINK("http://dx.doi.org/10.1007/s00382-009-0616-6","http://dx.doi.org/10.1007/s00382-009-0616-6")</f>
        <v>http://dx.doi.org/10.1007/s00382-009-0616-6</v>
      </c>
      <c r="BG142" t="s">
        <v>74</v>
      </c>
      <c r="BH142" t="s">
        <v>74</v>
      </c>
      <c r="BI142">
        <v>14</v>
      </c>
      <c r="BJ142" t="s">
        <v>319</v>
      </c>
      <c r="BK142" t="s">
        <v>100</v>
      </c>
      <c r="BL142" t="s">
        <v>319</v>
      </c>
      <c r="BM142" t="s">
        <v>2828</v>
      </c>
      <c r="BN142" t="s">
        <v>74</v>
      </c>
      <c r="BO142" t="s">
        <v>74</v>
      </c>
      <c r="BP142" t="s">
        <v>74</v>
      </c>
      <c r="BQ142" t="s">
        <v>74</v>
      </c>
      <c r="BR142" t="s">
        <v>104</v>
      </c>
      <c r="BS142" t="s">
        <v>2845</v>
      </c>
      <c r="BT142" t="str">
        <f>HYPERLINK("https%3A%2F%2Fwww.webofscience.com%2Fwos%2Fwoscc%2Ffull-record%2FWOS:000282210800003","View Full Record in Web of Science")</f>
        <v>View Full Record in Web of Science</v>
      </c>
    </row>
    <row r="143" spans="1:72" x14ac:dyDescent="0.15">
      <c r="A143" t="s">
        <v>72</v>
      </c>
      <c r="B143" t="s">
        <v>2553</v>
      </c>
      <c r="C143" t="s">
        <v>74</v>
      </c>
      <c r="D143" t="s">
        <v>74</v>
      </c>
      <c r="E143" t="s">
        <v>74</v>
      </c>
      <c r="F143" t="s">
        <v>2846</v>
      </c>
      <c r="G143" t="s">
        <v>74</v>
      </c>
      <c r="H143" t="s">
        <v>74</v>
      </c>
      <c r="I143" t="s">
        <v>2847</v>
      </c>
      <c r="J143" t="s">
        <v>451</v>
      </c>
      <c r="K143" t="s">
        <v>74</v>
      </c>
      <c r="L143" t="s">
        <v>74</v>
      </c>
      <c r="M143" t="s">
        <v>78</v>
      </c>
      <c r="N143" t="s">
        <v>79</v>
      </c>
      <c r="O143" t="s">
        <v>74</v>
      </c>
      <c r="P143" t="s">
        <v>74</v>
      </c>
      <c r="Q143" t="s">
        <v>74</v>
      </c>
      <c r="R143" t="s">
        <v>74</v>
      </c>
      <c r="S143" t="s">
        <v>74</v>
      </c>
      <c r="T143" t="s">
        <v>2848</v>
      </c>
      <c r="U143" t="s">
        <v>2849</v>
      </c>
      <c r="V143" t="s">
        <v>2850</v>
      </c>
      <c r="W143" t="s">
        <v>2851</v>
      </c>
      <c r="X143" t="s">
        <v>2560</v>
      </c>
      <c r="Y143" t="s">
        <v>2561</v>
      </c>
      <c r="Z143" t="s">
        <v>2852</v>
      </c>
      <c r="AA143" t="s">
        <v>2562</v>
      </c>
      <c r="AB143" t="s">
        <v>2563</v>
      </c>
      <c r="AC143" t="s">
        <v>2853</v>
      </c>
      <c r="AD143" t="s">
        <v>2854</v>
      </c>
      <c r="AE143" t="s">
        <v>2855</v>
      </c>
      <c r="AF143" t="s">
        <v>74</v>
      </c>
      <c r="AG143">
        <v>36</v>
      </c>
      <c r="AH143">
        <v>19</v>
      </c>
      <c r="AI143">
        <v>20</v>
      </c>
      <c r="AJ143">
        <v>2</v>
      </c>
      <c r="AK143">
        <v>13</v>
      </c>
      <c r="AL143" t="s">
        <v>464</v>
      </c>
      <c r="AM143" t="s">
        <v>310</v>
      </c>
      <c r="AN143" t="s">
        <v>465</v>
      </c>
      <c r="AO143" t="s">
        <v>466</v>
      </c>
      <c r="AP143" t="s">
        <v>467</v>
      </c>
      <c r="AQ143" t="s">
        <v>74</v>
      </c>
      <c r="AR143" t="s">
        <v>468</v>
      </c>
      <c r="AS143" t="s">
        <v>469</v>
      </c>
      <c r="AT143" t="s">
        <v>2226</v>
      </c>
      <c r="AU143">
        <v>2010</v>
      </c>
      <c r="AV143">
        <v>35</v>
      </c>
      <c r="AW143">
        <v>5</v>
      </c>
      <c r="AX143" t="s">
        <v>74</v>
      </c>
      <c r="AY143" t="s">
        <v>74</v>
      </c>
      <c r="AZ143" t="s">
        <v>74</v>
      </c>
      <c r="BA143" t="s">
        <v>74</v>
      </c>
      <c r="BB143">
        <v>859</v>
      </c>
      <c r="BC143">
        <v>873</v>
      </c>
      <c r="BD143" t="s">
        <v>74</v>
      </c>
      <c r="BE143" t="s">
        <v>2856</v>
      </c>
      <c r="BF143" t="str">
        <f>HYPERLINK("http://dx.doi.org/10.1007/s00382-009-0663-z","http://dx.doi.org/10.1007/s00382-009-0663-z")</f>
        <v>http://dx.doi.org/10.1007/s00382-009-0663-z</v>
      </c>
      <c r="BG143" t="s">
        <v>74</v>
      </c>
      <c r="BH143" t="s">
        <v>74</v>
      </c>
      <c r="BI143">
        <v>15</v>
      </c>
      <c r="BJ143" t="s">
        <v>319</v>
      </c>
      <c r="BK143" t="s">
        <v>100</v>
      </c>
      <c r="BL143" t="s">
        <v>319</v>
      </c>
      <c r="BM143" t="s">
        <v>2828</v>
      </c>
      <c r="BN143" t="s">
        <v>74</v>
      </c>
      <c r="BO143" t="s">
        <v>2857</v>
      </c>
      <c r="BP143" t="s">
        <v>74</v>
      </c>
      <c r="BQ143" t="s">
        <v>74</v>
      </c>
      <c r="BR143" t="s">
        <v>104</v>
      </c>
      <c r="BS143" t="s">
        <v>2858</v>
      </c>
      <c r="BT143" t="str">
        <f>HYPERLINK("https%3A%2F%2Fwww.webofscience.com%2Fwos%2Fwoscc%2Ffull-record%2FWOS:000282210800009","View Full Record in Web of Science")</f>
        <v>View Full Record in Web of Science</v>
      </c>
    </row>
    <row r="144" spans="1:72" x14ac:dyDescent="0.15">
      <c r="A144" t="s">
        <v>72</v>
      </c>
      <c r="B144" t="s">
        <v>2859</v>
      </c>
      <c r="C144" t="s">
        <v>74</v>
      </c>
      <c r="D144" t="s">
        <v>74</v>
      </c>
      <c r="E144" t="s">
        <v>74</v>
      </c>
      <c r="F144" t="s">
        <v>2860</v>
      </c>
      <c r="G144" t="s">
        <v>74</v>
      </c>
      <c r="H144" t="s">
        <v>74</v>
      </c>
      <c r="I144" t="s">
        <v>2861</v>
      </c>
      <c r="J144" t="s">
        <v>2862</v>
      </c>
      <c r="K144" t="s">
        <v>74</v>
      </c>
      <c r="L144" t="s">
        <v>74</v>
      </c>
      <c r="M144" t="s">
        <v>78</v>
      </c>
      <c r="N144" t="s">
        <v>79</v>
      </c>
      <c r="O144" t="s">
        <v>74</v>
      </c>
      <c r="P144" t="s">
        <v>74</v>
      </c>
      <c r="Q144" t="s">
        <v>74</v>
      </c>
      <c r="R144" t="s">
        <v>74</v>
      </c>
      <c r="S144" t="s">
        <v>74</v>
      </c>
      <c r="T144" t="s">
        <v>74</v>
      </c>
      <c r="U144" t="s">
        <v>2863</v>
      </c>
      <c r="V144" t="s">
        <v>2864</v>
      </c>
      <c r="W144" t="s">
        <v>2865</v>
      </c>
      <c r="X144" t="s">
        <v>2866</v>
      </c>
      <c r="Y144" t="s">
        <v>2867</v>
      </c>
      <c r="Z144" t="s">
        <v>2868</v>
      </c>
      <c r="AA144" t="s">
        <v>2869</v>
      </c>
      <c r="AB144" t="s">
        <v>2870</v>
      </c>
      <c r="AC144" t="s">
        <v>2871</v>
      </c>
      <c r="AD144" t="s">
        <v>2872</v>
      </c>
      <c r="AE144" t="s">
        <v>2873</v>
      </c>
      <c r="AF144" t="s">
        <v>74</v>
      </c>
      <c r="AG144">
        <v>91</v>
      </c>
      <c r="AH144">
        <v>50</v>
      </c>
      <c r="AI144">
        <v>52</v>
      </c>
      <c r="AJ144">
        <v>1</v>
      </c>
      <c r="AK144">
        <v>6</v>
      </c>
      <c r="AL144" t="s">
        <v>464</v>
      </c>
      <c r="AM144" t="s">
        <v>576</v>
      </c>
      <c r="AN144" t="s">
        <v>577</v>
      </c>
      <c r="AO144" t="s">
        <v>2874</v>
      </c>
      <c r="AP144" t="s">
        <v>2875</v>
      </c>
      <c r="AQ144" t="s">
        <v>74</v>
      </c>
      <c r="AR144" t="s">
        <v>2862</v>
      </c>
      <c r="AS144" t="s">
        <v>2876</v>
      </c>
      <c r="AT144" t="s">
        <v>2226</v>
      </c>
      <c r="AU144">
        <v>2010</v>
      </c>
      <c r="AV144">
        <v>102</v>
      </c>
      <c r="AW144" t="s">
        <v>556</v>
      </c>
      <c r="AX144" t="s">
        <v>74</v>
      </c>
      <c r="AY144" t="s">
        <v>74</v>
      </c>
      <c r="AZ144" t="s">
        <v>74</v>
      </c>
      <c r="BA144" t="s">
        <v>74</v>
      </c>
      <c r="BB144">
        <v>405</v>
      </c>
      <c r="BC144">
        <v>433</v>
      </c>
      <c r="BD144" t="s">
        <v>74</v>
      </c>
      <c r="BE144" t="s">
        <v>2877</v>
      </c>
      <c r="BF144" t="str">
        <f>HYPERLINK("http://dx.doi.org/10.1007/s10584-009-9756-2","http://dx.doi.org/10.1007/s10584-009-9756-2")</f>
        <v>http://dx.doi.org/10.1007/s10584-009-9756-2</v>
      </c>
      <c r="BG144" t="s">
        <v>74</v>
      </c>
      <c r="BH144" t="s">
        <v>74</v>
      </c>
      <c r="BI144">
        <v>29</v>
      </c>
      <c r="BJ144" t="s">
        <v>272</v>
      </c>
      <c r="BK144" t="s">
        <v>100</v>
      </c>
      <c r="BL144" t="s">
        <v>273</v>
      </c>
      <c r="BM144" t="s">
        <v>2878</v>
      </c>
      <c r="BN144" t="s">
        <v>74</v>
      </c>
      <c r="BO144" t="s">
        <v>74</v>
      </c>
      <c r="BP144" t="s">
        <v>74</v>
      </c>
      <c r="BQ144" t="s">
        <v>74</v>
      </c>
      <c r="BR144" t="s">
        <v>104</v>
      </c>
      <c r="BS144" t="s">
        <v>2879</v>
      </c>
      <c r="BT144" t="str">
        <f>HYPERLINK("https%3A%2F%2Fwww.webofscience.com%2Fwos%2Fwoscc%2Ffull-record%2FWOS:000282129400003","View Full Record in Web of Science")</f>
        <v>View Full Record in Web of Science</v>
      </c>
    </row>
    <row r="145" spans="1:72" x14ac:dyDescent="0.15">
      <c r="A145" t="s">
        <v>72</v>
      </c>
      <c r="B145" t="s">
        <v>2880</v>
      </c>
      <c r="C145" t="s">
        <v>74</v>
      </c>
      <c r="D145" t="s">
        <v>74</v>
      </c>
      <c r="E145" t="s">
        <v>74</v>
      </c>
      <c r="F145" t="s">
        <v>2881</v>
      </c>
      <c r="G145" t="s">
        <v>74</v>
      </c>
      <c r="H145" t="s">
        <v>74</v>
      </c>
      <c r="I145" t="s">
        <v>2882</v>
      </c>
      <c r="J145" t="s">
        <v>2883</v>
      </c>
      <c r="K145" t="s">
        <v>74</v>
      </c>
      <c r="L145" t="s">
        <v>74</v>
      </c>
      <c r="M145" t="s">
        <v>78</v>
      </c>
      <c r="N145" t="s">
        <v>326</v>
      </c>
      <c r="O145" t="s">
        <v>74</v>
      </c>
      <c r="P145" t="s">
        <v>74</v>
      </c>
      <c r="Q145" t="s">
        <v>74</v>
      </c>
      <c r="R145" t="s">
        <v>74</v>
      </c>
      <c r="S145" t="s">
        <v>74</v>
      </c>
      <c r="T145" t="s">
        <v>2884</v>
      </c>
      <c r="U145" t="s">
        <v>2885</v>
      </c>
      <c r="V145" t="s">
        <v>2886</v>
      </c>
      <c r="W145" t="s">
        <v>2887</v>
      </c>
      <c r="X145" t="s">
        <v>2888</v>
      </c>
      <c r="Y145" t="s">
        <v>2889</v>
      </c>
      <c r="Z145" t="s">
        <v>2890</v>
      </c>
      <c r="AA145" t="s">
        <v>74</v>
      </c>
      <c r="AB145" t="s">
        <v>74</v>
      </c>
      <c r="AC145" t="s">
        <v>2891</v>
      </c>
      <c r="AD145" t="s">
        <v>2892</v>
      </c>
      <c r="AE145" t="s">
        <v>2893</v>
      </c>
      <c r="AF145" t="s">
        <v>74</v>
      </c>
      <c r="AG145">
        <v>89</v>
      </c>
      <c r="AH145">
        <v>24</v>
      </c>
      <c r="AI145">
        <v>25</v>
      </c>
      <c r="AJ145">
        <v>1</v>
      </c>
      <c r="AK145">
        <v>39</v>
      </c>
      <c r="AL145" t="s">
        <v>309</v>
      </c>
      <c r="AM145" t="s">
        <v>310</v>
      </c>
      <c r="AN145" t="s">
        <v>311</v>
      </c>
      <c r="AO145" t="s">
        <v>2894</v>
      </c>
      <c r="AP145" t="s">
        <v>2895</v>
      </c>
      <c r="AQ145" t="s">
        <v>74</v>
      </c>
      <c r="AR145" t="s">
        <v>2896</v>
      </c>
      <c r="AS145" t="s">
        <v>2897</v>
      </c>
      <c r="AT145" t="s">
        <v>2226</v>
      </c>
      <c r="AU145">
        <v>2010</v>
      </c>
      <c r="AV145">
        <v>157</v>
      </c>
      <c r="AW145">
        <v>2</v>
      </c>
      <c r="AX145" t="s">
        <v>74</v>
      </c>
      <c r="AY145" t="s">
        <v>74</v>
      </c>
      <c r="AZ145" t="s">
        <v>74</v>
      </c>
      <c r="BA145" t="s">
        <v>74</v>
      </c>
      <c r="BB145">
        <v>145</v>
      </c>
      <c r="BC145">
        <v>158</v>
      </c>
      <c r="BD145" t="s">
        <v>74</v>
      </c>
      <c r="BE145" t="s">
        <v>2898</v>
      </c>
      <c r="BF145" t="str">
        <f>HYPERLINK("http://dx.doi.org/10.1016/j.cbpb.2010.04.011","http://dx.doi.org/10.1016/j.cbpb.2010.04.011")</f>
        <v>http://dx.doi.org/10.1016/j.cbpb.2010.04.011</v>
      </c>
      <c r="BG145" t="s">
        <v>74</v>
      </c>
      <c r="BH145" t="s">
        <v>74</v>
      </c>
      <c r="BI145">
        <v>14</v>
      </c>
      <c r="BJ145" t="s">
        <v>2899</v>
      </c>
      <c r="BK145" t="s">
        <v>100</v>
      </c>
      <c r="BL145" t="s">
        <v>2899</v>
      </c>
      <c r="BM145" t="s">
        <v>2900</v>
      </c>
      <c r="BN145">
        <v>20427025</v>
      </c>
      <c r="BO145" t="s">
        <v>74</v>
      </c>
      <c r="BP145" t="s">
        <v>74</v>
      </c>
      <c r="BQ145" t="s">
        <v>74</v>
      </c>
      <c r="BR145" t="s">
        <v>104</v>
      </c>
      <c r="BS145" t="s">
        <v>2901</v>
      </c>
      <c r="BT145" t="str">
        <f>HYPERLINK("https%3A%2F%2Fwww.webofscience.com%2Fwos%2Fwoscc%2Ffull-record%2FWOS:000281180900001","View Full Record in Web of Science")</f>
        <v>View Full Record in Web of Science</v>
      </c>
    </row>
    <row r="146" spans="1:72" x14ac:dyDescent="0.15">
      <c r="A146" t="s">
        <v>72</v>
      </c>
      <c r="B146" t="s">
        <v>2902</v>
      </c>
      <c r="C146" t="s">
        <v>74</v>
      </c>
      <c r="D146" t="s">
        <v>74</v>
      </c>
      <c r="E146" t="s">
        <v>74</v>
      </c>
      <c r="F146" t="s">
        <v>2903</v>
      </c>
      <c r="G146" t="s">
        <v>74</v>
      </c>
      <c r="H146" t="s">
        <v>74</v>
      </c>
      <c r="I146" t="s">
        <v>2904</v>
      </c>
      <c r="J146" t="s">
        <v>2905</v>
      </c>
      <c r="K146" t="s">
        <v>74</v>
      </c>
      <c r="L146" t="s">
        <v>74</v>
      </c>
      <c r="M146" t="s">
        <v>78</v>
      </c>
      <c r="N146" t="s">
        <v>79</v>
      </c>
      <c r="O146" t="s">
        <v>74</v>
      </c>
      <c r="P146" t="s">
        <v>74</v>
      </c>
      <c r="Q146" t="s">
        <v>74</v>
      </c>
      <c r="R146" t="s">
        <v>74</v>
      </c>
      <c r="S146" t="s">
        <v>74</v>
      </c>
      <c r="T146" t="s">
        <v>2906</v>
      </c>
      <c r="U146" t="s">
        <v>2907</v>
      </c>
      <c r="V146" t="s">
        <v>2908</v>
      </c>
      <c r="W146" t="s">
        <v>2909</v>
      </c>
      <c r="X146" t="s">
        <v>2910</v>
      </c>
      <c r="Y146" t="s">
        <v>2911</v>
      </c>
      <c r="Z146" t="s">
        <v>2912</v>
      </c>
      <c r="AA146" t="s">
        <v>2913</v>
      </c>
      <c r="AB146" t="s">
        <v>2914</v>
      </c>
      <c r="AC146" t="s">
        <v>2915</v>
      </c>
      <c r="AD146" t="s">
        <v>2916</v>
      </c>
      <c r="AE146" t="s">
        <v>2917</v>
      </c>
      <c r="AF146" t="s">
        <v>74</v>
      </c>
      <c r="AG146">
        <v>38</v>
      </c>
      <c r="AH146">
        <v>193</v>
      </c>
      <c r="AI146">
        <v>223</v>
      </c>
      <c r="AJ146">
        <v>3</v>
      </c>
      <c r="AK146">
        <v>134</v>
      </c>
      <c r="AL146" t="s">
        <v>464</v>
      </c>
      <c r="AM146" t="s">
        <v>576</v>
      </c>
      <c r="AN146" t="s">
        <v>577</v>
      </c>
      <c r="AO146" t="s">
        <v>2918</v>
      </c>
      <c r="AP146" t="s">
        <v>2919</v>
      </c>
      <c r="AQ146" t="s">
        <v>74</v>
      </c>
      <c r="AR146" t="s">
        <v>2920</v>
      </c>
      <c r="AS146" t="s">
        <v>2921</v>
      </c>
      <c r="AT146" t="s">
        <v>2226</v>
      </c>
      <c r="AU146">
        <v>2010</v>
      </c>
      <c r="AV146">
        <v>11</v>
      </c>
      <c r="AW146">
        <v>5</v>
      </c>
      <c r="AX146" t="s">
        <v>74</v>
      </c>
      <c r="AY146" t="s">
        <v>74</v>
      </c>
      <c r="AZ146" t="s">
        <v>74</v>
      </c>
      <c r="BA146" t="s">
        <v>74</v>
      </c>
      <c r="BB146">
        <v>2039</v>
      </c>
      <c r="BC146">
        <v>2048</v>
      </c>
      <c r="BD146" t="s">
        <v>74</v>
      </c>
      <c r="BE146" t="s">
        <v>2922</v>
      </c>
      <c r="BF146" t="str">
        <f>HYPERLINK("http://dx.doi.org/10.1007/s10592-010-0096-6","http://dx.doi.org/10.1007/s10592-010-0096-6")</f>
        <v>http://dx.doi.org/10.1007/s10592-010-0096-6</v>
      </c>
      <c r="BG146" t="s">
        <v>74</v>
      </c>
      <c r="BH146" t="s">
        <v>74</v>
      </c>
      <c r="BI146">
        <v>10</v>
      </c>
      <c r="BJ146" t="s">
        <v>2923</v>
      </c>
      <c r="BK146" t="s">
        <v>100</v>
      </c>
      <c r="BL146" t="s">
        <v>2924</v>
      </c>
      <c r="BM146" t="s">
        <v>2925</v>
      </c>
      <c r="BN146" t="s">
        <v>74</v>
      </c>
      <c r="BO146" t="s">
        <v>74</v>
      </c>
      <c r="BP146" t="s">
        <v>74</v>
      </c>
      <c r="BQ146" t="s">
        <v>74</v>
      </c>
      <c r="BR146" t="s">
        <v>104</v>
      </c>
      <c r="BS146" t="s">
        <v>2926</v>
      </c>
      <c r="BT146" t="str">
        <f>HYPERLINK("https%3A%2F%2Fwww.webofscience.com%2Fwos%2Fwoscc%2Ffull-record%2FWOS:000281907000036","View Full Record in Web of Science")</f>
        <v>View Full Record in Web of Science</v>
      </c>
    </row>
    <row r="147" spans="1:72" x14ac:dyDescent="0.15">
      <c r="A147" t="s">
        <v>72</v>
      </c>
      <c r="B147" t="s">
        <v>2927</v>
      </c>
      <c r="C147" t="s">
        <v>74</v>
      </c>
      <c r="D147" t="s">
        <v>74</v>
      </c>
      <c r="E147" t="s">
        <v>74</v>
      </c>
      <c r="F147" t="s">
        <v>2928</v>
      </c>
      <c r="G147" t="s">
        <v>74</v>
      </c>
      <c r="H147" t="s">
        <v>74</v>
      </c>
      <c r="I147" t="s">
        <v>2929</v>
      </c>
      <c r="J147" t="s">
        <v>2930</v>
      </c>
      <c r="K147" t="s">
        <v>74</v>
      </c>
      <c r="L147" t="s">
        <v>74</v>
      </c>
      <c r="M147" t="s">
        <v>78</v>
      </c>
      <c r="N147" t="s">
        <v>326</v>
      </c>
      <c r="O147" t="s">
        <v>74</v>
      </c>
      <c r="P147" t="s">
        <v>74</v>
      </c>
      <c r="Q147" t="s">
        <v>74</v>
      </c>
      <c r="R147" t="s">
        <v>74</v>
      </c>
      <c r="S147" t="s">
        <v>74</v>
      </c>
      <c r="T147" t="s">
        <v>74</v>
      </c>
      <c r="U147" t="s">
        <v>2931</v>
      </c>
      <c r="V147" t="s">
        <v>2932</v>
      </c>
      <c r="W147" t="s">
        <v>2933</v>
      </c>
      <c r="X147" t="s">
        <v>2934</v>
      </c>
      <c r="Y147" t="s">
        <v>2935</v>
      </c>
      <c r="Z147" t="s">
        <v>2936</v>
      </c>
      <c r="AA147" t="s">
        <v>2937</v>
      </c>
      <c r="AB147" t="s">
        <v>2938</v>
      </c>
      <c r="AC147" t="s">
        <v>2939</v>
      </c>
      <c r="AD147" t="s">
        <v>2939</v>
      </c>
      <c r="AE147" t="s">
        <v>2940</v>
      </c>
      <c r="AF147" t="s">
        <v>74</v>
      </c>
      <c r="AG147">
        <v>53</v>
      </c>
      <c r="AH147">
        <v>51</v>
      </c>
      <c r="AI147">
        <v>67</v>
      </c>
      <c r="AJ147">
        <v>2</v>
      </c>
      <c r="AK147">
        <v>65</v>
      </c>
      <c r="AL147" t="s">
        <v>2438</v>
      </c>
      <c r="AM147" t="s">
        <v>265</v>
      </c>
      <c r="AN147" t="s">
        <v>2439</v>
      </c>
      <c r="AO147" t="s">
        <v>2941</v>
      </c>
      <c r="AP147" t="s">
        <v>2942</v>
      </c>
      <c r="AQ147" t="s">
        <v>74</v>
      </c>
      <c r="AR147" t="s">
        <v>2943</v>
      </c>
      <c r="AS147" t="s">
        <v>2944</v>
      </c>
      <c r="AT147" t="s">
        <v>2226</v>
      </c>
      <c r="AU147">
        <v>2010</v>
      </c>
      <c r="AV147">
        <v>2</v>
      </c>
      <c r="AW147">
        <v>4</v>
      </c>
      <c r="AX147" t="s">
        <v>74</v>
      </c>
      <c r="AY147" t="s">
        <v>74</v>
      </c>
      <c r="AZ147" t="s">
        <v>74</v>
      </c>
      <c r="BA147" t="s">
        <v>74</v>
      </c>
      <c r="BB147">
        <v>210</v>
      </c>
      <c r="BC147">
        <v>218</v>
      </c>
      <c r="BD147" t="s">
        <v>74</v>
      </c>
      <c r="BE147" t="s">
        <v>2945</v>
      </c>
      <c r="BF147" t="str">
        <f>HYPERLINK("http://dx.doi.org/10.1016/j.cosust.2010.04.003","http://dx.doi.org/10.1016/j.cosust.2010.04.003")</f>
        <v>http://dx.doi.org/10.1016/j.cosust.2010.04.003</v>
      </c>
      <c r="BG147" t="s">
        <v>74</v>
      </c>
      <c r="BH147" t="s">
        <v>74</v>
      </c>
      <c r="BI147">
        <v>9</v>
      </c>
      <c r="BJ147" t="s">
        <v>2946</v>
      </c>
      <c r="BK147" t="s">
        <v>100</v>
      </c>
      <c r="BL147" t="s">
        <v>2947</v>
      </c>
      <c r="BM147" t="s">
        <v>2948</v>
      </c>
      <c r="BN147" t="s">
        <v>74</v>
      </c>
      <c r="BO147" t="s">
        <v>74</v>
      </c>
      <c r="BP147" t="s">
        <v>74</v>
      </c>
      <c r="BQ147" t="s">
        <v>74</v>
      </c>
      <c r="BR147" t="s">
        <v>104</v>
      </c>
      <c r="BS147" t="s">
        <v>2949</v>
      </c>
      <c r="BT147" t="str">
        <f>HYPERLINK("https%3A%2F%2Fwww.webofscience.com%2Fwos%2Fwoscc%2Ffull-record%2FWOS:000283805300002","View Full Record in Web of Science")</f>
        <v>View Full Record in Web of Science</v>
      </c>
    </row>
    <row r="148" spans="1:72" x14ac:dyDescent="0.15">
      <c r="A148" t="s">
        <v>72</v>
      </c>
      <c r="B148" t="s">
        <v>2782</v>
      </c>
      <c r="C148" t="s">
        <v>74</v>
      </c>
      <c r="D148" t="s">
        <v>74</v>
      </c>
      <c r="E148" t="s">
        <v>74</v>
      </c>
      <c r="F148" t="s">
        <v>2783</v>
      </c>
      <c r="G148" t="s">
        <v>74</v>
      </c>
      <c r="H148" t="s">
        <v>74</v>
      </c>
      <c r="I148" t="s">
        <v>2950</v>
      </c>
      <c r="J148" t="s">
        <v>2930</v>
      </c>
      <c r="K148" t="s">
        <v>74</v>
      </c>
      <c r="L148" t="s">
        <v>74</v>
      </c>
      <c r="M148" t="s">
        <v>78</v>
      </c>
      <c r="N148" t="s">
        <v>326</v>
      </c>
      <c r="O148" t="s">
        <v>74</v>
      </c>
      <c r="P148" t="s">
        <v>74</v>
      </c>
      <c r="Q148" t="s">
        <v>74</v>
      </c>
      <c r="R148" t="s">
        <v>74</v>
      </c>
      <c r="S148" t="s">
        <v>74</v>
      </c>
      <c r="T148" t="s">
        <v>74</v>
      </c>
      <c r="U148" t="s">
        <v>2951</v>
      </c>
      <c r="V148" t="s">
        <v>2952</v>
      </c>
      <c r="W148" t="s">
        <v>2786</v>
      </c>
      <c r="X148" t="s">
        <v>1460</v>
      </c>
      <c r="Y148" t="s">
        <v>1616</v>
      </c>
      <c r="Z148" t="s">
        <v>2953</v>
      </c>
      <c r="AA148" t="s">
        <v>2787</v>
      </c>
      <c r="AB148" t="s">
        <v>2788</v>
      </c>
      <c r="AC148" t="s">
        <v>2954</v>
      </c>
      <c r="AD148" t="s">
        <v>2843</v>
      </c>
      <c r="AE148" t="s">
        <v>74</v>
      </c>
      <c r="AF148" t="s">
        <v>74</v>
      </c>
      <c r="AG148">
        <v>50</v>
      </c>
      <c r="AH148">
        <v>25</v>
      </c>
      <c r="AI148">
        <v>26</v>
      </c>
      <c r="AJ148">
        <v>3</v>
      </c>
      <c r="AK148">
        <v>55</v>
      </c>
      <c r="AL148" t="s">
        <v>2438</v>
      </c>
      <c r="AM148" t="s">
        <v>265</v>
      </c>
      <c r="AN148" t="s">
        <v>2439</v>
      </c>
      <c r="AO148" t="s">
        <v>2941</v>
      </c>
      <c r="AP148" t="s">
        <v>2942</v>
      </c>
      <c r="AQ148" t="s">
        <v>74</v>
      </c>
      <c r="AR148" t="s">
        <v>2943</v>
      </c>
      <c r="AS148" t="s">
        <v>2944</v>
      </c>
      <c r="AT148" t="s">
        <v>2226</v>
      </c>
      <c r="AU148">
        <v>2010</v>
      </c>
      <c r="AV148">
        <v>2</v>
      </c>
      <c r="AW148">
        <v>4</v>
      </c>
      <c r="AX148" t="s">
        <v>74</v>
      </c>
      <c r="AY148" t="s">
        <v>74</v>
      </c>
      <c r="AZ148" t="s">
        <v>74</v>
      </c>
      <c r="BA148" t="s">
        <v>74</v>
      </c>
      <c r="BB148">
        <v>219</v>
      </c>
      <c r="BC148">
        <v>224</v>
      </c>
      <c r="BD148" t="s">
        <v>74</v>
      </c>
      <c r="BE148" t="s">
        <v>2955</v>
      </c>
      <c r="BF148" t="str">
        <f>HYPERLINK("http://dx.doi.org/10.1016/j.cosust.2010.06.003","http://dx.doi.org/10.1016/j.cosust.2010.06.003")</f>
        <v>http://dx.doi.org/10.1016/j.cosust.2010.06.003</v>
      </c>
      <c r="BG148" t="s">
        <v>74</v>
      </c>
      <c r="BH148" t="s">
        <v>74</v>
      </c>
      <c r="BI148">
        <v>6</v>
      </c>
      <c r="BJ148" t="s">
        <v>2946</v>
      </c>
      <c r="BK148" t="s">
        <v>100</v>
      </c>
      <c r="BL148" t="s">
        <v>2947</v>
      </c>
      <c r="BM148" t="s">
        <v>2948</v>
      </c>
      <c r="BN148" t="s">
        <v>74</v>
      </c>
      <c r="BO148" t="s">
        <v>74</v>
      </c>
      <c r="BP148" t="s">
        <v>74</v>
      </c>
      <c r="BQ148" t="s">
        <v>74</v>
      </c>
      <c r="BR148" t="s">
        <v>104</v>
      </c>
      <c r="BS148" t="s">
        <v>2956</v>
      </c>
      <c r="BT148" t="str">
        <f>HYPERLINK("https%3A%2F%2Fwww.webofscience.com%2Fwos%2Fwoscc%2Ffull-record%2FWOS:000283805300003","View Full Record in Web of Science")</f>
        <v>View Full Record in Web of Science</v>
      </c>
    </row>
    <row r="149" spans="1:72" x14ac:dyDescent="0.15">
      <c r="A149" t="s">
        <v>72</v>
      </c>
      <c r="B149" t="s">
        <v>2957</v>
      </c>
      <c r="C149" t="s">
        <v>74</v>
      </c>
      <c r="D149" t="s">
        <v>74</v>
      </c>
      <c r="E149" t="s">
        <v>74</v>
      </c>
      <c r="F149" t="s">
        <v>2958</v>
      </c>
      <c r="G149" t="s">
        <v>74</v>
      </c>
      <c r="H149" t="s">
        <v>74</v>
      </c>
      <c r="I149" t="s">
        <v>2959</v>
      </c>
      <c r="J149" t="s">
        <v>2930</v>
      </c>
      <c r="K149" t="s">
        <v>74</v>
      </c>
      <c r="L149" t="s">
        <v>74</v>
      </c>
      <c r="M149" t="s">
        <v>78</v>
      </c>
      <c r="N149" t="s">
        <v>326</v>
      </c>
      <c r="O149" t="s">
        <v>74</v>
      </c>
      <c r="P149" t="s">
        <v>74</v>
      </c>
      <c r="Q149" t="s">
        <v>74</v>
      </c>
      <c r="R149" t="s">
        <v>74</v>
      </c>
      <c r="S149" t="s">
        <v>74</v>
      </c>
      <c r="T149" t="s">
        <v>74</v>
      </c>
      <c r="U149" t="s">
        <v>74</v>
      </c>
      <c r="V149" t="s">
        <v>2960</v>
      </c>
      <c r="W149" t="s">
        <v>2961</v>
      </c>
      <c r="X149" t="s">
        <v>2962</v>
      </c>
      <c r="Y149" t="s">
        <v>1616</v>
      </c>
      <c r="Z149" t="s">
        <v>2963</v>
      </c>
      <c r="AA149" t="s">
        <v>2964</v>
      </c>
      <c r="AB149" t="s">
        <v>2965</v>
      </c>
      <c r="AC149" t="s">
        <v>2954</v>
      </c>
      <c r="AD149" t="s">
        <v>2843</v>
      </c>
      <c r="AE149" t="s">
        <v>74</v>
      </c>
      <c r="AF149" t="s">
        <v>74</v>
      </c>
      <c r="AG149">
        <v>15</v>
      </c>
      <c r="AH149">
        <v>7</v>
      </c>
      <c r="AI149">
        <v>7</v>
      </c>
      <c r="AJ149">
        <v>0</v>
      </c>
      <c r="AK149">
        <v>10</v>
      </c>
      <c r="AL149" t="s">
        <v>2438</v>
      </c>
      <c r="AM149" t="s">
        <v>265</v>
      </c>
      <c r="AN149" t="s">
        <v>2439</v>
      </c>
      <c r="AO149" t="s">
        <v>2941</v>
      </c>
      <c r="AP149" t="s">
        <v>2942</v>
      </c>
      <c r="AQ149" t="s">
        <v>74</v>
      </c>
      <c r="AR149" t="s">
        <v>2943</v>
      </c>
      <c r="AS149" t="s">
        <v>2944</v>
      </c>
      <c r="AT149" t="s">
        <v>2226</v>
      </c>
      <c r="AU149">
        <v>2010</v>
      </c>
      <c r="AV149">
        <v>2</v>
      </c>
      <c r="AW149">
        <v>4</v>
      </c>
      <c r="AX149" t="s">
        <v>74</v>
      </c>
      <c r="AY149" t="s">
        <v>74</v>
      </c>
      <c r="AZ149" t="s">
        <v>74</v>
      </c>
      <c r="BA149" t="s">
        <v>74</v>
      </c>
      <c r="BB149">
        <v>297</v>
      </c>
      <c r="BC149">
        <v>300</v>
      </c>
      <c r="BD149" t="s">
        <v>74</v>
      </c>
      <c r="BE149" t="s">
        <v>2966</v>
      </c>
      <c r="BF149" t="str">
        <f>HYPERLINK("http://dx.doi.org/10.1016/j.cosust.2010.06.010","http://dx.doi.org/10.1016/j.cosust.2010.06.010")</f>
        <v>http://dx.doi.org/10.1016/j.cosust.2010.06.010</v>
      </c>
      <c r="BG149" t="s">
        <v>74</v>
      </c>
      <c r="BH149" t="s">
        <v>74</v>
      </c>
      <c r="BI149">
        <v>4</v>
      </c>
      <c r="BJ149" t="s">
        <v>2946</v>
      </c>
      <c r="BK149" t="s">
        <v>100</v>
      </c>
      <c r="BL149" t="s">
        <v>2947</v>
      </c>
      <c r="BM149" t="s">
        <v>2948</v>
      </c>
      <c r="BN149" t="s">
        <v>74</v>
      </c>
      <c r="BO149" t="s">
        <v>74</v>
      </c>
      <c r="BP149" t="s">
        <v>74</v>
      </c>
      <c r="BQ149" t="s">
        <v>74</v>
      </c>
      <c r="BR149" t="s">
        <v>104</v>
      </c>
      <c r="BS149" t="s">
        <v>2967</v>
      </c>
      <c r="BT149" t="str">
        <f>HYPERLINK("https%3A%2F%2Fwww.webofscience.com%2Fwos%2Fwoscc%2Ffull-record%2FWOS:000283805300015","View Full Record in Web of Science")</f>
        <v>View Full Record in Web of Science</v>
      </c>
    </row>
    <row r="150" spans="1:72" x14ac:dyDescent="0.15">
      <c r="A150" t="s">
        <v>72</v>
      </c>
      <c r="B150" t="s">
        <v>2968</v>
      </c>
      <c r="C150" t="s">
        <v>74</v>
      </c>
      <c r="D150" t="s">
        <v>74</v>
      </c>
      <c r="E150" t="s">
        <v>74</v>
      </c>
      <c r="F150" t="s">
        <v>2969</v>
      </c>
      <c r="G150" t="s">
        <v>74</v>
      </c>
      <c r="H150" t="s">
        <v>74</v>
      </c>
      <c r="I150" t="s">
        <v>2970</v>
      </c>
      <c r="J150" t="s">
        <v>2930</v>
      </c>
      <c r="K150" t="s">
        <v>74</v>
      </c>
      <c r="L150" t="s">
        <v>74</v>
      </c>
      <c r="M150" t="s">
        <v>78</v>
      </c>
      <c r="N150" t="s">
        <v>326</v>
      </c>
      <c r="O150" t="s">
        <v>74</v>
      </c>
      <c r="P150" t="s">
        <v>74</v>
      </c>
      <c r="Q150" t="s">
        <v>74</v>
      </c>
      <c r="R150" t="s">
        <v>74</v>
      </c>
      <c r="S150" t="s">
        <v>74</v>
      </c>
      <c r="T150" t="s">
        <v>74</v>
      </c>
      <c r="U150" t="s">
        <v>2971</v>
      </c>
      <c r="V150" t="s">
        <v>2972</v>
      </c>
      <c r="W150" t="s">
        <v>2973</v>
      </c>
      <c r="X150" t="s">
        <v>2974</v>
      </c>
      <c r="Y150" t="s">
        <v>2975</v>
      </c>
      <c r="Z150" t="s">
        <v>2976</v>
      </c>
      <c r="AA150" t="s">
        <v>2977</v>
      </c>
      <c r="AB150" t="s">
        <v>2978</v>
      </c>
      <c r="AC150" t="s">
        <v>2979</v>
      </c>
      <c r="AD150" t="s">
        <v>2980</v>
      </c>
      <c r="AE150" t="s">
        <v>2981</v>
      </c>
      <c r="AF150" t="s">
        <v>74</v>
      </c>
      <c r="AG150">
        <v>58</v>
      </c>
      <c r="AH150">
        <v>48</v>
      </c>
      <c r="AI150">
        <v>53</v>
      </c>
      <c r="AJ150">
        <v>3</v>
      </c>
      <c r="AK150">
        <v>54</v>
      </c>
      <c r="AL150" t="s">
        <v>2438</v>
      </c>
      <c r="AM150" t="s">
        <v>265</v>
      </c>
      <c r="AN150" t="s">
        <v>2439</v>
      </c>
      <c r="AO150" t="s">
        <v>2941</v>
      </c>
      <c r="AP150" t="s">
        <v>2942</v>
      </c>
      <c r="AQ150" t="s">
        <v>74</v>
      </c>
      <c r="AR150" t="s">
        <v>2943</v>
      </c>
      <c r="AS150" t="s">
        <v>2944</v>
      </c>
      <c r="AT150" t="s">
        <v>2226</v>
      </c>
      <c r="AU150">
        <v>2010</v>
      </c>
      <c r="AV150">
        <v>2</v>
      </c>
      <c r="AW150">
        <v>4</v>
      </c>
      <c r="AX150" t="s">
        <v>74</v>
      </c>
      <c r="AY150" t="s">
        <v>74</v>
      </c>
      <c r="AZ150" t="s">
        <v>74</v>
      </c>
      <c r="BA150" t="s">
        <v>74</v>
      </c>
      <c r="BB150">
        <v>301</v>
      </c>
      <c r="BC150">
        <v>311</v>
      </c>
      <c r="BD150" t="s">
        <v>74</v>
      </c>
      <c r="BE150" t="s">
        <v>2982</v>
      </c>
      <c r="BF150" t="str">
        <f>HYPERLINK("http://dx.doi.org/10.1016/j.cosust.2010.08.003","http://dx.doi.org/10.1016/j.cosust.2010.08.003")</f>
        <v>http://dx.doi.org/10.1016/j.cosust.2010.08.003</v>
      </c>
      <c r="BG150" t="s">
        <v>74</v>
      </c>
      <c r="BH150" t="s">
        <v>74</v>
      </c>
      <c r="BI150">
        <v>11</v>
      </c>
      <c r="BJ150" t="s">
        <v>2946</v>
      </c>
      <c r="BK150" t="s">
        <v>100</v>
      </c>
      <c r="BL150" t="s">
        <v>2947</v>
      </c>
      <c r="BM150" t="s">
        <v>2948</v>
      </c>
      <c r="BN150" t="s">
        <v>74</v>
      </c>
      <c r="BO150" t="s">
        <v>74</v>
      </c>
      <c r="BP150" t="s">
        <v>74</v>
      </c>
      <c r="BQ150" t="s">
        <v>74</v>
      </c>
      <c r="BR150" t="s">
        <v>104</v>
      </c>
      <c r="BS150" t="s">
        <v>2983</v>
      </c>
      <c r="BT150" t="str">
        <f>HYPERLINK("https%3A%2F%2Fwww.webofscience.com%2Fwos%2Fwoscc%2Ffull-record%2FWOS:000283805300016","View Full Record in Web of Science")</f>
        <v>View Full Record in Web of Science</v>
      </c>
    </row>
    <row r="151" spans="1:72" x14ac:dyDescent="0.15">
      <c r="A151" t="s">
        <v>72</v>
      </c>
      <c r="B151" t="s">
        <v>2984</v>
      </c>
      <c r="C151" t="s">
        <v>74</v>
      </c>
      <c r="D151" t="s">
        <v>74</v>
      </c>
      <c r="E151" t="s">
        <v>74</v>
      </c>
      <c r="F151" t="s">
        <v>2985</v>
      </c>
      <c r="G151" t="s">
        <v>74</v>
      </c>
      <c r="H151" t="s">
        <v>74</v>
      </c>
      <c r="I151" t="s">
        <v>2986</v>
      </c>
      <c r="J151" t="s">
        <v>536</v>
      </c>
      <c r="K151" t="s">
        <v>74</v>
      </c>
      <c r="L151" t="s">
        <v>74</v>
      </c>
      <c r="M151" t="s">
        <v>78</v>
      </c>
      <c r="N151" t="s">
        <v>79</v>
      </c>
      <c r="O151" t="s">
        <v>74</v>
      </c>
      <c r="P151" t="s">
        <v>74</v>
      </c>
      <c r="Q151" t="s">
        <v>74</v>
      </c>
      <c r="R151" t="s">
        <v>74</v>
      </c>
      <c r="S151" t="s">
        <v>74</v>
      </c>
      <c r="T151" t="s">
        <v>2987</v>
      </c>
      <c r="U151" t="s">
        <v>2988</v>
      </c>
      <c r="V151" t="s">
        <v>2989</v>
      </c>
      <c r="W151" t="s">
        <v>2990</v>
      </c>
      <c r="X151" t="s">
        <v>2991</v>
      </c>
      <c r="Y151" t="s">
        <v>2992</v>
      </c>
      <c r="Z151" t="s">
        <v>2993</v>
      </c>
      <c r="AA151" t="s">
        <v>2994</v>
      </c>
      <c r="AB151" t="s">
        <v>2995</v>
      </c>
      <c r="AC151" t="s">
        <v>2996</v>
      </c>
      <c r="AD151" t="s">
        <v>2997</v>
      </c>
      <c r="AE151" t="s">
        <v>2998</v>
      </c>
      <c r="AF151" t="s">
        <v>74</v>
      </c>
      <c r="AG151">
        <v>85</v>
      </c>
      <c r="AH151">
        <v>19</v>
      </c>
      <c r="AI151">
        <v>22</v>
      </c>
      <c r="AJ151">
        <v>1</v>
      </c>
      <c r="AK151">
        <v>40</v>
      </c>
      <c r="AL151" t="s">
        <v>1038</v>
      </c>
      <c r="AM151" t="s">
        <v>550</v>
      </c>
      <c r="AN151" t="s">
        <v>1039</v>
      </c>
      <c r="AO151" t="s">
        <v>552</v>
      </c>
      <c r="AP151" t="s">
        <v>2999</v>
      </c>
      <c r="AQ151" t="s">
        <v>74</v>
      </c>
      <c r="AR151" t="s">
        <v>553</v>
      </c>
      <c r="AS151" t="s">
        <v>554</v>
      </c>
      <c r="AT151" t="s">
        <v>2444</v>
      </c>
      <c r="AU151">
        <v>2010</v>
      </c>
      <c r="AV151">
        <v>298</v>
      </c>
      <c r="AW151" t="s">
        <v>556</v>
      </c>
      <c r="AX151" t="s">
        <v>74</v>
      </c>
      <c r="AY151" t="s">
        <v>74</v>
      </c>
      <c r="AZ151" t="s">
        <v>74</v>
      </c>
      <c r="BA151" t="s">
        <v>74</v>
      </c>
      <c r="BB151">
        <v>323</v>
      </c>
      <c r="BC151">
        <v>333</v>
      </c>
      <c r="BD151" t="s">
        <v>74</v>
      </c>
      <c r="BE151" t="s">
        <v>3000</v>
      </c>
      <c r="BF151" t="str">
        <f>HYPERLINK("http://dx.doi.org/10.1016/j.epsl.2010.08.003","http://dx.doi.org/10.1016/j.epsl.2010.08.003")</f>
        <v>http://dx.doi.org/10.1016/j.epsl.2010.08.003</v>
      </c>
      <c r="BG151" t="s">
        <v>74</v>
      </c>
      <c r="BH151" t="s">
        <v>74</v>
      </c>
      <c r="BI151">
        <v>11</v>
      </c>
      <c r="BJ151" t="s">
        <v>558</v>
      </c>
      <c r="BK151" t="s">
        <v>100</v>
      </c>
      <c r="BL151" t="s">
        <v>558</v>
      </c>
      <c r="BM151" t="s">
        <v>3001</v>
      </c>
      <c r="BN151" t="s">
        <v>74</v>
      </c>
      <c r="BO151" t="s">
        <v>74</v>
      </c>
      <c r="BP151" t="s">
        <v>74</v>
      </c>
      <c r="BQ151" t="s">
        <v>74</v>
      </c>
      <c r="BR151" t="s">
        <v>104</v>
      </c>
      <c r="BS151" t="s">
        <v>3002</v>
      </c>
      <c r="BT151" t="str">
        <f>HYPERLINK("https%3A%2F%2Fwww.webofscience.com%2Fwos%2Fwoscc%2Ffull-record%2FWOS:000283756600007","View Full Record in Web of Science")</f>
        <v>View Full Record in Web of Science</v>
      </c>
    </row>
    <row r="152" spans="1:72" x14ac:dyDescent="0.15">
      <c r="A152" t="s">
        <v>72</v>
      </c>
      <c r="B152" t="s">
        <v>3003</v>
      </c>
      <c r="C152" t="s">
        <v>74</v>
      </c>
      <c r="D152" t="s">
        <v>74</v>
      </c>
      <c r="E152" t="s">
        <v>74</v>
      </c>
      <c r="F152" t="s">
        <v>3004</v>
      </c>
      <c r="G152" t="s">
        <v>74</v>
      </c>
      <c r="H152" t="s">
        <v>74</v>
      </c>
      <c r="I152" t="s">
        <v>3005</v>
      </c>
      <c r="J152" t="s">
        <v>536</v>
      </c>
      <c r="K152" t="s">
        <v>74</v>
      </c>
      <c r="L152" t="s">
        <v>74</v>
      </c>
      <c r="M152" t="s">
        <v>78</v>
      </c>
      <c r="N152" t="s">
        <v>79</v>
      </c>
      <c r="O152" t="s">
        <v>74</v>
      </c>
      <c r="P152" t="s">
        <v>74</v>
      </c>
      <c r="Q152" t="s">
        <v>74</v>
      </c>
      <c r="R152" t="s">
        <v>74</v>
      </c>
      <c r="S152" t="s">
        <v>74</v>
      </c>
      <c r="T152" t="s">
        <v>3006</v>
      </c>
      <c r="U152" t="s">
        <v>3007</v>
      </c>
      <c r="V152" t="s">
        <v>3008</v>
      </c>
      <c r="W152" t="s">
        <v>3009</v>
      </c>
      <c r="X152" t="s">
        <v>3010</v>
      </c>
      <c r="Y152" t="s">
        <v>3011</v>
      </c>
      <c r="Z152" t="s">
        <v>74</v>
      </c>
      <c r="AA152" t="s">
        <v>74</v>
      </c>
      <c r="AB152" t="s">
        <v>3012</v>
      </c>
      <c r="AC152" t="s">
        <v>3013</v>
      </c>
      <c r="AD152" t="s">
        <v>3014</v>
      </c>
      <c r="AE152" t="s">
        <v>3015</v>
      </c>
      <c r="AF152" t="s">
        <v>74</v>
      </c>
      <c r="AG152">
        <v>46</v>
      </c>
      <c r="AH152">
        <v>15</v>
      </c>
      <c r="AI152">
        <v>17</v>
      </c>
      <c r="AJ152">
        <v>1</v>
      </c>
      <c r="AK152">
        <v>12</v>
      </c>
      <c r="AL152" t="s">
        <v>1038</v>
      </c>
      <c r="AM152" t="s">
        <v>550</v>
      </c>
      <c r="AN152" t="s">
        <v>1039</v>
      </c>
      <c r="AO152" t="s">
        <v>552</v>
      </c>
      <c r="AP152" t="s">
        <v>2999</v>
      </c>
      <c r="AQ152" t="s">
        <v>74</v>
      </c>
      <c r="AR152" t="s">
        <v>553</v>
      </c>
      <c r="AS152" t="s">
        <v>554</v>
      </c>
      <c r="AT152" t="s">
        <v>2444</v>
      </c>
      <c r="AU152">
        <v>2010</v>
      </c>
      <c r="AV152">
        <v>298</v>
      </c>
      <c r="AW152" t="s">
        <v>556</v>
      </c>
      <c r="AX152" t="s">
        <v>74</v>
      </c>
      <c r="AY152" t="s">
        <v>74</v>
      </c>
      <c r="AZ152" t="s">
        <v>74</v>
      </c>
      <c r="BA152" t="s">
        <v>74</v>
      </c>
      <c r="BB152">
        <v>385</v>
      </c>
      <c r="BC152">
        <v>393</v>
      </c>
      <c r="BD152" t="s">
        <v>74</v>
      </c>
      <c r="BE152" t="s">
        <v>3016</v>
      </c>
      <c r="BF152" t="str">
        <f>HYPERLINK("http://dx.doi.org/10.1016/j.epsl.2010.08.015","http://dx.doi.org/10.1016/j.epsl.2010.08.015")</f>
        <v>http://dx.doi.org/10.1016/j.epsl.2010.08.015</v>
      </c>
      <c r="BG152" t="s">
        <v>74</v>
      </c>
      <c r="BH152" t="s">
        <v>74</v>
      </c>
      <c r="BI152">
        <v>9</v>
      </c>
      <c r="BJ152" t="s">
        <v>558</v>
      </c>
      <c r="BK152" t="s">
        <v>100</v>
      </c>
      <c r="BL152" t="s">
        <v>558</v>
      </c>
      <c r="BM152" t="s">
        <v>3001</v>
      </c>
      <c r="BN152" t="s">
        <v>74</v>
      </c>
      <c r="BO152" t="s">
        <v>74</v>
      </c>
      <c r="BP152" t="s">
        <v>74</v>
      </c>
      <c r="BQ152" t="s">
        <v>74</v>
      </c>
      <c r="BR152" t="s">
        <v>104</v>
      </c>
      <c r="BS152" t="s">
        <v>3017</v>
      </c>
      <c r="BT152" t="str">
        <f>HYPERLINK("https%3A%2F%2Fwww.webofscience.com%2Fwos%2Fwoscc%2Ffull-record%2FWOS:000283756600013","View Full Record in Web of Science")</f>
        <v>View Full Record in Web of Science</v>
      </c>
    </row>
    <row r="153" spans="1:72" x14ac:dyDescent="0.15">
      <c r="A153" t="s">
        <v>72</v>
      </c>
      <c r="B153" t="s">
        <v>3018</v>
      </c>
      <c r="C153" t="s">
        <v>74</v>
      </c>
      <c r="D153" t="s">
        <v>74</v>
      </c>
      <c r="E153" t="s">
        <v>74</v>
      </c>
      <c r="F153" t="s">
        <v>3019</v>
      </c>
      <c r="G153" t="s">
        <v>74</v>
      </c>
      <c r="H153" t="s">
        <v>74</v>
      </c>
      <c r="I153" t="s">
        <v>3020</v>
      </c>
      <c r="J153" t="s">
        <v>3021</v>
      </c>
      <c r="K153" t="s">
        <v>74</v>
      </c>
      <c r="L153" t="s">
        <v>74</v>
      </c>
      <c r="M153" t="s">
        <v>78</v>
      </c>
      <c r="N153" t="s">
        <v>79</v>
      </c>
      <c r="O153" t="s">
        <v>74</v>
      </c>
      <c r="P153" t="s">
        <v>74</v>
      </c>
      <c r="Q153" t="s">
        <v>74</v>
      </c>
      <c r="R153" t="s">
        <v>74</v>
      </c>
      <c r="S153" t="s">
        <v>74</v>
      </c>
      <c r="T153" t="s">
        <v>74</v>
      </c>
      <c r="U153" t="s">
        <v>3022</v>
      </c>
      <c r="V153" t="s">
        <v>3023</v>
      </c>
      <c r="W153" t="s">
        <v>3024</v>
      </c>
      <c r="X153" t="s">
        <v>3025</v>
      </c>
      <c r="Y153" t="s">
        <v>3026</v>
      </c>
      <c r="Z153" t="s">
        <v>3027</v>
      </c>
      <c r="AA153" t="s">
        <v>3028</v>
      </c>
      <c r="AB153" t="s">
        <v>3029</v>
      </c>
      <c r="AC153" t="s">
        <v>3030</v>
      </c>
      <c r="AD153" t="s">
        <v>3031</v>
      </c>
      <c r="AE153" t="s">
        <v>3032</v>
      </c>
      <c r="AF153" t="s">
        <v>74</v>
      </c>
      <c r="AG153">
        <v>88</v>
      </c>
      <c r="AH153">
        <v>91</v>
      </c>
      <c r="AI153">
        <v>105</v>
      </c>
      <c r="AJ153">
        <v>2</v>
      </c>
      <c r="AK153">
        <v>57</v>
      </c>
      <c r="AL153" t="s">
        <v>923</v>
      </c>
      <c r="AM153" t="s">
        <v>339</v>
      </c>
      <c r="AN153" t="s">
        <v>340</v>
      </c>
      <c r="AO153" t="s">
        <v>3033</v>
      </c>
      <c r="AP153" t="s">
        <v>3034</v>
      </c>
      <c r="AQ153" t="s">
        <v>74</v>
      </c>
      <c r="AR153" t="s">
        <v>3035</v>
      </c>
      <c r="AS153" t="s">
        <v>3036</v>
      </c>
      <c r="AT153" t="s">
        <v>2226</v>
      </c>
      <c r="AU153">
        <v>2010</v>
      </c>
      <c r="AV153">
        <v>12</v>
      </c>
      <c r="AW153">
        <v>10</v>
      </c>
      <c r="AX153" t="s">
        <v>74</v>
      </c>
      <c r="AY153" t="s">
        <v>74</v>
      </c>
      <c r="AZ153" t="s">
        <v>74</v>
      </c>
      <c r="BA153" t="s">
        <v>74</v>
      </c>
      <c r="BB153">
        <v>2658</v>
      </c>
      <c r="BC153">
        <v>2676</v>
      </c>
      <c r="BD153" t="s">
        <v>74</v>
      </c>
      <c r="BE153" t="s">
        <v>3037</v>
      </c>
      <c r="BF153" t="str">
        <f>HYPERLINK("http://dx.doi.org/10.1111/j.1462-2920.2010.02235.x","http://dx.doi.org/10.1111/j.1462-2920.2010.02235.x")</f>
        <v>http://dx.doi.org/10.1111/j.1462-2920.2010.02235.x</v>
      </c>
      <c r="BG153" t="s">
        <v>74</v>
      </c>
      <c r="BH153" t="s">
        <v>74</v>
      </c>
      <c r="BI153">
        <v>19</v>
      </c>
      <c r="BJ153" t="s">
        <v>737</v>
      </c>
      <c r="BK153" t="s">
        <v>100</v>
      </c>
      <c r="BL153" t="s">
        <v>737</v>
      </c>
      <c r="BM153" t="s">
        <v>3038</v>
      </c>
      <c r="BN153">
        <v>20482592</v>
      </c>
      <c r="BO153" t="s">
        <v>74</v>
      </c>
      <c r="BP153" t="s">
        <v>74</v>
      </c>
      <c r="BQ153" t="s">
        <v>74</v>
      </c>
      <c r="BR153" t="s">
        <v>104</v>
      </c>
      <c r="BS153" t="s">
        <v>3039</v>
      </c>
      <c r="BT153" t="str">
        <f>HYPERLINK("https%3A%2F%2Fwww.webofscience.com%2Fwos%2Fwoscc%2Ffull-record%2FWOS:000282375400003","View Full Record in Web of Science")</f>
        <v>View Full Record in Web of Science</v>
      </c>
    </row>
    <row r="154" spans="1:72" x14ac:dyDescent="0.15">
      <c r="A154" t="s">
        <v>72</v>
      </c>
      <c r="B154" t="s">
        <v>3040</v>
      </c>
      <c r="C154" t="s">
        <v>74</v>
      </c>
      <c r="D154" t="s">
        <v>74</v>
      </c>
      <c r="E154" t="s">
        <v>74</v>
      </c>
      <c r="F154" t="s">
        <v>3041</v>
      </c>
      <c r="G154" t="s">
        <v>74</v>
      </c>
      <c r="H154" t="s">
        <v>74</v>
      </c>
      <c r="I154" t="s">
        <v>3042</v>
      </c>
      <c r="J154" t="s">
        <v>3043</v>
      </c>
      <c r="K154" t="s">
        <v>74</v>
      </c>
      <c r="L154" t="s">
        <v>74</v>
      </c>
      <c r="M154" t="s">
        <v>78</v>
      </c>
      <c r="N154" t="s">
        <v>220</v>
      </c>
      <c r="O154" t="s">
        <v>74</v>
      </c>
      <c r="P154" t="s">
        <v>74</v>
      </c>
      <c r="Q154" t="s">
        <v>74</v>
      </c>
      <c r="R154" t="s">
        <v>74</v>
      </c>
      <c r="S154" t="s">
        <v>74</v>
      </c>
      <c r="T154" t="s">
        <v>74</v>
      </c>
      <c r="U154" t="s">
        <v>74</v>
      </c>
      <c r="V154" t="s">
        <v>74</v>
      </c>
      <c r="W154" t="s">
        <v>3044</v>
      </c>
      <c r="X154" t="s">
        <v>690</v>
      </c>
      <c r="Y154" t="s">
        <v>3045</v>
      </c>
      <c r="Z154" t="s">
        <v>3046</v>
      </c>
      <c r="AA154" t="s">
        <v>3047</v>
      </c>
      <c r="AB154" t="s">
        <v>74</v>
      </c>
      <c r="AC154" t="s">
        <v>3048</v>
      </c>
      <c r="AD154" t="s">
        <v>337</v>
      </c>
      <c r="AE154" t="s">
        <v>74</v>
      </c>
      <c r="AF154" t="s">
        <v>74</v>
      </c>
      <c r="AG154">
        <v>9</v>
      </c>
      <c r="AH154">
        <v>23</v>
      </c>
      <c r="AI154">
        <v>25</v>
      </c>
      <c r="AJ154">
        <v>0</v>
      </c>
      <c r="AK154">
        <v>17</v>
      </c>
      <c r="AL154" t="s">
        <v>1797</v>
      </c>
      <c r="AM154" t="s">
        <v>510</v>
      </c>
      <c r="AN154" t="s">
        <v>1798</v>
      </c>
      <c r="AO154" t="s">
        <v>3049</v>
      </c>
      <c r="AP154" t="s">
        <v>74</v>
      </c>
      <c r="AQ154" t="s">
        <v>74</v>
      </c>
      <c r="AR154" t="s">
        <v>3050</v>
      </c>
      <c r="AS154" t="s">
        <v>3051</v>
      </c>
      <c r="AT154" t="s">
        <v>2629</v>
      </c>
      <c r="AU154">
        <v>2010</v>
      </c>
      <c r="AV154">
        <v>5</v>
      </c>
      <c r="AW154">
        <v>4</v>
      </c>
      <c r="AX154" t="s">
        <v>74</v>
      </c>
      <c r="AY154" t="s">
        <v>74</v>
      </c>
      <c r="AZ154" t="s">
        <v>74</v>
      </c>
      <c r="BA154" t="s">
        <v>74</v>
      </c>
      <c r="BB154" t="s">
        <v>74</v>
      </c>
      <c r="BC154" t="s">
        <v>74</v>
      </c>
      <c r="BD154">
        <v>41001</v>
      </c>
      <c r="BE154" t="s">
        <v>3052</v>
      </c>
      <c r="BF154" t="str">
        <f>HYPERLINK("http://dx.doi.org/10.1088/1748-9326/5/4/041001","http://dx.doi.org/10.1088/1748-9326/5/4/041001")</f>
        <v>http://dx.doi.org/10.1088/1748-9326/5/4/041001</v>
      </c>
      <c r="BG154" t="s">
        <v>74</v>
      </c>
      <c r="BH154" t="s">
        <v>74</v>
      </c>
      <c r="BI154">
        <v>3</v>
      </c>
      <c r="BJ154" t="s">
        <v>272</v>
      </c>
      <c r="BK154" t="s">
        <v>100</v>
      </c>
      <c r="BL154" t="s">
        <v>273</v>
      </c>
      <c r="BM154" t="s">
        <v>3053</v>
      </c>
      <c r="BN154" t="s">
        <v>74</v>
      </c>
      <c r="BO154" t="s">
        <v>3054</v>
      </c>
      <c r="BP154" t="s">
        <v>74</v>
      </c>
      <c r="BQ154" t="s">
        <v>74</v>
      </c>
      <c r="BR154" t="s">
        <v>104</v>
      </c>
      <c r="BS154" t="s">
        <v>3055</v>
      </c>
      <c r="BT154" t="str">
        <f>HYPERLINK("https%3A%2F%2Fwww.webofscience.com%2Fwos%2Fwoscc%2Ffull-record%2FWOS:000286420700001","View Full Record in Web of Science")</f>
        <v>View Full Record in Web of Science</v>
      </c>
    </row>
    <row r="155" spans="1:72" x14ac:dyDescent="0.15">
      <c r="A155" t="s">
        <v>72</v>
      </c>
      <c r="B155" t="s">
        <v>3056</v>
      </c>
      <c r="C155" t="s">
        <v>74</v>
      </c>
      <c r="D155" t="s">
        <v>74</v>
      </c>
      <c r="E155" t="s">
        <v>74</v>
      </c>
      <c r="F155" t="s">
        <v>3057</v>
      </c>
      <c r="G155" t="s">
        <v>74</v>
      </c>
      <c r="H155" t="s">
        <v>74</v>
      </c>
      <c r="I155" t="s">
        <v>3058</v>
      </c>
      <c r="J155" t="s">
        <v>3059</v>
      </c>
      <c r="K155" t="s">
        <v>74</v>
      </c>
      <c r="L155" t="s">
        <v>74</v>
      </c>
      <c r="M155" t="s">
        <v>78</v>
      </c>
      <c r="N155" t="s">
        <v>79</v>
      </c>
      <c r="O155" t="s">
        <v>74</v>
      </c>
      <c r="P155" t="s">
        <v>74</v>
      </c>
      <c r="Q155" t="s">
        <v>74</v>
      </c>
      <c r="R155" t="s">
        <v>74</v>
      </c>
      <c r="S155" t="s">
        <v>74</v>
      </c>
      <c r="T155" t="s">
        <v>74</v>
      </c>
      <c r="U155" t="s">
        <v>3060</v>
      </c>
      <c r="V155" t="s">
        <v>3061</v>
      </c>
      <c r="W155" t="s">
        <v>3062</v>
      </c>
      <c r="X155" t="s">
        <v>3063</v>
      </c>
      <c r="Y155" t="s">
        <v>3064</v>
      </c>
      <c r="Z155" t="s">
        <v>3065</v>
      </c>
      <c r="AA155" t="s">
        <v>3066</v>
      </c>
      <c r="AB155" t="s">
        <v>3067</v>
      </c>
      <c r="AC155" t="s">
        <v>3068</v>
      </c>
      <c r="AD155" t="s">
        <v>3069</v>
      </c>
      <c r="AE155" t="s">
        <v>3070</v>
      </c>
      <c r="AF155" t="s">
        <v>74</v>
      </c>
      <c r="AG155">
        <v>37</v>
      </c>
      <c r="AH155">
        <v>72</v>
      </c>
      <c r="AI155">
        <v>81</v>
      </c>
      <c r="AJ155">
        <v>5</v>
      </c>
      <c r="AK155">
        <v>67</v>
      </c>
      <c r="AL155" t="s">
        <v>3071</v>
      </c>
      <c r="AM155" t="s">
        <v>1522</v>
      </c>
      <c r="AN155" t="s">
        <v>3072</v>
      </c>
      <c r="AO155" t="s">
        <v>3073</v>
      </c>
      <c r="AP155" t="s">
        <v>3074</v>
      </c>
      <c r="AQ155" t="s">
        <v>74</v>
      </c>
      <c r="AR155" t="s">
        <v>3075</v>
      </c>
      <c r="AS155" t="s">
        <v>3076</v>
      </c>
      <c r="AT155" t="s">
        <v>2444</v>
      </c>
      <c r="AU155">
        <v>2010</v>
      </c>
      <c r="AV155">
        <v>44</v>
      </c>
      <c r="AW155">
        <v>19</v>
      </c>
      <c r="AX155" t="s">
        <v>74</v>
      </c>
      <c r="AY155" t="s">
        <v>74</v>
      </c>
      <c r="AZ155" t="s">
        <v>582</v>
      </c>
      <c r="BA155" t="s">
        <v>74</v>
      </c>
      <c r="BB155">
        <v>7425</v>
      </c>
      <c r="BC155">
        <v>7430</v>
      </c>
      <c r="BD155" t="s">
        <v>74</v>
      </c>
      <c r="BE155" t="s">
        <v>3077</v>
      </c>
      <c r="BF155" t="str">
        <f>HYPERLINK("http://dx.doi.org/10.1021/es903839n","http://dx.doi.org/10.1021/es903839n")</f>
        <v>http://dx.doi.org/10.1021/es903839n</v>
      </c>
      <c r="BG155" t="s">
        <v>74</v>
      </c>
      <c r="BH155" t="s">
        <v>74</v>
      </c>
      <c r="BI155">
        <v>6</v>
      </c>
      <c r="BJ155" t="s">
        <v>3078</v>
      </c>
      <c r="BK155" t="s">
        <v>100</v>
      </c>
      <c r="BL155" t="s">
        <v>3079</v>
      </c>
      <c r="BM155" t="s">
        <v>3080</v>
      </c>
      <c r="BN155">
        <v>20822101</v>
      </c>
      <c r="BO155" t="s">
        <v>74</v>
      </c>
      <c r="BP155" t="s">
        <v>74</v>
      </c>
      <c r="BQ155" t="s">
        <v>74</v>
      </c>
      <c r="BR155" t="s">
        <v>104</v>
      </c>
      <c r="BS155" t="s">
        <v>3081</v>
      </c>
      <c r="BT155" t="str">
        <f>HYPERLINK("https%3A%2F%2Fwww.webofscience.com%2Fwos%2Fwoscc%2Ffull-record%2FWOS:000282209700041","View Full Record in Web of Science")</f>
        <v>View Full Record in Web of Science</v>
      </c>
    </row>
    <row r="156" spans="1:72" x14ac:dyDescent="0.15">
      <c r="A156" t="s">
        <v>72</v>
      </c>
      <c r="B156" t="s">
        <v>3082</v>
      </c>
      <c r="C156" t="s">
        <v>74</v>
      </c>
      <c r="D156" t="s">
        <v>74</v>
      </c>
      <c r="E156" t="s">
        <v>74</v>
      </c>
      <c r="F156" t="s">
        <v>3083</v>
      </c>
      <c r="G156" t="s">
        <v>74</v>
      </c>
      <c r="H156" t="s">
        <v>3084</v>
      </c>
      <c r="I156" t="s">
        <v>3085</v>
      </c>
      <c r="J156" t="s">
        <v>3086</v>
      </c>
      <c r="K156" t="s">
        <v>74</v>
      </c>
      <c r="L156" t="s">
        <v>74</v>
      </c>
      <c r="M156" t="s">
        <v>78</v>
      </c>
      <c r="N156" t="s">
        <v>79</v>
      </c>
      <c r="O156" t="s">
        <v>74</v>
      </c>
      <c r="P156" t="s">
        <v>74</v>
      </c>
      <c r="Q156" t="s">
        <v>74</v>
      </c>
      <c r="R156" t="s">
        <v>74</v>
      </c>
      <c r="S156" t="s">
        <v>74</v>
      </c>
      <c r="T156" t="s">
        <v>74</v>
      </c>
      <c r="U156" t="s">
        <v>3087</v>
      </c>
      <c r="V156" t="s">
        <v>3088</v>
      </c>
      <c r="W156" t="s">
        <v>3089</v>
      </c>
      <c r="X156" t="s">
        <v>3090</v>
      </c>
      <c r="Y156" t="s">
        <v>3091</v>
      </c>
      <c r="Z156" t="s">
        <v>3092</v>
      </c>
      <c r="AA156" t="s">
        <v>3093</v>
      </c>
      <c r="AB156" t="s">
        <v>3094</v>
      </c>
      <c r="AC156" t="s">
        <v>3095</v>
      </c>
      <c r="AD156" t="s">
        <v>3096</v>
      </c>
      <c r="AE156" t="s">
        <v>3097</v>
      </c>
      <c r="AF156" t="s">
        <v>74</v>
      </c>
      <c r="AG156">
        <v>48</v>
      </c>
      <c r="AH156">
        <v>26</v>
      </c>
      <c r="AI156">
        <v>27</v>
      </c>
      <c r="AJ156">
        <v>0</v>
      </c>
      <c r="AK156">
        <v>4</v>
      </c>
      <c r="AL156" t="s">
        <v>464</v>
      </c>
      <c r="AM156" t="s">
        <v>310</v>
      </c>
      <c r="AN156" t="s">
        <v>465</v>
      </c>
      <c r="AO156" t="s">
        <v>3098</v>
      </c>
      <c r="AP156" t="s">
        <v>3099</v>
      </c>
      <c r="AQ156" t="s">
        <v>74</v>
      </c>
      <c r="AR156" t="s">
        <v>3100</v>
      </c>
      <c r="AS156" t="s">
        <v>3101</v>
      </c>
      <c r="AT156" t="s">
        <v>2226</v>
      </c>
      <c r="AU156">
        <v>2010</v>
      </c>
      <c r="AV156">
        <v>69</v>
      </c>
      <c r="AW156" t="s">
        <v>556</v>
      </c>
      <c r="AX156" t="s">
        <v>74</v>
      </c>
      <c r="AY156" t="s">
        <v>74</v>
      </c>
      <c r="AZ156" t="s">
        <v>74</v>
      </c>
      <c r="BA156" t="s">
        <v>74</v>
      </c>
      <c r="BB156">
        <v>361</v>
      </c>
      <c r="BC156">
        <v>378</v>
      </c>
      <c r="BD156" t="s">
        <v>74</v>
      </c>
      <c r="BE156" t="s">
        <v>3102</v>
      </c>
      <c r="BF156" t="str">
        <f>HYPERLINK("http://dx.doi.org/10.1140/epjc/s10052-010-1411-6","http://dx.doi.org/10.1140/epjc/s10052-010-1411-6")</f>
        <v>http://dx.doi.org/10.1140/epjc/s10052-010-1411-6</v>
      </c>
      <c r="BG156" t="s">
        <v>74</v>
      </c>
      <c r="BH156" t="s">
        <v>74</v>
      </c>
      <c r="BI156">
        <v>18</v>
      </c>
      <c r="BJ156" t="s">
        <v>3103</v>
      </c>
      <c r="BK156" t="s">
        <v>100</v>
      </c>
      <c r="BL156" t="s">
        <v>2126</v>
      </c>
      <c r="BM156" t="s">
        <v>3104</v>
      </c>
      <c r="BN156" t="s">
        <v>74</v>
      </c>
      <c r="BO156" t="s">
        <v>1452</v>
      </c>
      <c r="BP156" t="s">
        <v>74</v>
      </c>
      <c r="BQ156" t="s">
        <v>74</v>
      </c>
      <c r="BR156" t="s">
        <v>104</v>
      </c>
      <c r="BS156" t="s">
        <v>3105</v>
      </c>
      <c r="BT156" t="str">
        <f>HYPERLINK("https%3A%2F%2Fwww.webofscience.com%2Fwos%2Fwoscc%2Ffull-record%2FWOS:000283361800003","View Full Record in Web of Science")</f>
        <v>View Full Record in Web of Science</v>
      </c>
    </row>
    <row r="157" spans="1:72" x14ac:dyDescent="0.15">
      <c r="A157" t="s">
        <v>72</v>
      </c>
      <c r="B157" t="s">
        <v>3106</v>
      </c>
      <c r="C157" t="s">
        <v>74</v>
      </c>
      <c r="D157" t="s">
        <v>74</v>
      </c>
      <c r="E157" t="s">
        <v>74</v>
      </c>
      <c r="F157" t="s">
        <v>3107</v>
      </c>
      <c r="G157" t="s">
        <v>74</v>
      </c>
      <c r="H157" t="s">
        <v>74</v>
      </c>
      <c r="I157" t="s">
        <v>3108</v>
      </c>
      <c r="J157" t="s">
        <v>3109</v>
      </c>
      <c r="K157" t="s">
        <v>74</v>
      </c>
      <c r="L157" t="s">
        <v>74</v>
      </c>
      <c r="M157" t="s">
        <v>78</v>
      </c>
      <c r="N157" t="s">
        <v>79</v>
      </c>
      <c r="O157" t="s">
        <v>74</v>
      </c>
      <c r="P157" t="s">
        <v>74</v>
      </c>
      <c r="Q157" t="s">
        <v>74</v>
      </c>
      <c r="R157" t="s">
        <v>74</v>
      </c>
      <c r="S157" t="s">
        <v>74</v>
      </c>
      <c r="T157" t="s">
        <v>3110</v>
      </c>
      <c r="U157" t="s">
        <v>3111</v>
      </c>
      <c r="V157" t="s">
        <v>3112</v>
      </c>
      <c r="W157" t="s">
        <v>3113</v>
      </c>
      <c r="X157" t="s">
        <v>3114</v>
      </c>
      <c r="Y157" t="s">
        <v>3115</v>
      </c>
      <c r="Z157" t="s">
        <v>3116</v>
      </c>
      <c r="AA157" t="s">
        <v>3117</v>
      </c>
      <c r="AB157" t="s">
        <v>3118</v>
      </c>
      <c r="AC157" t="s">
        <v>3119</v>
      </c>
      <c r="AD157" t="s">
        <v>3120</v>
      </c>
      <c r="AE157" t="s">
        <v>3121</v>
      </c>
      <c r="AF157" t="s">
        <v>74</v>
      </c>
      <c r="AG157">
        <v>64</v>
      </c>
      <c r="AH157">
        <v>64</v>
      </c>
      <c r="AI157">
        <v>76</v>
      </c>
      <c r="AJ157">
        <v>0</v>
      </c>
      <c r="AK157">
        <v>50</v>
      </c>
      <c r="AL157" t="s">
        <v>923</v>
      </c>
      <c r="AM157" t="s">
        <v>339</v>
      </c>
      <c r="AN157" t="s">
        <v>340</v>
      </c>
      <c r="AO157" t="s">
        <v>3122</v>
      </c>
      <c r="AP157" t="s">
        <v>3123</v>
      </c>
      <c r="AQ157" t="s">
        <v>74</v>
      </c>
      <c r="AR157" t="s">
        <v>3124</v>
      </c>
      <c r="AS157" t="s">
        <v>3125</v>
      </c>
      <c r="AT157" t="s">
        <v>2226</v>
      </c>
      <c r="AU157">
        <v>2010</v>
      </c>
      <c r="AV157">
        <v>24</v>
      </c>
      <c r="AW157">
        <v>5</v>
      </c>
      <c r="AX157" t="s">
        <v>74</v>
      </c>
      <c r="AY157" t="s">
        <v>74</v>
      </c>
      <c r="AZ157" t="s">
        <v>74</v>
      </c>
      <c r="BA157" t="s">
        <v>74</v>
      </c>
      <c r="BB157">
        <v>1007</v>
      </c>
      <c r="BC157">
        <v>1016</v>
      </c>
      <c r="BD157" t="s">
        <v>74</v>
      </c>
      <c r="BE157" t="s">
        <v>3126</v>
      </c>
      <c r="BF157" t="str">
        <f>HYPERLINK("http://dx.doi.org/10.1111/j.1365-2435.2010.01712.x","http://dx.doi.org/10.1111/j.1365-2435.2010.01712.x")</f>
        <v>http://dx.doi.org/10.1111/j.1365-2435.2010.01712.x</v>
      </c>
      <c r="BG157" t="s">
        <v>74</v>
      </c>
      <c r="BH157" t="s">
        <v>74</v>
      </c>
      <c r="BI157">
        <v>10</v>
      </c>
      <c r="BJ157" t="s">
        <v>3127</v>
      </c>
      <c r="BK157" t="s">
        <v>100</v>
      </c>
      <c r="BL157" t="s">
        <v>2797</v>
      </c>
      <c r="BM157" t="s">
        <v>3128</v>
      </c>
      <c r="BN157" t="s">
        <v>74</v>
      </c>
      <c r="BO157" t="s">
        <v>394</v>
      </c>
      <c r="BP157" t="s">
        <v>74</v>
      </c>
      <c r="BQ157" t="s">
        <v>74</v>
      </c>
      <c r="BR157" t="s">
        <v>104</v>
      </c>
      <c r="BS157" t="s">
        <v>3129</v>
      </c>
      <c r="BT157" t="str">
        <f>HYPERLINK("https%3A%2F%2Fwww.webofscience.com%2Fwos%2Fwoscc%2Ffull-record%2FWOS:000281895800007","View Full Record in Web of Science")</f>
        <v>View Full Record in Web of Science</v>
      </c>
    </row>
    <row r="158" spans="1:72" x14ac:dyDescent="0.15">
      <c r="A158" t="s">
        <v>72</v>
      </c>
      <c r="B158" t="s">
        <v>3130</v>
      </c>
      <c r="C158" t="s">
        <v>74</v>
      </c>
      <c r="D158" t="s">
        <v>74</v>
      </c>
      <c r="E158" t="s">
        <v>74</v>
      </c>
      <c r="F158" t="s">
        <v>3131</v>
      </c>
      <c r="G158" t="s">
        <v>74</v>
      </c>
      <c r="H158" t="s">
        <v>74</v>
      </c>
      <c r="I158" t="s">
        <v>3132</v>
      </c>
      <c r="J158" t="s">
        <v>3133</v>
      </c>
      <c r="K158" t="s">
        <v>74</v>
      </c>
      <c r="L158" t="s">
        <v>74</v>
      </c>
      <c r="M158" t="s">
        <v>78</v>
      </c>
      <c r="N158" t="s">
        <v>79</v>
      </c>
      <c r="O158" t="s">
        <v>74</v>
      </c>
      <c r="P158" t="s">
        <v>74</v>
      </c>
      <c r="Q158" t="s">
        <v>74</v>
      </c>
      <c r="R158" t="s">
        <v>74</v>
      </c>
      <c r="S158" t="s">
        <v>74</v>
      </c>
      <c r="T158" t="s">
        <v>74</v>
      </c>
      <c r="U158" t="s">
        <v>3134</v>
      </c>
      <c r="V158" t="s">
        <v>3135</v>
      </c>
      <c r="W158" t="s">
        <v>3136</v>
      </c>
      <c r="X158" t="s">
        <v>3137</v>
      </c>
      <c r="Y158" t="s">
        <v>3138</v>
      </c>
      <c r="Z158" t="s">
        <v>3139</v>
      </c>
      <c r="AA158" t="s">
        <v>3140</v>
      </c>
      <c r="AB158" t="s">
        <v>3141</v>
      </c>
      <c r="AC158" t="s">
        <v>3142</v>
      </c>
      <c r="AD158" t="s">
        <v>3143</v>
      </c>
      <c r="AE158" t="s">
        <v>3144</v>
      </c>
      <c r="AF158" t="s">
        <v>74</v>
      </c>
      <c r="AG158">
        <v>30</v>
      </c>
      <c r="AH158">
        <v>82</v>
      </c>
      <c r="AI158">
        <v>91</v>
      </c>
      <c r="AJ158">
        <v>1</v>
      </c>
      <c r="AK158">
        <v>52</v>
      </c>
      <c r="AL158" t="s">
        <v>3145</v>
      </c>
      <c r="AM158" t="s">
        <v>91</v>
      </c>
      <c r="AN158" t="s">
        <v>3146</v>
      </c>
      <c r="AO158" t="s">
        <v>3147</v>
      </c>
      <c r="AP158" t="s">
        <v>3148</v>
      </c>
      <c r="AQ158" t="s">
        <v>74</v>
      </c>
      <c r="AR158" t="s">
        <v>3133</v>
      </c>
      <c r="AS158" t="s">
        <v>807</v>
      </c>
      <c r="AT158" t="s">
        <v>2226</v>
      </c>
      <c r="AU158">
        <v>2010</v>
      </c>
      <c r="AV158">
        <v>38</v>
      </c>
      <c r="AW158">
        <v>10</v>
      </c>
      <c r="AX158" t="s">
        <v>74</v>
      </c>
      <c r="AY158" t="s">
        <v>74</v>
      </c>
      <c r="AZ158" t="s">
        <v>74</v>
      </c>
      <c r="BA158" t="s">
        <v>74</v>
      </c>
      <c r="BB158">
        <v>875</v>
      </c>
      <c r="BC158">
        <v>878</v>
      </c>
      <c r="BD158" t="s">
        <v>74</v>
      </c>
      <c r="BE158" t="s">
        <v>3149</v>
      </c>
      <c r="BF158" t="str">
        <f>HYPERLINK("http://dx.doi.org/10.1130/G31184.1","http://dx.doi.org/10.1130/G31184.1")</f>
        <v>http://dx.doi.org/10.1130/G31184.1</v>
      </c>
      <c r="BG158" t="s">
        <v>74</v>
      </c>
      <c r="BH158" t="s">
        <v>74</v>
      </c>
      <c r="BI158">
        <v>4</v>
      </c>
      <c r="BJ158" t="s">
        <v>807</v>
      </c>
      <c r="BK158" t="s">
        <v>100</v>
      </c>
      <c r="BL158" t="s">
        <v>807</v>
      </c>
      <c r="BM158" t="s">
        <v>3150</v>
      </c>
      <c r="BN158" t="s">
        <v>74</v>
      </c>
      <c r="BO158" t="s">
        <v>74</v>
      </c>
      <c r="BP158" t="s">
        <v>74</v>
      </c>
      <c r="BQ158" t="s">
        <v>74</v>
      </c>
      <c r="BR158" t="s">
        <v>104</v>
      </c>
      <c r="BS158" t="s">
        <v>3151</v>
      </c>
      <c r="BT158" t="str">
        <f>HYPERLINK("https%3A%2F%2Fwww.webofscience.com%2Fwos%2Fwoscc%2Ffull-record%2FWOS:000282348600003","View Full Record in Web of Science")</f>
        <v>View Full Record in Web of Science</v>
      </c>
    </row>
    <row r="159" spans="1:72" x14ac:dyDescent="0.15">
      <c r="A159" t="s">
        <v>72</v>
      </c>
      <c r="B159" t="s">
        <v>3152</v>
      </c>
      <c r="C159" t="s">
        <v>74</v>
      </c>
      <c r="D159" t="s">
        <v>74</v>
      </c>
      <c r="E159" t="s">
        <v>74</v>
      </c>
      <c r="F159" t="s">
        <v>3153</v>
      </c>
      <c r="G159" t="s">
        <v>74</v>
      </c>
      <c r="H159" t="s">
        <v>74</v>
      </c>
      <c r="I159" t="s">
        <v>3154</v>
      </c>
      <c r="J159" t="s">
        <v>3133</v>
      </c>
      <c r="K159" t="s">
        <v>74</v>
      </c>
      <c r="L159" t="s">
        <v>74</v>
      </c>
      <c r="M159" t="s">
        <v>78</v>
      </c>
      <c r="N159" t="s">
        <v>79</v>
      </c>
      <c r="O159" t="s">
        <v>74</v>
      </c>
      <c r="P159" t="s">
        <v>74</v>
      </c>
      <c r="Q159" t="s">
        <v>74</v>
      </c>
      <c r="R159" t="s">
        <v>74</v>
      </c>
      <c r="S159" t="s">
        <v>74</v>
      </c>
      <c r="T159" t="s">
        <v>74</v>
      </c>
      <c r="U159" t="s">
        <v>3155</v>
      </c>
      <c r="V159" t="s">
        <v>3156</v>
      </c>
      <c r="W159" t="s">
        <v>3157</v>
      </c>
      <c r="X159" t="s">
        <v>3158</v>
      </c>
      <c r="Y159" t="s">
        <v>3159</v>
      </c>
      <c r="Z159" t="s">
        <v>74</v>
      </c>
      <c r="AA159" t="s">
        <v>3160</v>
      </c>
      <c r="AB159" t="s">
        <v>3161</v>
      </c>
      <c r="AC159" t="s">
        <v>3162</v>
      </c>
      <c r="AD159" t="s">
        <v>3163</v>
      </c>
      <c r="AE159" t="s">
        <v>3164</v>
      </c>
      <c r="AF159" t="s">
        <v>74</v>
      </c>
      <c r="AG159">
        <v>31</v>
      </c>
      <c r="AH159">
        <v>73</v>
      </c>
      <c r="AI159">
        <v>80</v>
      </c>
      <c r="AJ159">
        <v>1</v>
      </c>
      <c r="AK159">
        <v>42</v>
      </c>
      <c r="AL159" t="s">
        <v>3145</v>
      </c>
      <c r="AM159" t="s">
        <v>91</v>
      </c>
      <c r="AN159" t="s">
        <v>3146</v>
      </c>
      <c r="AO159" t="s">
        <v>3147</v>
      </c>
      <c r="AP159" t="s">
        <v>74</v>
      </c>
      <c r="AQ159" t="s">
        <v>74</v>
      </c>
      <c r="AR159" t="s">
        <v>3133</v>
      </c>
      <c r="AS159" t="s">
        <v>807</v>
      </c>
      <c r="AT159" t="s">
        <v>2226</v>
      </c>
      <c r="AU159">
        <v>2010</v>
      </c>
      <c r="AV159">
        <v>38</v>
      </c>
      <c r="AW159">
        <v>10</v>
      </c>
      <c r="AX159" t="s">
        <v>74</v>
      </c>
      <c r="AY159" t="s">
        <v>74</v>
      </c>
      <c r="AZ159" t="s">
        <v>74</v>
      </c>
      <c r="BA159" t="s">
        <v>74</v>
      </c>
      <c r="BB159">
        <v>943</v>
      </c>
      <c r="BC159">
        <v>946</v>
      </c>
      <c r="BD159" t="s">
        <v>74</v>
      </c>
      <c r="BE159" t="s">
        <v>3165</v>
      </c>
      <c r="BF159" t="str">
        <f>HYPERLINK("http://dx.doi.org/10.1130/G31371.1","http://dx.doi.org/10.1130/G31371.1")</f>
        <v>http://dx.doi.org/10.1130/G31371.1</v>
      </c>
      <c r="BG159" t="s">
        <v>74</v>
      </c>
      <c r="BH159" t="s">
        <v>74</v>
      </c>
      <c r="BI159">
        <v>4</v>
      </c>
      <c r="BJ159" t="s">
        <v>807</v>
      </c>
      <c r="BK159" t="s">
        <v>100</v>
      </c>
      <c r="BL159" t="s">
        <v>807</v>
      </c>
      <c r="BM159" t="s">
        <v>3150</v>
      </c>
      <c r="BN159" t="s">
        <v>74</v>
      </c>
      <c r="BO159" t="s">
        <v>74</v>
      </c>
      <c r="BP159" t="s">
        <v>74</v>
      </c>
      <c r="BQ159" t="s">
        <v>74</v>
      </c>
      <c r="BR159" t="s">
        <v>104</v>
      </c>
      <c r="BS159" t="s">
        <v>3166</v>
      </c>
      <c r="BT159" t="str">
        <f>HYPERLINK("https%3A%2F%2Fwww.webofscience.com%2Fwos%2Fwoscc%2Ffull-record%2FWOS:000282348600021","View Full Record in Web of Science")</f>
        <v>View Full Record in Web of Science</v>
      </c>
    </row>
    <row r="160" spans="1:72" x14ac:dyDescent="0.15">
      <c r="A160" t="s">
        <v>72</v>
      </c>
      <c r="B160" t="s">
        <v>3167</v>
      </c>
      <c r="C160" t="s">
        <v>74</v>
      </c>
      <c r="D160" t="s">
        <v>74</v>
      </c>
      <c r="E160" t="s">
        <v>74</v>
      </c>
      <c r="F160" t="s">
        <v>3168</v>
      </c>
      <c r="G160" t="s">
        <v>74</v>
      </c>
      <c r="H160" t="s">
        <v>74</v>
      </c>
      <c r="I160" t="s">
        <v>3169</v>
      </c>
      <c r="J160" t="s">
        <v>3133</v>
      </c>
      <c r="K160" t="s">
        <v>74</v>
      </c>
      <c r="L160" t="s">
        <v>74</v>
      </c>
      <c r="M160" t="s">
        <v>78</v>
      </c>
      <c r="N160" t="s">
        <v>79</v>
      </c>
      <c r="O160" t="s">
        <v>74</v>
      </c>
      <c r="P160" t="s">
        <v>74</v>
      </c>
      <c r="Q160" t="s">
        <v>74</v>
      </c>
      <c r="R160" t="s">
        <v>74</v>
      </c>
      <c r="S160" t="s">
        <v>74</v>
      </c>
      <c r="T160" t="s">
        <v>74</v>
      </c>
      <c r="U160" t="s">
        <v>3170</v>
      </c>
      <c r="V160" t="s">
        <v>3171</v>
      </c>
      <c r="W160" t="s">
        <v>3172</v>
      </c>
      <c r="X160" t="s">
        <v>3173</v>
      </c>
      <c r="Y160" t="s">
        <v>3174</v>
      </c>
      <c r="Z160" t="s">
        <v>3175</v>
      </c>
      <c r="AA160" t="s">
        <v>3176</v>
      </c>
      <c r="AB160" t="s">
        <v>3177</v>
      </c>
      <c r="AC160" t="s">
        <v>3178</v>
      </c>
      <c r="AD160" t="s">
        <v>3179</v>
      </c>
      <c r="AE160" t="s">
        <v>3180</v>
      </c>
      <c r="AF160" t="s">
        <v>74</v>
      </c>
      <c r="AG160">
        <v>39</v>
      </c>
      <c r="AH160">
        <v>45</v>
      </c>
      <c r="AI160">
        <v>48</v>
      </c>
      <c r="AJ160">
        <v>1</v>
      </c>
      <c r="AK160">
        <v>18</v>
      </c>
      <c r="AL160" t="s">
        <v>3145</v>
      </c>
      <c r="AM160" t="s">
        <v>91</v>
      </c>
      <c r="AN160" t="s">
        <v>3146</v>
      </c>
      <c r="AO160" t="s">
        <v>3147</v>
      </c>
      <c r="AP160" t="s">
        <v>3148</v>
      </c>
      <c r="AQ160" t="s">
        <v>74</v>
      </c>
      <c r="AR160" t="s">
        <v>3133</v>
      </c>
      <c r="AS160" t="s">
        <v>807</v>
      </c>
      <c r="AT160" t="s">
        <v>2226</v>
      </c>
      <c r="AU160">
        <v>2010</v>
      </c>
      <c r="AV160">
        <v>38</v>
      </c>
      <c r="AW160">
        <v>10</v>
      </c>
      <c r="AX160" t="s">
        <v>74</v>
      </c>
      <c r="AY160" t="s">
        <v>74</v>
      </c>
      <c r="AZ160" t="s">
        <v>74</v>
      </c>
      <c r="BA160" t="s">
        <v>74</v>
      </c>
      <c r="BB160">
        <v>955</v>
      </c>
      <c r="BC160">
        <v>958</v>
      </c>
      <c r="BD160" t="s">
        <v>74</v>
      </c>
      <c r="BE160" t="s">
        <v>3181</v>
      </c>
      <c r="BF160" t="str">
        <f>HYPERLINK("http://dx.doi.org/10.1130/G31282.1","http://dx.doi.org/10.1130/G31282.1")</f>
        <v>http://dx.doi.org/10.1130/G31282.1</v>
      </c>
      <c r="BG160" t="s">
        <v>74</v>
      </c>
      <c r="BH160" t="s">
        <v>74</v>
      </c>
      <c r="BI160">
        <v>4</v>
      </c>
      <c r="BJ160" t="s">
        <v>807</v>
      </c>
      <c r="BK160" t="s">
        <v>100</v>
      </c>
      <c r="BL160" t="s">
        <v>807</v>
      </c>
      <c r="BM160" t="s">
        <v>3150</v>
      </c>
      <c r="BN160" t="s">
        <v>74</v>
      </c>
      <c r="BO160" t="s">
        <v>74</v>
      </c>
      <c r="BP160" t="s">
        <v>74</v>
      </c>
      <c r="BQ160" t="s">
        <v>74</v>
      </c>
      <c r="BR160" t="s">
        <v>104</v>
      </c>
      <c r="BS160" t="s">
        <v>3182</v>
      </c>
      <c r="BT160" t="str">
        <f>HYPERLINK("https%3A%2F%2Fwww.webofscience.com%2Fwos%2Fwoscc%2Ffull-record%2FWOS:000282348600024","View Full Record in Web of Science")</f>
        <v>View Full Record in Web of Science</v>
      </c>
    </row>
    <row r="161" spans="1:72" x14ac:dyDescent="0.15">
      <c r="A161" t="s">
        <v>72</v>
      </c>
      <c r="B161" t="s">
        <v>3183</v>
      </c>
      <c r="C161" t="s">
        <v>74</v>
      </c>
      <c r="D161" t="s">
        <v>74</v>
      </c>
      <c r="E161" t="s">
        <v>74</v>
      </c>
      <c r="F161" t="s">
        <v>3184</v>
      </c>
      <c r="G161" t="s">
        <v>74</v>
      </c>
      <c r="H161" t="s">
        <v>74</v>
      </c>
      <c r="I161" t="s">
        <v>3185</v>
      </c>
      <c r="J161" t="s">
        <v>3186</v>
      </c>
      <c r="K161" t="s">
        <v>74</v>
      </c>
      <c r="L161" t="s">
        <v>74</v>
      </c>
      <c r="M161" t="s">
        <v>78</v>
      </c>
      <c r="N161" t="s">
        <v>79</v>
      </c>
      <c r="O161" t="s">
        <v>74</v>
      </c>
      <c r="P161" t="s">
        <v>74</v>
      </c>
      <c r="Q161" t="s">
        <v>74</v>
      </c>
      <c r="R161" t="s">
        <v>74</v>
      </c>
      <c r="S161" t="s">
        <v>74</v>
      </c>
      <c r="T161" t="s">
        <v>74</v>
      </c>
      <c r="U161" t="s">
        <v>3187</v>
      </c>
      <c r="V161" t="s">
        <v>3188</v>
      </c>
      <c r="W161" t="s">
        <v>3189</v>
      </c>
      <c r="X161" t="s">
        <v>3190</v>
      </c>
      <c r="Y161" t="s">
        <v>3191</v>
      </c>
      <c r="Z161" t="s">
        <v>3192</v>
      </c>
      <c r="AA161" t="s">
        <v>3193</v>
      </c>
      <c r="AB161" t="s">
        <v>3194</v>
      </c>
      <c r="AC161" t="s">
        <v>3195</v>
      </c>
      <c r="AD161" t="s">
        <v>3196</v>
      </c>
      <c r="AE161" t="s">
        <v>3197</v>
      </c>
      <c r="AF161" t="s">
        <v>74</v>
      </c>
      <c r="AG161">
        <v>30</v>
      </c>
      <c r="AH161">
        <v>4</v>
      </c>
      <c r="AI161">
        <v>5</v>
      </c>
      <c r="AJ161">
        <v>0</v>
      </c>
      <c r="AK161">
        <v>14</v>
      </c>
      <c r="AL161" t="s">
        <v>3198</v>
      </c>
      <c r="AM161" t="s">
        <v>310</v>
      </c>
      <c r="AN161" t="s">
        <v>3199</v>
      </c>
      <c r="AO161" t="s">
        <v>3200</v>
      </c>
      <c r="AP161" t="s">
        <v>3201</v>
      </c>
      <c r="AQ161" t="s">
        <v>74</v>
      </c>
      <c r="AR161" t="s">
        <v>3202</v>
      </c>
      <c r="AS161" t="s">
        <v>3203</v>
      </c>
      <c r="AT161" t="s">
        <v>2226</v>
      </c>
      <c r="AU161">
        <v>2010</v>
      </c>
      <c r="AV161">
        <v>50</v>
      </c>
      <c r="AW161">
        <v>5</v>
      </c>
      <c r="AX161" t="s">
        <v>74</v>
      </c>
      <c r="AY161" t="s">
        <v>74</v>
      </c>
      <c r="AZ161" t="s">
        <v>74</v>
      </c>
      <c r="BA161" t="s">
        <v>74</v>
      </c>
      <c r="BB161">
        <v>667</v>
      </c>
      <c r="BC161">
        <v>678</v>
      </c>
      <c r="BD161" t="s">
        <v>74</v>
      </c>
      <c r="BE161" t="s">
        <v>3204</v>
      </c>
      <c r="BF161" t="str">
        <f>HYPERLINK("http://dx.doi.org/10.1134/S0016793210050142","http://dx.doi.org/10.1134/S0016793210050142")</f>
        <v>http://dx.doi.org/10.1134/S0016793210050142</v>
      </c>
      <c r="BG161" t="s">
        <v>74</v>
      </c>
      <c r="BH161" t="s">
        <v>74</v>
      </c>
      <c r="BI161">
        <v>12</v>
      </c>
      <c r="BJ161" t="s">
        <v>558</v>
      </c>
      <c r="BK161" t="s">
        <v>100</v>
      </c>
      <c r="BL161" t="s">
        <v>558</v>
      </c>
      <c r="BM161" t="s">
        <v>3205</v>
      </c>
      <c r="BN161" t="s">
        <v>74</v>
      </c>
      <c r="BO161" t="s">
        <v>74</v>
      </c>
      <c r="BP161" t="s">
        <v>74</v>
      </c>
      <c r="BQ161" t="s">
        <v>74</v>
      </c>
      <c r="BR161" t="s">
        <v>104</v>
      </c>
      <c r="BS161" t="s">
        <v>3206</v>
      </c>
      <c r="BT161" t="str">
        <f>HYPERLINK("https%3A%2F%2Fwww.webofscience.com%2Fwos%2Fwoscc%2Ffull-record%2FWOS:000282825900014","View Full Record in Web of Science")</f>
        <v>View Full Record in Web of Science</v>
      </c>
    </row>
    <row r="162" spans="1:72" x14ac:dyDescent="0.15">
      <c r="A162" t="s">
        <v>72</v>
      </c>
      <c r="B162" t="s">
        <v>3207</v>
      </c>
      <c r="C162" t="s">
        <v>74</v>
      </c>
      <c r="D162" t="s">
        <v>74</v>
      </c>
      <c r="E162" t="s">
        <v>74</v>
      </c>
      <c r="F162" t="s">
        <v>3208</v>
      </c>
      <c r="G162" t="s">
        <v>74</v>
      </c>
      <c r="H162" t="s">
        <v>74</v>
      </c>
      <c r="I162" t="s">
        <v>3209</v>
      </c>
      <c r="J162" t="s">
        <v>636</v>
      </c>
      <c r="K162" t="s">
        <v>74</v>
      </c>
      <c r="L162" t="s">
        <v>74</v>
      </c>
      <c r="M162" t="s">
        <v>78</v>
      </c>
      <c r="N162" t="s">
        <v>79</v>
      </c>
      <c r="O162" t="s">
        <v>74</v>
      </c>
      <c r="P162" t="s">
        <v>74</v>
      </c>
      <c r="Q162" t="s">
        <v>74</v>
      </c>
      <c r="R162" t="s">
        <v>74</v>
      </c>
      <c r="S162" t="s">
        <v>74</v>
      </c>
      <c r="T162" t="s">
        <v>3210</v>
      </c>
      <c r="U162" t="s">
        <v>3211</v>
      </c>
      <c r="V162" t="s">
        <v>3212</v>
      </c>
      <c r="W162" t="s">
        <v>3213</v>
      </c>
      <c r="X162" t="s">
        <v>3214</v>
      </c>
      <c r="Y162" t="s">
        <v>3215</v>
      </c>
      <c r="Z162" t="s">
        <v>3216</v>
      </c>
      <c r="AA162" t="s">
        <v>3217</v>
      </c>
      <c r="AB162" t="s">
        <v>74</v>
      </c>
      <c r="AC162" t="s">
        <v>3218</v>
      </c>
      <c r="AD162" t="s">
        <v>3219</v>
      </c>
      <c r="AE162" t="s">
        <v>3220</v>
      </c>
      <c r="AF162" t="s">
        <v>74</v>
      </c>
      <c r="AG162">
        <v>64</v>
      </c>
      <c r="AH162">
        <v>87</v>
      </c>
      <c r="AI162">
        <v>95</v>
      </c>
      <c r="AJ162">
        <v>2</v>
      </c>
      <c r="AK162">
        <v>38</v>
      </c>
      <c r="AL162" t="s">
        <v>648</v>
      </c>
      <c r="AM162" t="s">
        <v>265</v>
      </c>
      <c r="AN162" t="s">
        <v>649</v>
      </c>
      <c r="AO162" t="s">
        <v>650</v>
      </c>
      <c r="AP162" t="s">
        <v>651</v>
      </c>
      <c r="AQ162" t="s">
        <v>74</v>
      </c>
      <c r="AR162" t="s">
        <v>652</v>
      </c>
      <c r="AS162" t="s">
        <v>653</v>
      </c>
      <c r="AT162" t="s">
        <v>2226</v>
      </c>
      <c r="AU162">
        <v>2010</v>
      </c>
      <c r="AV162">
        <v>183</v>
      </c>
      <c r="AW162">
        <v>1</v>
      </c>
      <c r="AX162" t="s">
        <v>74</v>
      </c>
      <c r="AY162" t="s">
        <v>74</v>
      </c>
      <c r="AZ162" t="s">
        <v>74</v>
      </c>
      <c r="BA162" t="s">
        <v>74</v>
      </c>
      <c r="BB162">
        <v>127</v>
      </c>
      <c r="BC162">
        <v>149</v>
      </c>
      <c r="BD162" t="s">
        <v>74</v>
      </c>
      <c r="BE162" t="s">
        <v>3221</v>
      </c>
      <c r="BF162" t="str">
        <f>HYPERLINK("http://dx.doi.org/10.1111/j.1365-246X.2010.04737.x","http://dx.doi.org/10.1111/j.1365-246X.2010.04737.x")</f>
        <v>http://dx.doi.org/10.1111/j.1365-246X.2010.04737.x</v>
      </c>
      <c r="BG162" t="s">
        <v>74</v>
      </c>
      <c r="BH162" t="s">
        <v>74</v>
      </c>
      <c r="BI162">
        <v>23</v>
      </c>
      <c r="BJ162" t="s">
        <v>558</v>
      </c>
      <c r="BK162" t="s">
        <v>100</v>
      </c>
      <c r="BL162" t="s">
        <v>558</v>
      </c>
      <c r="BM162" t="s">
        <v>3222</v>
      </c>
      <c r="BN162" t="s">
        <v>74</v>
      </c>
      <c r="BO162" t="s">
        <v>103</v>
      </c>
      <c r="BP162" t="s">
        <v>74</v>
      </c>
      <c r="BQ162" t="s">
        <v>74</v>
      </c>
      <c r="BR162" t="s">
        <v>104</v>
      </c>
      <c r="BS162" t="s">
        <v>3223</v>
      </c>
      <c r="BT162" t="str">
        <f>HYPERLINK("https%3A%2F%2Fwww.webofscience.com%2Fwos%2Fwoscc%2Ffull-record%2FWOS:000281902600011","View Full Record in Web of Science")</f>
        <v>View Full Record in Web of Science</v>
      </c>
    </row>
    <row r="163" spans="1:72" x14ac:dyDescent="0.15">
      <c r="A163" t="s">
        <v>72</v>
      </c>
      <c r="B163" t="s">
        <v>3224</v>
      </c>
      <c r="C163" t="s">
        <v>74</v>
      </c>
      <c r="D163" t="s">
        <v>74</v>
      </c>
      <c r="E163" t="s">
        <v>74</v>
      </c>
      <c r="F163" t="s">
        <v>3225</v>
      </c>
      <c r="G163" t="s">
        <v>74</v>
      </c>
      <c r="H163" t="s">
        <v>74</v>
      </c>
      <c r="I163" t="s">
        <v>3226</v>
      </c>
      <c r="J163" t="s">
        <v>3227</v>
      </c>
      <c r="K163" t="s">
        <v>74</v>
      </c>
      <c r="L163" t="s">
        <v>74</v>
      </c>
      <c r="M163" t="s">
        <v>78</v>
      </c>
      <c r="N163" t="s">
        <v>79</v>
      </c>
      <c r="O163" t="s">
        <v>74</v>
      </c>
      <c r="P163" t="s">
        <v>74</v>
      </c>
      <c r="Q163" t="s">
        <v>74</v>
      </c>
      <c r="R163" t="s">
        <v>74</v>
      </c>
      <c r="S163" t="s">
        <v>74</v>
      </c>
      <c r="T163" t="s">
        <v>74</v>
      </c>
      <c r="U163" t="s">
        <v>3228</v>
      </c>
      <c r="V163" t="s">
        <v>3229</v>
      </c>
      <c r="W163" t="s">
        <v>3230</v>
      </c>
      <c r="X163" t="s">
        <v>3231</v>
      </c>
      <c r="Y163" t="s">
        <v>3232</v>
      </c>
      <c r="Z163" t="s">
        <v>74</v>
      </c>
      <c r="AA163" t="s">
        <v>3233</v>
      </c>
      <c r="AB163" t="s">
        <v>3234</v>
      </c>
      <c r="AC163" t="s">
        <v>3235</v>
      </c>
      <c r="AD163" t="s">
        <v>3236</v>
      </c>
      <c r="AE163" t="s">
        <v>3237</v>
      </c>
      <c r="AF163" t="s">
        <v>74</v>
      </c>
      <c r="AG163">
        <v>68</v>
      </c>
      <c r="AH163">
        <v>8</v>
      </c>
      <c r="AI163">
        <v>11</v>
      </c>
      <c r="AJ163">
        <v>0</v>
      </c>
      <c r="AK163">
        <v>8</v>
      </c>
      <c r="AL163" t="s">
        <v>3145</v>
      </c>
      <c r="AM163" t="s">
        <v>91</v>
      </c>
      <c r="AN163" t="s">
        <v>3146</v>
      </c>
      <c r="AO163" t="s">
        <v>3238</v>
      </c>
      <c r="AP163" t="s">
        <v>74</v>
      </c>
      <c r="AQ163" t="s">
        <v>74</v>
      </c>
      <c r="AR163" t="s">
        <v>3227</v>
      </c>
      <c r="AS163" t="s">
        <v>3239</v>
      </c>
      <c r="AT163" t="s">
        <v>2226</v>
      </c>
      <c r="AU163">
        <v>2010</v>
      </c>
      <c r="AV163">
        <v>6</v>
      </c>
      <c r="AW163">
        <v>5</v>
      </c>
      <c r="AX163" t="s">
        <v>74</v>
      </c>
      <c r="AY163" t="s">
        <v>74</v>
      </c>
      <c r="AZ163" t="s">
        <v>74</v>
      </c>
      <c r="BA163" t="s">
        <v>74</v>
      </c>
      <c r="BB163">
        <v>524</v>
      </c>
      <c r="BC163">
        <v>536</v>
      </c>
      <c r="BD163" t="s">
        <v>74</v>
      </c>
      <c r="BE163" t="s">
        <v>3240</v>
      </c>
      <c r="BF163" t="str">
        <f>HYPERLINK("http://dx.doi.org/10.1130/GES00537.1","http://dx.doi.org/10.1130/GES00537.1")</f>
        <v>http://dx.doi.org/10.1130/GES00537.1</v>
      </c>
      <c r="BG163" t="s">
        <v>74</v>
      </c>
      <c r="BH163" t="s">
        <v>74</v>
      </c>
      <c r="BI163">
        <v>13</v>
      </c>
      <c r="BJ163" t="s">
        <v>1194</v>
      </c>
      <c r="BK163" t="s">
        <v>100</v>
      </c>
      <c r="BL163" t="s">
        <v>807</v>
      </c>
      <c r="BM163" t="s">
        <v>3241</v>
      </c>
      <c r="BN163" t="s">
        <v>74</v>
      </c>
      <c r="BO163" t="s">
        <v>1533</v>
      </c>
      <c r="BP163" t="s">
        <v>74</v>
      </c>
      <c r="BQ163" t="s">
        <v>74</v>
      </c>
      <c r="BR163" t="s">
        <v>104</v>
      </c>
      <c r="BS163" t="s">
        <v>3242</v>
      </c>
      <c r="BT163" t="str">
        <f>HYPERLINK("https%3A%2F%2Fwww.webofscience.com%2Fwos%2Fwoscc%2Ffull-record%2FWOS:000282709700006","View Full Record in Web of Science")</f>
        <v>View Full Record in Web of Science</v>
      </c>
    </row>
    <row r="164" spans="1:72" x14ac:dyDescent="0.15">
      <c r="A164" t="s">
        <v>72</v>
      </c>
      <c r="B164" t="s">
        <v>3243</v>
      </c>
      <c r="C164" t="s">
        <v>74</v>
      </c>
      <c r="D164" t="s">
        <v>74</v>
      </c>
      <c r="E164" t="s">
        <v>74</v>
      </c>
      <c r="F164" t="s">
        <v>3244</v>
      </c>
      <c r="G164" t="s">
        <v>74</v>
      </c>
      <c r="H164" t="s">
        <v>74</v>
      </c>
      <c r="I164" t="s">
        <v>3245</v>
      </c>
      <c r="J164" t="s">
        <v>3246</v>
      </c>
      <c r="K164" t="s">
        <v>74</v>
      </c>
      <c r="L164" t="s">
        <v>74</v>
      </c>
      <c r="M164" t="s">
        <v>78</v>
      </c>
      <c r="N164" t="s">
        <v>79</v>
      </c>
      <c r="O164" t="s">
        <v>74</v>
      </c>
      <c r="P164" t="s">
        <v>74</v>
      </c>
      <c r="Q164" t="s">
        <v>74</v>
      </c>
      <c r="R164" t="s">
        <v>74</v>
      </c>
      <c r="S164" t="s">
        <v>74</v>
      </c>
      <c r="T164" t="s">
        <v>3247</v>
      </c>
      <c r="U164" t="s">
        <v>3248</v>
      </c>
      <c r="V164" t="s">
        <v>3249</v>
      </c>
      <c r="W164" t="s">
        <v>3250</v>
      </c>
      <c r="X164" t="s">
        <v>3251</v>
      </c>
      <c r="Y164" t="s">
        <v>3252</v>
      </c>
      <c r="Z164" t="s">
        <v>74</v>
      </c>
      <c r="AA164" t="s">
        <v>74</v>
      </c>
      <c r="AB164" t="s">
        <v>74</v>
      </c>
      <c r="AC164" t="s">
        <v>3253</v>
      </c>
      <c r="AD164" t="s">
        <v>3253</v>
      </c>
      <c r="AE164" t="s">
        <v>3254</v>
      </c>
      <c r="AF164" t="s">
        <v>74</v>
      </c>
      <c r="AG164">
        <v>45</v>
      </c>
      <c r="AH164">
        <v>34</v>
      </c>
      <c r="AI164">
        <v>38</v>
      </c>
      <c r="AJ164">
        <v>1</v>
      </c>
      <c r="AK164">
        <v>9</v>
      </c>
      <c r="AL164" t="s">
        <v>1038</v>
      </c>
      <c r="AM164" t="s">
        <v>550</v>
      </c>
      <c r="AN164" t="s">
        <v>1039</v>
      </c>
      <c r="AO164" t="s">
        <v>3255</v>
      </c>
      <c r="AP164" t="s">
        <v>3256</v>
      </c>
      <c r="AQ164" t="s">
        <v>74</v>
      </c>
      <c r="AR164" t="s">
        <v>3257</v>
      </c>
      <c r="AS164" t="s">
        <v>3258</v>
      </c>
      <c r="AT164" t="s">
        <v>2226</v>
      </c>
      <c r="AU164">
        <v>2010</v>
      </c>
      <c r="AV164">
        <v>74</v>
      </c>
      <c r="AW164">
        <v>1</v>
      </c>
      <c r="AX164" t="s">
        <v>74</v>
      </c>
      <c r="AY164" t="s">
        <v>74</v>
      </c>
      <c r="AZ164" t="s">
        <v>74</v>
      </c>
      <c r="BA164" t="s">
        <v>74</v>
      </c>
      <c r="BB164">
        <v>15</v>
      </c>
      <c r="BC164">
        <v>26</v>
      </c>
      <c r="BD164" t="s">
        <v>74</v>
      </c>
      <c r="BE164" t="s">
        <v>3259</v>
      </c>
      <c r="BF164" t="str">
        <f>HYPERLINK("http://dx.doi.org/10.1016/j.gloplacha.2010.07.007","http://dx.doi.org/10.1016/j.gloplacha.2010.07.007")</f>
        <v>http://dx.doi.org/10.1016/j.gloplacha.2010.07.007</v>
      </c>
      <c r="BG164" t="s">
        <v>74</v>
      </c>
      <c r="BH164" t="s">
        <v>74</v>
      </c>
      <c r="BI164">
        <v>12</v>
      </c>
      <c r="BJ164" t="s">
        <v>1409</v>
      </c>
      <c r="BK164" t="s">
        <v>100</v>
      </c>
      <c r="BL164" t="s">
        <v>1410</v>
      </c>
      <c r="BM164" t="s">
        <v>3260</v>
      </c>
      <c r="BN164" t="s">
        <v>74</v>
      </c>
      <c r="BO164" t="s">
        <v>74</v>
      </c>
      <c r="BP164" t="s">
        <v>74</v>
      </c>
      <c r="BQ164" t="s">
        <v>74</v>
      </c>
      <c r="BR164" t="s">
        <v>104</v>
      </c>
      <c r="BS164" t="s">
        <v>3261</v>
      </c>
      <c r="BT164" t="str">
        <f>HYPERLINK("https%3A%2F%2Fwww.webofscience.com%2Fwos%2Fwoscc%2Ffull-record%2FWOS:000284394900002","View Full Record in Web of Science")</f>
        <v>View Full Record in Web of Science</v>
      </c>
    </row>
    <row r="165" spans="1:72" x14ac:dyDescent="0.15">
      <c r="A165" t="s">
        <v>72</v>
      </c>
      <c r="B165" t="s">
        <v>3262</v>
      </c>
      <c r="C165" t="s">
        <v>74</v>
      </c>
      <c r="D165" t="s">
        <v>74</v>
      </c>
      <c r="E165" t="s">
        <v>74</v>
      </c>
      <c r="F165" t="s">
        <v>3263</v>
      </c>
      <c r="G165" t="s">
        <v>74</v>
      </c>
      <c r="H165" t="s">
        <v>74</v>
      </c>
      <c r="I165" t="s">
        <v>3264</v>
      </c>
      <c r="J165" t="s">
        <v>3265</v>
      </c>
      <c r="K165" t="s">
        <v>74</v>
      </c>
      <c r="L165" t="s">
        <v>74</v>
      </c>
      <c r="M165" t="s">
        <v>78</v>
      </c>
      <c r="N165" t="s">
        <v>79</v>
      </c>
      <c r="O165" t="s">
        <v>74</v>
      </c>
      <c r="P165" t="s">
        <v>74</v>
      </c>
      <c r="Q165" t="s">
        <v>74</v>
      </c>
      <c r="R165" t="s">
        <v>74</v>
      </c>
      <c r="S165" t="s">
        <v>74</v>
      </c>
      <c r="T165" t="s">
        <v>74</v>
      </c>
      <c r="U165" t="s">
        <v>3266</v>
      </c>
      <c r="V165" t="s">
        <v>3267</v>
      </c>
      <c r="W165" t="s">
        <v>3268</v>
      </c>
      <c r="X165" t="s">
        <v>3269</v>
      </c>
      <c r="Y165" t="s">
        <v>3270</v>
      </c>
      <c r="Z165" t="s">
        <v>74</v>
      </c>
      <c r="AA165" t="s">
        <v>74</v>
      </c>
      <c r="AB165" t="s">
        <v>74</v>
      </c>
      <c r="AC165" t="s">
        <v>74</v>
      </c>
      <c r="AD165" t="s">
        <v>74</v>
      </c>
      <c r="AE165" t="s">
        <v>74</v>
      </c>
      <c r="AF165" t="s">
        <v>74</v>
      </c>
      <c r="AG165">
        <v>48</v>
      </c>
      <c r="AH165">
        <v>37</v>
      </c>
      <c r="AI165">
        <v>45</v>
      </c>
      <c r="AJ165">
        <v>0</v>
      </c>
      <c r="AK165">
        <v>59</v>
      </c>
      <c r="AL165" t="s">
        <v>923</v>
      </c>
      <c r="AM165" t="s">
        <v>339</v>
      </c>
      <c r="AN165" t="s">
        <v>340</v>
      </c>
      <c r="AO165" t="s">
        <v>3271</v>
      </c>
      <c r="AP165" t="s">
        <v>3272</v>
      </c>
      <c r="AQ165" t="s">
        <v>74</v>
      </c>
      <c r="AR165" t="s">
        <v>3273</v>
      </c>
      <c r="AS165" t="s">
        <v>3274</v>
      </c>
      <c r="AT165" t="s">
        <v>2226</v>
      </c>
      <c r="AU165">
        <v>2010</v>
      </c>
      <c r="AV165">
        <v>1</v>
      </c>
      <c r="AW165">
        <v>3</v>
      </c>
      <c r="AX165" t="s">
        <v>74</v>
      </c>
      <c r="AY165" t="s">
        <v>74</v>
      </c>
      <c r="AZ165" t="s">
        <v>74</v>
      </c>
      <c r="BA165" t="s">
        <v>74</v>
      </c>
      <c r="BB165">
        <v>303</v>
      </c>
      <c r="BC165">
        <v>311</v>
      </c>
      <c r="BD165" t="s">
        <v>74</v>
      </c>
      <c r="BE165" t="s">
        <v>3275</v>
      </c>
      <c r="BF165" t="str">
        <f>HYPERLINK("http://dx.doi.org/10.1111/j.1758-5899.2010.00038.x","http://dx.doi.org/10.1111/j.1758-5899.2010.00038.x")</f>
        <v>http://dx.doi.org/10.1111/j.1758-5899.2010.00038.x</v>
      </c>
      <c r="BG165" t="s">
        <v>74</v>
      </c>
      <c r="BH165" t="s">
        <v>74</v>
      </c>
      <c r="BI165">
        <v>9</v>
      </c>
      <c r="BJ165" t="s">
        <v>3276</v>
      </c>
      <c r="BK165" t="s">
        <v>1966</v>
      </c>
      <c r="BL165" t="s">
        <v>3277</v>
      </c>
      <c r="BM165" t="s">
        <v>3278</v>
      </c>
      <c r="BN165" t="s">
        <v>74</v>
      </c>
      <c r="BO165" t="s">
        <v>74</v>
      </c>
      <c r="BP165" t="s">
        <v>74</v>
      </c>
      <c r="BQ165" t="s">
        <v>74</v>
      </c>
      <c r="BR165" t="s">
        <v>104</v>
      </c>
      <c r="BS165" t="s">
        <v>3279</v>
      </c>
      <c r="BT165" t="str">
        <f>HYPERLINK("https%3A%2F%2Fwww.webofscience.com%2Fwos%2Fwoscc%2Ffull-record%2FWOS:000208582700007","View Full Record in Web of Science")</f>
        <v>View Full Record in Web of Science</v>
      </c>
    </row>
    <row r="166" spans="1:72" x14ac:dyDescent="0.15">
      <c r="A166" t="s">
        <v>72</v>
      </c>
      <c r="B166" t="s">
        <v>3280</v>
      </c>
      <c r="C166" t="s">
        <v>74</v>
      </c>
      <c r="D166" t="s">
        <v>74</v>
      </c>
      <c r="E166" t="s">
        <v>74</v>
      </c>
      <c r="F166" t="s">
        <v>3281</v>
      </c>
      <c r="G166" t="s">
        <v>74</v>
      </c>
      <c r="H166" t="s">
        <v>74</v>
      </c>
      <c r="I166" t="s">
        <v>3282</v>
      </c>
      <c r="J166" t="s">
        <v>699</v>
      </c>
      <c r="K166" t="s">
        <v>74</v>
      </c>
      <c r="L166" t="s">
        <v>74</v>
      </c>
      <c r="M166" t="s">
        <v>78</v>
      </c>
      <c r="N166" t="s">
        <v>220</v>
      </c>
      <c r="O166" t="s">
        <v>74</v>
      </c>
      <c r="P166" t="s">
        <v>74</v>
      </c>
      <c r="Q166" t="s">
        <v>74</v>
      </c>
      <c r="R166" t="s">
        <v>74</v>
      </c>
      <c r="S166" t="s">
        <v>74</v>
      </c>
      <c r="T166" t="s">
        <v>3283</v>
      </c>
      <c r="U166" t="s">
        <v>3284</v>
      </c>
      <c r="V166" t="s">
        <v>3285</v>
      </c>
      <c r="W166" t="s">
        <v>3286</v>
      </c>
      <c r="X166" t="s">
        <v>690</v>
      </c>
      <c r="Y166" t="s">
        <v>3287</v>
      </c>
      <c r="Z166" t="s">
        <v>3288</v>
      </c>
      <c r="AA166" t="s">
        <v>74</v>
      </c>
      <c r="AB166" t="s">
        <v>3289</v>
      </c>
      <c r="AC166" t="s">
        <v>693</v>
      </c>
      <c r="AD166" t="s">
        <v>337</v>
      </c>
      <c r="AE166" t="s">
        <v>74</v>
      </c>
      <c r="AF166" t="s">
        <v>74</v>
      </c>
      <c r="AG166">
        <v>15</v>
      </c>
      <c r="AH166">
        <v>4</v>
      </c>
      <c r="AI166">
        <v>7</v>
      </c>
      <c r="AJ166">
        <v>0</v>
      </c>
      <c r="AK166">
        <v>13</v>
      </c>
      <c r="AL166" t="s">
        <v>648</v>
      </c>
      <c r="AM166" t="s">
        <v>265</v>
      </c>
      <c r="AN166" t="s">
        <v>649</v>
      </c>
      <c r="AO166" t="s">
        <v>709</v>
      </c>
      <c r="AP166" t="s">
        <v>3290</v>
      </c>
      <c r="AQ166" t="s">
        <v>74</v>
      </c>
      <c r="AR166" t="s">
        <v>710</v>
      </c>
      <c r="AS166" t="s">
        <v>711</v>
      </c>
      <c r="AT166" t="s">
        <v>2226</v>
      </c>
      <c r="AU166">
        <v>2010</v>
      </c>
      <c r="AV166">
        <v>67</v>
      </c>
      <c r="AW166">
        <v>7</v>
      </c>
      <c r="AX166" t="s">
        <v>74</v>
      </c>
      <c r="AY166" t="s">
        <v>74</v>
      </c>
      <c r="AZ166" t="s">
        <v>74</v>
      </c>
      <c r="BA166" t="s">
        <v>74</v>
      </c>
      <c r="BB166">
        <v>1311</v>
      </c>
      <c r="BC166">
        <v>1313</v>
      </c>
      <c r="BD166" t="s">
        <v>74</v>
      </c>
      <c r="BE166" t="s">
        <v>3291</v>
      </c>
      <c r="BF166" t="str">
        <f>HYPERLINK("http://dx.doi.org/10.1093/icesjms/fsq096","http://dx.doi.org/10.1093/icesjms/fsq096")</f>
        <v>http://dx.doi.org/10.1093/icesjms/fsq096</v>
      </c>
      <c r="BG166" t="s">
        <v>74</v>
      </c>
      <c r="BH166" t="s">
        <v>74</v>
      </c>
      <c r="BI166">
        <v>3</v>
      </c>
      <c r="BJ166" t="s">
        <v>713</v>
      </c>
      <c r="BK166" t="s">
        <v>100</v>
      </c>
      <c r="BL166" t="s">
        <v>713</v>
      </c>
      <c r="BM166" t="s">
        <v>3292</v>
      </c>
      <c r="BN166" t="s">
        <v>74</v>
      </c>
      <c r="BO166" t="s">
        <v>394</v>
      </c>
      <c r="BP166" t="s">
        <v>74</v>
      </c>
      <c r="BQ166" t="s">
        <v>74</v>
      </c>
      <c r="BR166" t="s">
        <v>104</v>
      </c>
      <c r="BS166" t="s">
        <v>3293</v>
      </c>
      <c r="BT166" t="str">
        <f>HYPERLINK("https%3A%2F%2Fwww.webofscience.com%2Fwos%2Fwoscc%2Ffull-record%2FWOS:000281719300001","View Full Record in Web of Science")</f>
        <v>View Full Record in Web of Science</v>
      </c>
    </row>
    <row r="167" spans="1:72" x14ac:dyDescent="0.15">
      <c r="A167" t="s">
        <v>72</v>
      </c>
      <c r="B167" t="s">
        <v>3294</v>
      </c>
      <c r="C167" t="s">
        <v>74</v>
      </c>
      <c r="D167" t="s">
        <v>74</v>
      </c>
      <c r="E167" t="s">
        <v>74</v>
      </c>
      <c r="F167" t="s">
        <v>3295</v>
      </c>
      <c r="G167" t="s">
        <v>74</v>
      </c>
      <c r="H167" t="s">
        <v>74</v>
      </c>
      <c r="I167" t="s">
        <v>3296</v>
      </c>
      <c r="J167" t="s">
        <v>699</v>
      </c>
      <c r="K167" t="s">
        <v>74</v>
      </c>
      <c r="L167" t="s">
        <v>74</v>
      </c>
      <c r="M167" t="s">
        <v>78</v>
      </c>
      <c r="N167" t="s">
        <v>79</v>
      </c>
      <c r="O167" t="s">
        <v>74</v>
      </c>
      <c r="P167" t="s">
        <v>74</v>
      </c>
      <c r="Q167" t="s">
        <v>74</v>
      </c>
      <c r="R167" t="s">
        <v>74</v>
      </c>
      <c r="S167" t="s">
        <v>74</v>
      </c>
      <c r="T167" t="s">
        <v>3297</v>
      </c>
      <c r="U167" t="s">
        <v>3298</v>
      </c>
      <c r="V167" t="s">
        <v>3299</v>
      </c>
      <c r="W167" t="s">
        <v>3300</v>
      </c>
      <c r="X167" t="s">
        <v>3301</v>
      </c>
      <c r="Y167" t="s">
        <v>3287</v>
      </c>
      <c r="Z167" t="s">
        <v>3288</v>
      </c>
      <c r="AA167" t="s">
        <v>74</v>
      </c>
      <c r="AB167" t="s">
        <v>74</v>
      </c>
      <c r="AC167" t="s">
        <v>693</v>
      </c>
      <c r="AD167" t="s">
        <v>337</v>
      </c>
      <c r="AE167" t="s">
        <v>74</v>
      </c>
      <c r="AF167" t="s">
        <v>74</v>
      </c>
      <c r="AG167">
        <v>17</v>
      </c>
      <c r="AH167">
        <v>9</v>
      </c>
      <c r="AI167">
        <v>10</v>
      </c>
      <c r="AJ167">
        <v>1</v>
      </c>
      <c r="AK167">
        <v>21</v>
      </c>
      <c r="AL167" t="s">
        <v>648</v>
      </c>
      <c r="AM167" t="s">
        <v>265</v>
      </c>
      <c r="AN167" t="s">
        <v>649</v>
      </c>
      <c r="AO167" t="s">
        <v>709</v>
      </c>
      <c r="AP167" t="s">
        <v>3290</v>
      </c>
      <c r="AQ167" t="s">
        <v>74</v>
      </c>
      <c r="AR167" t="s">
        <v>710</v>
      </c>
      <c r="AS167" t="s">
        <v>711</v>
      </c>
      <c r="AT167" t="s">
        <v>2226</v>
      </c>
      <c r="AU167">
        <v>2010</v>
      </c>
      <c r="AV167">
        <v>67</v>
      </c>
      <c r="AW167">
        <v>7</v>
      </c>
      <c r="AX167" t="s">
        <v>74</v>
      </c>
      <c r="AY167" t="s">
        <v>74</v>
      </c>
      <c r="AZ167" t="s">
        <v>74</v>
      </c>
      <c r="BA167" t="s">
        <v>74</v>
      </c>
      <c r="BB167">
        <v>1432</v>
      </c>
      <c r="BC167">
        <v>1435</v>
      </c>
      <c r="BD167" t="s">
        <v>74</v>
      </c>
      <c r="BE167" t="s">
        <v>3302</v>
      </c>
      <c r="BF167" t="str">
        <f>HYPERLINK("http://dx.doi.org/10.1093/icesjms/fsq069","http://dx.doi.org/10.1093/icesjms/fsq069")</f>
        <v>http://dx.doi.org/10.1093/icesjms/fsq069</v>
      </c>
      <c r="BG167" t="s">
        <v>74</v>
      </c>
      <c r="BH167" t="s">
        <v>74</v>
      </c>
      <c r="BI167">
        <v>4</v>
      </c>
      <c r="BJ167" t="s">
        <v>713</v>
      </c>
      <c r="BK167" t="s">
        <v>100</v>
      </c>
      <c r="BL167" t="s">
        <v>713</v>
      </c>
      <c r="BM167" t="s">
        <v>3292</v>
      </c>
      <c r="BN167" t="s">
        <v>74</v>
      </c>
      <c r="BO167" t="s">
        <v>394</v>
      </c>
      <c r="BP167" t="s">
        <v>74</v>
      </c>
      <c r="BQ167" t="s">
        <v>74</v>
      </c>
      <c r="BR167" t="s">
        <v>104</v>
      </c>
      <c r="BS167" t="s">
        <v>3303</v>
      </c>
      <c r="BT167" t="str">
        <f>HYPERLINK("https%3A%2F%2Fwww.webofscience.com%2Fwos%2Fwoscc%2Ffull-record%2FWOS:000281719300015","View Full Record in Web of Science")</f>
        <v>View Full Record in Web of Science</v>
      </c>
    </row>
    <row r="168" spans="1:72" x14ac:dyDescent="0.15">
      <c r="A168" t="s">
        <v>72</v>
      </c>
      <c r="B168" t="s">
        <v>3304</v>
      </c>
      <c r="C168" t="s">
        <v>74</v>
      </c>
      <c r="D168" t="s">
        <v>74</v>
      </c>
      <c r="E168" t="s">
        <v>74</v>
      </c>
      <c r="F168" t="s">
        <v>3305</v>
      </c>
      <c r="G168" t="s">
        <v>74</v>
      </c>
      <c r="H168" t="s">
        <v>74</v>
      </c>
      <c r="I168" t="s">
        <v>3306</v>
      </c>
      <c r="J168" t="s">
        <v>699</v>
      </c>
      <c r="K168" t="s">
        <v>74</v>
      </c>
      <c r="L168" t="s">
        <v>74</v>
      </c>
      <c r="M168" t="s">
        <v>78</v>
      </c>
      <c r="N168" t="s">
        <v>79</v>
      </c>
      <c r="O168" t="s">
        <v>74</v>
      </c>
      <c r="P168" t="s">
        <v>74</v>
      </c>
      <c r="Q168" t="s">
        <v>74</v>
      </c>
      <c r="R168" t="s">
        <v>74</v>
      </c>
      <c r="S168" t="s">
        <v>74</v>
      </c>
      <c r="T168" t="s">
        <v>3307</v>
      </c>
      <c r="U168" t="s">
        <v>3308</v>
      </c>
      <c r="V168" t="s">
        <v>3309</v>
      </c>
      <c r="W168" t="s">
        <v>3310</v>
      </c>
      <c r="X168" t="s">
        <v>3311</v>
      </c>
      <c r="Y168" t="s">
        <v>3312</v>
      </c>
      <c r="Z168" t="s">
        <v>3313</v>
      </c>
      <c r="AA168" t="s">
        <v>3314</v>
      </c>
      <c r="AB168" t="s">
        <v>3315</v>
      </c>
      <c r="AC168" t="s">
        <v>3316</v>
      </c>
      <c r="AD168" t="s">
        <v>3316</v>
      </c>
      <c r="AE168" t="s">
        <v>3317</v>
      </c>
      <c r="AF168" t="s">
        <v>74</v>
      </c>
      <c r="AG168">
        <v>29</v>
      </c>
      <c r="AH168">
        <v>29</v>
      </c>
      <c r="AI168">
        <v>31</v>
      </c>
      <c r="AJ168">
        <v>0</v>
      </c>
      <c r="AK168">
        <v>8</v>
      </c>
      <c r="AL168" t="s">
        <v>648</v>
      </c>
      <c r="AM168" t="s">
        <v>265</v>
      </c>
      <c r="AN168" t="s">
        <v>649</v>
      </c>
      <c r="AO168" t="s">
        <v>709</v>
      </c>
      <c r="AP168" t="s">
        <v>74</v>
      </c>
      <c r="AQ168" t="s">
        <v>74</v>
      </c>
      <c r="AR168" t="s">
        <v>710</v>
      </c>
      <c r="AS168" t="s">
        <v>711</v>
      </c>
      <c r="AT168" t="s">
        <v>2226</v>
      </c>
      <c r="AU168">
        <v>2010</v>
      </c>
      <c r="AV168">
        <v>67</v>
      </c>
      <c r="AW168">
        <v>7</v>
      </c>
      <c r="AX168" t="s">
        <v>74</v>
      </c>
      <c r="AY168" t="s">
        <v>74</v>
      </c>
      <c r="AZ168" t="s">
        <v>74</v>
      </c>
      <c r="BA168" t="s">
        <v>74</v>
      </c>
      <c r="BB168">
        <v>1452</v>
      </c>
      <c r="BC168">
        <v>1457</v>
      </c>
      <c r="BD168" t="s">
        <v>74</v>
      </c>
      <c r="BE168" t="s">
        <v>3318</v>
      </c>
      <c r="BF168" t="str">
        <f>HYPERLINK("http://dx.doi.org/10.1093/icesjms/fsq047","http://dx.doi.org/10.1093/icesjms/fsq047")</f>
        <v>http://dx.doi.org/10.1093/icesjms/fsq047</v>
      </c>
      <c r="BG168" t="s">
        <v>74</v>
      </c>
      <c r="BH168" t="s">
        <v>74</v>
      </c>
      <c r="BI168">
        <v>6</v>
      </c>
      <c r="BJ168" t="s">
        <v>713</v>
      </c>
      <c r="BK168" t="s">
        <v>100</v>
      </c>
      <c r="BL168" t="s">
        <v>713</v>
      </c>
      <c r="BM168" t="s">
        <v>3292</v>
      </c>
      <c r="BN168" t="s">
        <v>74</v>
      </c>
      <c r="BO168" t="s">
        <v>1533</v>
      </c>
      <c r="BP168" t="s">
        <v>74</v>
      </c>
      <c r="BQ168" t="s">
        <v>74</v>
      </c>
      <c r="BR168" t="s">
        <v>104</v>
      </c>
      <c r="BS168" t="s">
        <v>3319</v>
      </c>
      <c r="BT168" t="str">
        <f>HYPERLINK("https%3A%2F%2Fwww.webofscience.com%2Fwos%2Fwoscc%2Ffull-record%2FWOS:000281719300018","View Full Record in Web of Science")</f>
        <v>View Full Record in Web of Science</v>
      </c>
    </row>
    <row r="169" spans="1:72" x14ac:dyDescent="0.15">
      <c r="A169" t="s">
        <v>72</v>
      </c>
      <c r="B169" t="s">
        <v>3320</v>
      </c>
      <c r="C169" t="s">
        <v>74</v>
      </c>
      <c r="D169" t="s">
        <v>74</v>
      </c>
      <c r="E169" t="s">
        <v>74</v>
      </c>
      <c r="F169" t="s">
        <v>3321</v>
      </c>
      <c r="G169" t="s">
        <v>74</v>
      </c>
      <c r="H169" t="s">
        <v>74</v>
      </c>
      <c r="I169" t="s">
        <v>3322</v>
      </c>
      <c r="J169" t="s">
        <v>3323</v>
      </c>
      <c r="K169" t="s">
        <v>74</v>
      </c>
      <c r="L169" t="s">
        <v>74</v>
      </c>
      <c r="M169" t="s">
        <v>78</v>
      </c>
      <c r="N169" t="s">
        <v>1202</v>
      </c>
      <c r="O169" t="s">
        <v>3324</v>
      </c>
      <c r="P169" t="s">
        <v>3325</v>
      </c>
      <c r="Q169" t="s">
        <v>3326</v>
      </c>
      <c r="R169" t="s">
        <v>74</v>
      </c>
      <c r="S169" t="s">
        <v>74</v>
      </c>
      <c r="T169" t="s">
        <v>3327</v>
      </c>
      <c r="U169" t="s">
        <v>3328</v>
      </c>
      <c r="V169" t="s">
        <v>3329</v>
      </c>
      <c r="W169" t="s">
        <v>3330</v>
      </c>
      <c r="X169" t="s">
        <v>3331</v>
      </c>
      <c r="Y169" t="s">
        <v>3332</v>
      </c>
      <c r="Z169" t="s">
        <v>3333</v>
      </c>
      <c r="AA169" t="s">
        <v>74</v>
      </c>
      <c r="AB169" t="s">
        <v>3334</v>
      </c>
      <c r="AC169" t="s">
        <v>74</v>
      </c>
      <c r="AD169" t="s">
        <v>74</v>
      </c>
      <c r="AE169" t="s">
        <v>74</v>
      </c>
      <c r="AF169" t="s">
        <v>74</v>
      </c>
      <c r="AG169">
        <v>72</v>
      </c>
      <c r="AH169">
        <v>25</v>
      </c>
      <c r="AI169">
        <v>28</v>
      </c>
      <c r="AJ169">
        <v>0</v>
      </c>
      <c r="AK169">
        <v>27</v>
      </c>
      <c r="AL169" t="s">
        <v>851</v>
      </c>
      <c r="AM169" t="s">
        <v>310</v>
      </c>
      <c r="AN169" t="s">
        <v>852</v>
      </c>
      <c r="AO169" t="s">
        <v>3335</v>
      </c>
      <c r="AP169" t="s">
        <v>3336</v>
      </c>
      <c r="AQ169" t="s">
        <v>74</v>
      </c>
      <c r="AR169" t="s">
        <v>3337</v>
      </c>
      <c r="AS169" t="s">
        <v>3338</v>
      </c>
      <c r="AT169" t="s">
        <v>2226</v>
      </c>
      <c r="AU169">
        <v>2010</v>
      </c>
      <c r="AV169">
        <v>9</v>
      </c>
      <c r="AW169">
        <v>4</v>
      </c>
      <c r="AX169" t="s">
        <v>74</v>
      </c>
      <c r="AY169" t="s">
        <v>74</v>
      </c>
      <c r="AZ169" t="s">
        <v>582</v>
      </c>
      <c r="BA169" t="s">
        <v>74</v>
      </c>
      <c r="BB169">
        <v>245</v>
      </c>
      <c r="BC169">
        <v>257</v>
      </c>
      <c r="BD169" t="s">
        <v>74</v>
      </c>
      <c r="BE169" t="s">
        <v>3339</v>
      </c>
      <c r="BF169" t="str">
        <f>HYPERLINK("http://dx.doi.org/10.1017/S1473550410000224","http://dx.doi.org/10.1017/S1473550410000224")</f>
        <v>http://dx.doi.org/10.1017/S1473550410000224</v>
      </c>
      <c r="BG169" t="s">
        <v>74</v>
      </c>
      <c r="BH169" t="s">
        <v>74</v>
      </c>
      <c r="BI169">
        <v>13</v>
      </c>
      <c r="BJ169" t="s">
        <v>3340</v>
      </c>
      <c r="BK169" t="s">
        <v>1219</v>
      </c>
      <c r="BL169" t="s">
        <v>3341</v>
      </c>
      <c r="BM169" t="s">
        <v>3342</v>
      </c>
      <c r="BN169" t="s">
        <v>74</v>
      </c>
      <c r="BO169" t="s">
        <v>74</v>
      </c>
      <c r="BP169" t="s">
        <v>74</v>
      </c>
      <c r="BQ169" t="s">
        <v>74</v>
      </c>
      <c r="BR169" t="s">
        <v>104</v>
      </c>
      <c r="BS169" t="s">
        <v>3343</v>
      </c>
      <c r="BT169" t="str">
        <f>HYPERLINK("https%3A%2F%2Fwww.webofscience.com%2Fwos%2Fwoscc%2Ffull-record%2FWOS:000283779200009","View Full Record in Web of Science")</f>
        <v>View Full Record in Web of Science</v>
      </c>
    </row>
    <row r="170" spans="1:72" x14ac:dyDescent="0.15">
      <c r="A170" t="s">
        <v>72</v>
      </c>
      <c r="B170" t="s">
        <v>3344</v>
      </c>
      <c r="C170" t="s">
        <v>74</v>
      </c>
      <c r="D170" t="s">
        <v>74</v>
      </c>
      <c r="E170" t="s">
        <v>74</v>
      </c>
      <c r="F170" t="s">
        <v>3345</v>
      </c>
      <c r="G170" t="s">
        <v>74</v>
      </c>
      <c r="H170" t="s">
        <v>74</v>
      </c>
      <c r="I170" t="s">
        <v>3346</v>
      </c>
      <c r="J170" t="s">
        <v>3347</v>
      </c>
      <c r="K170" t="s">
        <v>74</v>
      </c>
      <c r="L170" t="s">
        <v>74</v>
      </c>
      <c r="M170" t="s">
        <v>78</v>
      </c>
      <c r="N170" t="s">
        <v>79</v>
      </c>
      <c r="O170" t="s">
        <v>74</v>
      </c>
      <c r="P170" t="s">
        <v>74</v>
      </c>
      <c r="Q170" t="s">
        <v>74</v>
      </c>
      <c r="R170" t="s">
        <v>74</v>
      </c>
      <c r="S170" t="s">
        <v>74</v>
      </c>
      <c r="T170" t="s">
        <v>3348</v>
      </c>
      <c r="U170" t="s">
        <v>3349</v>
      </c>
      <c r="V170" t="s">
        <v>3350</v>
      </c>
      <c r="W170" t="s">
        <v>3351</v>
      </c>
      <c r="X170" t="s">
        <v>3352</v>
      </c>
      <c r="Y170" t="s">
        <v>3353</v>
      </c>
      <c r="Z170" t="s">
        <v>3354</v>
      </c>
      <c r="AA170" t="s">
        <v>3355</v>
      </c>
      <c r="AB170" t="s">
        <v>3356</v>
      </c>
      <c r="AC170" t="s">
        <v>3357</v>
      </c>
      <c r="AD170" t="s">
        <v>1548</v>
      </c>
      <c r="AE170" t="s">
        <v>3358</v>
      </c>
      <c r="AF170" t="s">
        <v>74</v>
      </c>
      <c r="AG170">
        <v>74</v>
      </c>
      <c r="AH170">
        <v>24</v>
      </c>
      <c r="AI170">
        <v>28</v>
      </c>
      <c r="AJ170">
        <v>0</v>
      </c>
      <c r="AK170">
        <v>11</v>
      </c>
      <c r="AL170" t="s">
        <v>464</v>
      </c>
      <c r="AM170" t="s">
        <v>310</v>
      </c>
      <c r="AN170" t="s">
        <v>971</v>
      </c>
      <c r="AO170" t="s">
        <v>3359</v>
      </c>
      <c r="AP170" t="s">
        <v>3360</v>
      </c>
      <c r="AQ170" t="s">
        <v>74</v>
      </c>
      <c r="AR170" t="s">
        <v>3361</v>
      </c>
      <c r="AS170" t="s">
        <v>3362</v>
      </c>
      <c r="AT170" t="s">
        <v>2226</v>
      </c>
      <c r="AU170">
        <v>2010</v>
      </c>
      <c r="AV170">
        <v>99</v>
      </c>
      <c r="AW170" t="s">
        <v>74</v>
      </c>
      <c r="AX170" t="s">
        <v>74</v>
      </c>
      <c r="AY170">
        <v>1</v>
      </c>
      <c r="AZ170" t="s">
        <v>582</v>
      </c>
      <c r="BA170" t="s">
        <v>74</v>
      </c>
      <c r="BB170" t="s">
        <v>3363</v>
      </c>
      <c r="BC170" t="s">
        <v>3364</v>
      </c>
      <c r="BD170" t="s">
        <v>74</v>
      </c>
      <c r="BE170" t="s">
        <v>3365</v>
      </c>
      <c r="BF170" t="str">
        <f>HYPERLINK("http://dx.doi.org/10.1007/s00531-010-0558-6","http://dx.doi.org/10.1007/s00531-010-0558-6")</f>
        <v>http://dx.doi.org/10.1007/s00531-010-0558-6</v>
      </c>
      <c r="BG170" t="s">
        <v>74</v>
      </c>
      <c r="BH170" t="s">
        <v>74</v>
      </c>
      <c r="BI170">
        <v>16</v>
      </c>
      <c r="BJ170" t="s">
        <v>1194</v>
      </c>
      <c r="BK170" t="s">
        <v>100</v>
      </c>
      <c r="BL170" t="s">
        <v>807</v>
      </c>
      <c r="BM170" t="s">
        <v>3366</v>
      </c>
      <c r="BN170" t="s">
        <v>74</v>
      </c>
      <c r="BO170" t="s">
        <v>74</v>
      </c>
      <c r="BP170" t="s">
        <v>74</v>
      </c>
      <c r="BQ170" t="s">
        <v>74</v>
      </c>
      <c r="BR170" t="s">
        <v>104</v>
      </c>
      <c r="BS170" t="s">
        <v>3367</v>
      </c>
      <c r="BT170" t="str">
        <f>HYPERLINK("https%3A%2F%2Fwww.webofscience.com%2Fwos%2Fwoscc%2Ffull-record%2FWOS:000282791800012","View Full Record in Web of Science")</f>
        <v>View Full Record in Web of Science</v>
      </c>
    </row>
    <row r="171" spans="1:72" x14ac:dyDescent="0.15">
      <c r="A171" t="s">
        <v>72</v>
      </c>
      <c r="B171" t="s">
        <v>3368</v>
      </c>
      <c r="C171" t="s">
        <v>74</v>
      </c>
      <c r="D171" t="s">
        <v>74</v>
      </c>
      <c r="E171" t="s">
        <v>74</v>
      </c>
      <c r="F171" t="s">
        <v>3369</v>
      </c>
      <c r="G171" t="s">
        <v>74</v>
      </c>
      <c r="H171" t="s">
        <v>74</v>
      </c>
      <c r="I171" t="s">
        <v>3370</v>
      </c>
      <c r="J171" t="s">
        <v>719</v>
      </c>
      <c r="K171" t="s">
        <v>74</v>
      </c>
      <c r="L171" t="s">
        <v>74</v>
      </c>
      <c r="M171" t="s">
        <v>78</v>
      </c>
      <c r="N171" t="s">
        <v>79</v>
      </c>
      <c r="O171" t="s">
        <v>74</v>
      </c>
      <c r="P171" t="s">
        <v>74</v>
      </c>
      <c r="Q171" t="s">
        <v>74</v>
      </c>
      <c r="R171" t="s">
        <v>74</v>
      </c>
      <c r="S171" t="s">
        <v>74</v>
      </c>
      <c r="T171" t="s">
        <v>74</v>
      </c>
      <c r="U171" t="s">
        <v>3371</v>
      </c>
      <c r="V171" t="s">
        <v>3372</v>
      </c>
      <c r="W171" t="s">
        <v>3373</v>
      </c>
      <c r="X171" t="s">
        <v>3374</v>
      </c>
      <c r="Y171" t="s">
        <v>3375</v>
      </c>
      <c r="Z171" t="s">
        <v>3376</v>
      </c>
      <c r="AA171" t="s">
        <v>74</v>
      </c>
      <c r="AB171" t="s">
        <v>3377</v>
      </c>
      <c r="AC171" t="s">
        <v>74</v>
      </c>
      <c r="AD171" t="s">
        <v>74</v>
      </c>
      <c r="AE171" t="s">
        <v>74</v>
      </c>
      <c r="AF171" t="s">
        <v>74</v>
      </c>
      <c r="AG171">
        <v>31</v>
      </c>
      <c r="AH171">
        <v>22</v>
      </c>
      <c r="AI171">
        <v>24</v>
      </c>
      <c r="AJ171">
        <v>1</v>
      </c>
      <c r="AK171">
        <v>14</v>
      </c>
      <c r="AL171" t="s">
        <v>730</v>
      </c>
      <c r="AM171" t="s">
        <v>731</v>
      </c>
      <c r="AN171" t="s">
        <v>732</v>
      </c>
      <c r="AO171" t="s">
        <v>733</v>
      </c>
      <c r="AP171" t="s">
        <v>74</v>
      </c>
      <c r="AQ171" t="s">
        <v>74</v>
      </c>
      <c r="AR171" t="s">
        <v>734</v>
      </c>
      <c r="AS171" t="s">
        <v>735</v>
      </c>
      <c r="AT171" t="s">
        <v>2226</v>
      </c>
      <c r="AU171">
        <v>2010</v>
      </c>
      <c r="AV171">
        <v>60</v>
      </c>
      <c r="AW171" t="s">
        <v>74</v>
      </c>
      <c r="AX171">
        <v>10</v>
      </c>
      <c r="AY171" t="s">
        <v>74</v>
      </c>
      <c r="AZ171" t="s">
        <v>74</v>
      </c>
      <c r="BA171" t="s">
        <v>74</v>
      </c>
      <c r="BB171">
        <v>2263</v>
      </c>
      <c r="BC171">
        <v>2266</v>
      </c>
      <c r="BD171" t="s">
        <v>74</v>
      </c>
      <c r="BE171" t="s">
        <v>3378</v>
      </c>
      <c r="BF171" t="str">
        <f>HYPERLINK("http://dx.doi.org/10.1099/ijs.0.012989-0","http://dx.doi.org/10.1099/ijs.0.012989-0")</f>
        <v>http://dx.doi.org/10.1099/ijs.0.012989-0</v>
      </c>
      <c r="BG171" t="s">
        <v>74</v>
      </c>
      <c r="BH171" t="s">
        <v>74</v>
      </c>
      <c r="BI171">
        <v>4</v>
      </c>
      <c r="BJ171" t="s">
        <v>737</v>
      </c>
      <c r="BK171" t="s">
        <v>100</v>
      </c>
      <c r="BL171" t="s">
        <v>737</v>
      </c>
      <c r="BM171" t="s">
        <v>3379</v>
      </c>
      <c r="BN171">
        <v>19783612</v>
      </c>
      <c r="BO171" t="s">
        <v>394</v>
      </c>
      <c r="BP171" t="s">
        <v>74</v>
      </c>
      <c r="BQ171" t="s">
        <v>74</v>
      </c>
      <c r="BR171" t="s">
        <v>104</v>
      </c>
      <c r="BS171" t="s">
        <v>3380</v>
      </c>
      <c r="BT171" t="str">
        <f>HYPERLINK("https%3A%2F%2Fwww.webofscience.com%2Fwos%2Fwoscc%2Ffull-record%2FWOS:000283830300001","View Full Record in Web of Science")</f>
        <v>View Full Record in Web of Science</v>
      </c>
    </row>
    <row r="172" spans="1:72" x14ac:dyDescent="0.15">
      <c r="A172" t="s">
        <v>72</v>
      </c>
      <c r="B172" t="s">
        <v>3381</v>
      </c>
      <c r="C172" t="s">
        <v>74</v>
      </c>
      <c r="D172" t="s">
        <v>74</v>
      </c>
      <c r="E172" t="s">
        <v>74</v>
      </c>
      <c r="F172" t="s">
        <v>3382</v>
      </c>
      <c r="G172" t="s">
        <v>74</v>
      </c>
      <c r="H172" t="s">
        <v>74</v>
      </c>
      <c r="I172" t="s">
        <v>3383</v>
      </c>
      <c r="J172" t="s">
        <v>719</v>
      </c>
      <c r="K172" t="s">
        <v>74</v>
      </c>
      <c r="L172" t="s">
        <v>74</v>
      </c>
      <c r="M172" t="s">
        <v>78</v>
      </c>
      <c r="N172" t="s">
        <v>79</v>
      </c>
      <c r="O172" t="s">
        <v>74</v>
      </c>
      <c r="P172" t="s">
        <v>74</v>
      </c>
      <c r="Q172" t="s">
        <v>74</v>
      </c>
      <c r="R172" t="s">
        <v>74</v>
      </c>
      <c r="S172" t="s">
        <v>74</v>
      </c>
      <c r="T172" t="s">
        <v>74</v>
      </c>
      <c r="U172" t="s">
        <v>3384</v>
      </c>
      <c r="V172" t="s">
        <v>3385</v>
      </c>
      <c r="W172" t="s">
        <v>3386</v>
      </c>
      <c r="X172" t="s">
        <v>3374</v>
      </c>
      <c r="Y172" t="s">
        <v>3375</v>
      </c>
      <c r="Z172" t="s">
        <v>3376</v>
      </c>
      <c r="AA172" t="s">
        <v>3387</v>
      </c>
      <c r="AB172" t="s">
        <v>3377</v>
      </c>
      <c r="AC172" t="s">
        <v>3388</v>
      </c>
      <c r="AD172" t="s">
        <v>3389</v>
      </c>
      <c r="AE172" t="s">
        <v>3390</v>
      </c>
      <c r="AF172" t="s">
        <v>74</v>
      </c>
      <c r="AG172">
        <v>33</v>
      </c>
      <c r="AH172">
        <v>22</v>
      </c>
      <c r="AI172">
        <v>22</v>
      </c>
      <c r="AJ172">
        <v>2</v>
      </c>
      <c r="AK172">
        <v>5</v>
      </c>
      <c r="AL172" t="s">
        <v>3391</v>
      </c>
      <c r="AM172" t="s">
        <v>1598</v>
      </c>
      <c r="AN172" t="s">
        <v>3392</v>
      </c>
      <c r="AO172" t="s">
        <v>733</v>
      </c>
      <c r="AP172" t="s">
        <v>3393</v>
      </c>
      <c r="AQ172" t="s">
        <v>74</v>
      </c>
      <c r="AR172" t="s">
        <v>734</v>
      </c>
      <c r="AS172" t="s">
        <v>735</v>
      </c>
      <c r="AT172" t="s">
        <v>2226</v>
      </c>
      <c r="AU172">
        <v>2010</v>
      </c>
      <c r="AV172">
        <v>60</v>
      </c>
      <c r="AW172" t="s">
        <v>74</v>
      </c>
      <c r="AX172">
        <v>10</v>
      </c>
      <c r="AY172" t="s">
        <v>74</v>
      </c>
      <c r="AZ172" t="s">
        <v>74</v>
      </c>
      <c r="BA172" t="s">
        <v>74</v>
      </c>
      <c r="BB172">
        <v>2320</v>
      </c>
      <c r="BC172">
        <v>2325</v>
      </c>
      <c r="BD172" t="s">
        <v>74</v>
      </c>
      <c r="BE172" t="s">
        <v>3394</v>
      </c>
      <c r="BF172" t="str">
        <f>HYPERLINK("http://dx.doi.org/10.1099/ijs.0.020230-0","http://dx.doi.org/10.1099/ijs.0.020230-0")</f>
        <v>http://dx.doi.org/10.1099/ijs.0.020230-0</v>
      </c>
      <c r="BG172" t="s">
        <v>74</v>
      </c>
      <c r="BH172" t="s">
        <v>74</v>
      </c>
      <c r="BI172">
        <v>6</v>
      </c>
      <c r="BJ172" t="s">
        <v>737</v>
      </c>
      <c r="BK172" t="s">
        <v>100</v>
      </c>
      <c r="BL172" t="s">
        <v>737</v>
      </c>
      <c r="BM172" t="s">
        <v>3379</v>
      </c>
      <c r="BN172">
        <v>19933591</v>
      </c>
      <c r="BO172" t="s">
        <v>394</v>
      </c>
      <c r="BP172" t="s">
        <v>74</v>
      </c>
      <c r="BQ172" t="s">
        <v>74</v>
      </c>
      <c r="BR172" t="s">
        <v>104</v>
      </c>
      <c r="BS172" t="s">
        <v>3395</v>
      </c>
      <c r="BT172" t="str">
        <f>HYPERLINK("https%3A%2F%2Fwww.webofscience.com%2Fwos%2Fwoscc%2Ffull-record%2FWOS:000283830300012","View Full Record in Web of Science")</f>
        <v>View Full Record in Web of Science</v>
      </c>
    </row>
    <row r="173" spans="1:72" x14ac:dyDescent="0.15">
      <c r="A173" t="s">
        <v>72</v>
      </c>
      <c r="B173" t="s">
        <v>3396</v>
      </c>
      <c r="C173" t="s">
        <v>74</v>
      </c>
      <c r="D173" t="s">
        <v>74</v>
      </c>
      <c r="E173" t="s">
        <v>74</v>
      </c>
      <c r="F173" t="s">
        <v>3397</v>
      </c>
      <c r="G173" t="s">
        <v>74</v>
      </c>
      <c r="H173" t="s">
        <v>74</v>
      </c>
      <c r="I173" t="s">
        <v>3398</v>
      </c>
      <c r="J173" t="s">
        <v>3399</v>
      </c>
      <c r="K173" t="s">
        <v>74</v>
      </c>
      <c r="L173" t="s">
        <v>74</v>
      </c>
      <c r="M173" t="s">
        <v>78</v>
      </c>
      <c r="N173" t="s">
        <v>79</v>
      </c>
      <c r="O173" t="s">
        <v>74</v>
      </c>
      <c r="P173" t="s">
        <v>74</v>
      </c>
      <c r="Q173" t="s">
        <v>74</v>
      </c>
      <c r="R173" t="s">
        <v>74</v>
      </c>
      <c r="S173" t="s">
        <v>74</v>
      </c>
      <c r="T173" t="s">
        <v>74</v>
      </c>
      <c r="U173" t="s">
        <v>3400</v>
      </c>
      <c r="V173" t="s">
        <v>3401</v>
      </c>
      <c r="W173" t="s">
        <v>3402</v>
      </c>
      <c r="X173" t="s">
        <v>3403</v>
      </c>
      <c r="Y173" t="s">
        <v>3404</v>
      </c>
      <c r="Z173" t="s">
        <v>3405</v>
      </c>
      <c r="AA173" t="s">
        <v>3406</v>
      </c>
      <c r="AB173" t="s">
        <v>3407</v>
      </c>
      <c r="AC173" t="s">
        <v>74</v>
      </c>
      <c r="AD173" t="s">
        <v>74</v>
      </c>
      <c r="AE173" t="s">
        <v>74</v>
      </c>
      <c r="AF173" t="s">
        <v>74</v>
      </c>
      <c r="AG173">
        <v>38</v>
      </c>
      <c r="AH173">
        <v>29</v>
      </c>
      <c r="AI173">
        <v>31</v>
      </c>
      <c r="AJ173">
        <v>1</v>
      </c>
      <c r="AK173">
        <v>38</v>
      </c>
      <c r="AL173" t="s">
        <v>411</v>
      </c>
      <c r="AM173" t="s">
        <v>412</v>
      </c>
      <c r="AN173" t="s">
        <v>413</v>
      </c>
      <c r="AO173" t="s">
        <v>3408</v>
      </c>
      <c r="AP173" t="s">
        <v>3409</v>
      </c>
      <c r="AQ173" t="s">
        <v>74</v>
      </c>
      <c r="AR173" t="s">
        <v>3410</v>
      </c>
      <c r="AS173" t="s">
        <v>3411</v>
      </c>
      <c r="AT173" t="s">
        <v>2226</v>
      </c>
      <c r="AU173">
        <v>2010</v>
      </c>
      <c r="AV173">
        <v>25</v>
      </c>
      <c r="AW173">
        <v>10</v>
      </c>
      <c r="AX173" t="s">
        <v>74</v>
      </c>
      <c r="AY173" t="s">
        <v>74</v>
      </c>
      <c r="AZ173" t="s">
        <v>74</v>
      </c>
      <c r="BA173" t="s">
        <v>74</v>
      </c>
      <c r="BB173">
        <v>1588</v>
      </c>
      <c r="BC173">
        <v>1597</v>
      </c>
      <c r="BD173" t="s">
        <v>74</v>
      </c>
      <c r="BE173" t="s">
        <v>3412</v>
      </c>
      <c r="BF173" t="str">
        <f>HYPERLINK("http://dx.doi.org/10.1039/b927108b","http://dx.doi.org/10.1039/b927108b")</f>
        <v>http://dx.doi.org/10.1039/b927108b</v>
      </c>
      <c r="BG173" t="s">
        <v>74</v>
      </c>
      <c r="BH173" t="s">
        <v>74</v>
      </c>
      <c r="BI173">
        <v>10</v>
      </c>
      <c r="BJ173" t="s">
        <v>3413</v>
      </c>
      <c r="BK173" t="s">
        <v>100</v>
      </c>
      <c r="BL173" t="s">
        <v>3414</v>
      </c>
      <c r="BM173" t="s">
        <v>3415</v>
      </c>
      <c r="BN173" t="s">
        <v>74</v>
      </c>
      <c r="BO173" t="s">
        <v>74</v>
      </c>
      <c r="BP173" t="s">
        <v>74</v>
      </c>
      <c r="BQ173" t="s">
        <v>74</v>
      </c>
      <c r="BR173" t="s">
        <v>104</v>
      </c>
      <c r="BS173" t="s">
        <v>3416</v>
      </c>
      <c r="BT173" t="str">
        <f>HYPERLINK("https%3A%2F%2Fwww.webofscience.com%2Fwos%2Fwoscc%2Ffull-record%2FWOS:000282843000007","View Full Record in Web of Science")</f>
        <v>View Full Record in Web of Science</v>
      </c>
    </row>
    <row r="174" spans="1:72" x14ac:dyDescent="0.15">
      <c r="A174" t="s">
        <v>72</v>
      </c>
      <c r="B174" t="s">
        <v>3417</v>
      </c>
      <c r="C174" t="s">
        <v>74</v>
      </c>
      <c r="D174" t="s">
        <v>74</v>
      </c>
      <c r="E174" t="s">
        <v>74</v>
      </c>
      <c r="F174" t="s">
        <v>3418</v>
      </c>
      <c r="G174" t="s">
        <v>74</v>
      </c>
      <c r="H174" t="s">
        <v>74</v>
      </c>
      <c r="I174" t="s">
        <v>3419</v>
      </c>
      <c r="J174" t="s">
        <v>3420</v>
      </c>
      <c r="K174" t="s">
        <v>74</v>
      </c>
      <c r="L174" t="s">
        <v>74</v>
      </c>
      <c r="M174" t="s">
        <v>78</v>
      </c>
      <c r="N174" t="s">
        <v>79</v>
      </c>
      <c r="O174" t="s">
        <v>74</v>
      </c>
      <c r="P174" t="s">
        <v>74</v>
      </c>
      <c r="Q174" t="s">
        <v>74</v>
      </c>
      <c r="R174" t="s">
        <v>74</v>
      </c>
      <c r="S174" t="s">
        <v>74</v>
      </c>
      <c r="T174" t="s">
        <v>74</v>
      </c>
      <c r="U174" t="s">
        <v>3421</v>
      </c>
      <c r="V174" t="s">
        <v>3422</v>
      </c>
      <c r="W174" t="s">
        <v>3423</v>
      </c>
      <c r="X174" t="s">
        <v>3424</v>
      </c>
      <c r="Y174" t="s">
        <v>3425</v>
      </c>
      <c r="Z174" t="s">
        <v>3426</v>
      </c>
      <c r="AA174" t="s">
        <v>3427</v>
      </c>
      <c r="AB174" t="s">
        <v>3428</v>
      </c>
      <c r="AC174" t="s">
        <v>3429</v>
      </c>
      <c r="AD174" t="s">
        <v>3430</v>
      </c>
      <c r="AE174" t="s">
        <v>3431</v>
      </c>
      <c r="AF174" t="s">
        <v>74</v>
      </c>
      <c r="AG174">
        <v>47</v>
      </c>
      <c r="AH174">
        <v>21</v>
      </c>
      <c r="AI174">
        <v>22</v>
      </c>
      <c r="AJ174">
        <v>0</v>
      </c>
      <c r="AK174">
        <v>6</v>
      </c>
      <c r="AL174" t="s">
        <v>3432</v>
      </c>
      <c r="AM174" t="s">
        <v>3433</v>
      </c>
      <c r="AN174" t="s">
        <v>3434</v>
      </c>
      <c r="AO174" t="s">
        <v>3435</v>
      </c>
      <c r="AP174" t="s">
        <v>3436</v>
      </c>
      <c r="AQ174" t="s">
        <v>74</v>
      </c>
      <c r="AR174" t="s">
        <v>3437</v>
      </c>
      <c r="AS174" t="s">
        <v>3438</v>
      </c>
      <c r="AT174" t="s">
        <v>2226</v>
      </c>
      <c r="AU174">
        <v>2010</v>
      </c>
      <c r="AV174">
        <v>23</v>
      </c>
      <c r="AW174">
        <v>19</v>
      </c>
      <c r="AX174" t="s">
        <v>74</v>
      </c>
      <c r="AY174" t="s">
        <v>74</v>
      </c>
      <c r="AZ174" t="s">
        <v>74</v>
      </c>
      <c r="BA174" t="s">
        <v>74</v>
      </c>
      <c r="BB174">
        <v>5126</v>
      </c>
      <c r="BC174">
        <v>5150</v>
      </c>
      <c r="BD174" t="s">
        <v>74</v>
      </c>
      <c r="BE174" t="s">
        <v>3439</v>
      </c>
      <c r="BF174" t="str">
        <f>HYPERLINK("http://dx.doi.org/10.1175/2010JCLI3394.1","http://dx.doi.org/10.1175/2010JCLI3394.1")</f>
        <v>http://dx.doi.org/10.1175/2010JCLI3394.1</v>
      </c>
      <c r="BG174" t="s">
        <v>74</v>
      </c>
      <c r="BH174" t="s">
        <v>74</v>
      </c>
      <c r="BI174">
        <v>25</v>
      </c>
      <c r="BJ174" t="s">
        <v>319</v>
      </c>
      <c r="BK174" t="s">
        <v>100</v>
      </c>
      <c r="BL174" t="s">
        <v>319</v>
      </c>
      <c r="BM174" t="s">
        <v>3440</v>
      </c>
      <c r="BN174" t="s">
        <v>74</v>
      </c>
      <c r="BO174" t="s">
        <v>394</v>
      </c>
      <c r="BP174" t="s">
        <v>74</v>
      </c>
      <c r="BQ174" t="s">
        <v>74</v>
      </c>
      <c r="BR174" t="s">
        <v>104</v>
      </c>
      <c r="BS174" t="s">
        <v>3441</v>
      </c>
      <c r="BT174" t="str">
        <f>HYPERLINK("https%3A%2F%2Fwww.webofscience.com%2Fwos%2Fwoscc%2Ffull-record%2FWOS:000282830500005","View Full Record in Web of Science")</f>
        <v>View Full Record in Web of Science</v>
      </c>
    </row>
    <row r="175" spans="1:72" x14ac:dyDescent="0.15">
      <c r="A175" t="s">
        <v>72</v>
      </c>
      <c r="B175" t="s">
        <v>3442</v>
      </c>
      <c r="C175" t="s">
        <v>74</v>
      </c>
      <c r="D175" t="s">
        <v>74</v>
      </c>
      <c r="E175" t="s">
        <v>74</v>
      </c>
      <c r="F175" t="s">
        <v>3443</v>
      </c>
      <c r="G175" t="s">
        <v>74</v>
      </c>
      <c r="H175" t="s">
        <v>74</v>
      </c>
      <c r="I175" t="s">
        <v>3444</v>
      </c>
      <c r="J175" t="s">
        <v>3420</v>
      </c>
      <c r="K175" t="s">
        <v>74</v>
      </c>
      <c r="L175" t="s">
        <v>74</v>
      </c>
      <c r="M175" t="s">
        <v>78</v>
      </c>
      <c r="N175" t="s">
        <v>79</v>
      </c>
      <c r="O175" t="s">
        <v>74</v>
      </c>
      <c r="P175" t="s">
        <v>74</v>
      </c>
      <c r="Q175" t="s">
        <v>74</v>
      </c>
      <c r="R175" t="s">
        <v>74</v>
      </c>
      <c r="S175" t="s">
        <v>74</v>
      </c>
      <c r="T175" t="s">
        <v>74</v>
      </c>
      <c r="U175" t="s">
        <v>3445</v>
      </c>
      <c r="V175" t="s">
        <v>3446</v>
      </c>
      <c r="W175" t="s">
        <v>3447</v>
      </c>
      <c r="X175" t="s">
        <v>3448</v>
      </c>
      <c r="Y175" t="s">
        <v>3449</v>
      </c>
      <c r="Z175" t="s">
        <v>3450</v>
      </c>
      <c r="AA175" t="s">
        <v>3451</v>
      </c>
      <c r="AB175" t="s">
        <v>3452</v>
      </c>
      <c r="AC175" t="s">
        <v>3453</v>
      </c>
      <c r="AD175" t="s">
        <v>3454</v>
      </c>
      <c r="AE175" t="s">
        <v>3455</v>
      </c>
      <c r="AF175" t="s">
        <v>74</v>
      </c>
      <c r="AG175">
        <v>35</v>
      </c>
      <c r="AH175">
        <v>46</v>
      </c>
      <c r="AI175">
        <v>50</v>
      </c>
      <c r="AJ175">
        <v>0</v>
      </c>
      <c r="AK175">
        <v>13</v>
      </c>
      <c r="AL175" t="s">
        <v>3432</v>
      </c>
      <c r="AM175" t="s">
        <v>3433</v>
      </c>
      <c r="AN175" t="s">
        <v>3434</v>
      </c>
      <c r="AO175" t="s">
        <v>3435</v>
      </c>
      <c r="AP175" t="s">
        <v>3436</v>
      </c>
      <c r="AQ175" t="s">
        <v>74</v>
      </c>
      <c r="AR175" t="s">
        <v>3437</v>
      </c>
      <c r="AS175" t="s">
        <v>3438</v>
      </c>
      <c r="AT175" t="s">
        <v>2226</v>
      </c>
      <c r="AU175">
        <v>2010</v>
      </c>
      <c r="AV175">
        <v>23</v>
      </c>
      <c r="AW175">
        <v>19</v>
      </c>
      <c r="AX175" t="s">
        <v>74</v>
      </c>
      <c r="AY175" t="s">
        <v>74</v>
      </c>
      <c r="AZ175" t="s">
        <v>74</v>
      </c>
      <c r="BA175" t="s">
        <v>74</v>
      </c>
      <c r="BB175">
        <v>5332</v>
      </c>
      <c r="BC175">
        <v>5343</v>
      </c>
      <c r="BD175" t="s">
        <v>74</v>
      </c>
      <c r="BE175" t="s">
        <v>3456</v>
      </c>
      <c r="BF175" t="str">
        <f>HYPERLINK("http://dx.doi.org/10.1175/2010JCLI3098.1","http://dx.doi.org/10.1175/2010JCLI3098.1")</f>
        <v>http://dx.doi.org/10.1175/2010JCLI3098.1</v>
      </c>
      <c r="BG175" t="s">
        <v>74</v>
      </c>
      <c r="BH175" t="s">
        <v>74</v>
      </c>
      <c r="BI175">
        <v>12</v>
      </c>
      <c r="BJ175" t="s">
        <v>319</v>
      </c>
      <c r="BK175" t="s">
        <v>100</v>
      </c>
      <c r="BL175" t="s">
        <v>319</v>
      </c>
      <c r="BM175" t="s">
        <v>3440</v>
      </c>
      <c r="BN175" t="s">
        <v>74</v>
      </c>
      <c r="BO175" t="s">
        <v>394</v>
      </c>
      <c r="BP175" t="s">
        <v>74</v>
      </c>
      <c r="BQ175" t="s">
        <v>74</v>
      </c>
      <c r="BR175" t="s">
        <v>104</v>
      </c>
      <c r="BS175" t="s">
        <v>3457</v>
      </c>
      <c r="BT175" t="str">
        <f>HYPERLINK("https%3A%2F%2Fwww.webofscience.com%2Fwos%2Fwoscc%2Ffull-record%2FWOS:000282830500020","View Full Record in Web of Science")</f>
        <v>View Full Record in Web of Science</v>
      </c>
    </row>
    <row r="176" spans="1:72" x14ac:dyDescent="0.15">
      <c r="A176" t="s">
        <v>72</v>
      </c>
      <c r="B176" t="s">
        <v>3458</v>
      </c>
      <c r="C176" t="s">
        <v>74</v>
      </c>
      <c r="D176" t="s">
        <v>74</v>
      </c>
      <c r="E176" t="s">
        <v>74</v>
      </c>
      <c r="F176" t="s">
        <v>3459</v>
      </c>
      <c r="G176" t="s">
        <v>74</v>
      </c>
      <c r="H176" t="s">
        <v>74</v>
      </c>
      <c r="I176" t="s">
        <v>3460</v>
      </c>
      <c r="J176" t="s">
        <v>3420</v>
      </c>
      <c r="K176" t="s">
        <v>74</v>
      </c>
      <c r="L176" t="s">
        <v>74</v>
      </c>
      <c r="M176" t="s">
        <v>78</v>
      </c>
      <c r="N176" t="s">
        <v>79</v>
      </c>
      <c r="O176" t="s">
        <v>74</v>
      </c>
      <c r="P176" t="s">
        <v>74</v>
      </c>
      <c r="Q176" t="s">
        <v>74</v>
      </c>
      <c r="R176" t="s">
        <v>74</v>
      </c>
      <c r="S176" t="s">
        <v>74</v>
      </c>
      <c r="T176" t="s">
        <v>74</v>
      </c>
      <c r="U176" t="s">
        <v>3461</v>
      </c>
      <c r="V176" t="s">
        <v>3462</v>
      </c>
      <c r="W176" t="s">
        <v>3463</v>
      </c>
      <c r="X176" t="s">
        <v>3464</v>
      </c>
      <c r="Y176" t="s">
        <v>3465</v>
      </c>
      <c r="Z176" t="s">
        <v>3466</v>
      </c>
      <c r="AA176" t="s">
        <v>3467</v>
      </c>
      <c r="AB176" t="s">
        <v>3468</v>
      </c>
      <c r="AC176" t="s">
        <v>3469</v>
      </c>
      <c r="AD176" t="s">
        <v>3470</v>
      </c>
      <c r="AE176" t="s">
        <v>3471</v>
      </c>
      <c r="AF176" t="s">
        <v>74</v>
      </c>
      <c r="AG176">
        <v>81</v>
      </c>
      <c r="AH176">
        <v>229</v>
      </c>
      <c r="AI176">
        <v>240</v>
      </c>
      <c r="AJ176">
        <v>4</v>
      </c>
      <c r="AK176">
        <v>120</v>
      </c>
      <c r="AL176" t="s">
        <v>3432</v>
      </c>
      <c r="AM176" t="s">
        <v>3433</v>
      </c>
      <c r="AN176" t="s">
        <v>3434</v>
      </c>
      <c r="AO176" t="s">
        <v>3435</v>
      </c>
      <c r="AP176" t="s">
        <v>3436</v>
      </c>
      <c r="AQ176" t="s">
        <v>74</v>
      </c>
      <c r="AR176" t="s">
        <v>3437</v>
      </c>
      <c r="AS176" t="s">
        <v>3438</v>
      </c>
      <c r="AT176" t="s">
        <v>2226</v>
      </c>
      <c r="AU176">
        <v>2010</v>
      </c>
      <c r="AV176">
        <v>23</v>
      </c>
      <c r="AW176">
        <v>20</v>
      </c>
      <c r="AX176" t="s">
        <v>74</v>
      </c>
      <c r="AY176" t="s">
        <v>74</v>
      </c>
      <c r="AZ176" t="s">
        <v>74</v>
      </c>
      <c r="BA176" t="s">
        <v>74</v>
      </c>
      <c r="BB176">
        <v>5349</v>
      </c>
      <c r="BC176">
        <v>5374</v>
      </c>
      <c r="BD176" t="s">
        <v>74</v>
      </c>
      <c r="BE176" t="s">
        <v>3472</v>
      </c>
      <c r="BF176" t="str">
        <f>HYPERLINK("http://dx.doi.org/10.1175/2010JCLI3404.1","http://dx.doi.org/10.1175/2010JCLI3404.1")</f>
        <v>http://dx.doi.org/10.1175/2010JCLI3404.1</v>
      </c>
      <c r="BG176" t="s">
        <v>74</v>
      </c>
      <c r="BH176" t="s">
        <v>74</v>
      </c>
      <c r="BI176">
        <v>26</v>
      </c>
      <c r="BJ176" t="s">
        <v>319</v>
      </c>
      <c r="BK176" t="s">
        <v>100</v>
      </c>
      <c r="BL176" t="s">
        <v>319</v>
      </c>
      <c r="BM176" t="s">
        <v>3473</v>
      </c>
      <c r="BN176" t="s">
        <v>74</v>
      </c>
      <c r="BO176" t="s">
        <v>3474</v>
      </c>
      <c r="BP176" t="s">
        <v>74</v>
      </c>
      <c r="BQ176" t="s">
        <v>74</v>
      </c>
      <c r="BR176" t="s">
        <v>104</v>
      </c>
      <c r="BS176" t="s">
        <v>3475</v>
      </c>
      <c r="BT176" t="str">
        <f>HYPERLINK("https%3A%2F%2Fwww.webofscience.com%2Fwos%2Fwoscc%2Ffull-record%2FWOS:000284306200001","View Full Record in Web of Science")</f>
        <v>View Full Record in Web of Science</v>
      </c>
    </row>
    <row r="177" spans="1:72" x14ac:dyDescent="0.15">
      <c r="A177" t="s">
        <v>72</v>
      </c>
      <c r="B177" t="s">
        <v>3476</v>
      </c>
      <c r="C177" t="s">
        <v>74</v>
      </c>
      <c r="D177" t="s">
        <v>74</v>
      </c>
      <c r="E177" t="s">
        <v>74</v>
      </c>
      <c r="F177" t="s">
        <v>3477</v>
      </c>
      <c r="G177" t="s">
        <v>74</v>
      </c>
      <c r="H177" t="s">
        <v>74</v>
      </c>
      <c r="I177" t="s">
        <v>3478</v>
      </c>
      <c r="J177" t="s">
        <v>3420</v>
      </c>
      <c r="K177" t="s">
        <v>74</v>
      </c>
      <c r="L177" t="s">
        <v>74</v>
      </c>
      <c r="M177" t="s">
        <v>78</v>
      </c>
      <c r="N177" t="s">
        <v>79</v>
      </c>
      <c r="O177" t="s">
        <v>74</v>
      </c>
      <c r="P177" t="s">
        <v>74</v>
      </c>
      <c r="Q177" t="s">
        <v>74</v>
      </c>
      <c r="R177" t="s">
        <v>74</v>
      </c>
      <c r="S177" t="s">
        <v>74</v>
      </c>
      <c r="T177" t="s">
        <v>74</v>
      </c>
      <c r="U177" t="s">
        <v>3479</v>
      </c>
      <c r="V177" t="s">
        <v>3480</v>
      </c>
      <c r="W177" t="s">
        <v>3481</v>
      </c>
      <c r="X177" t="s">
        <v>3482</v>
      </c>
      <c r="Y177" t="s">
        <v>3483</v>
      </c>
      <c r="Z177" t="s">
        <v>3484</v>
      </c>
      <c r="AA177" t="s">
        <v>3485</v>
      </c>
      <c r="AB177" t="s">
        <v>3486</v>
      </c>
      <c r="AC177" t="s">
        <v>3487</v>
      </c>
      <c r="AD177" t="s">
        <v>3487</v>
      </c>
      <c r="AE177" t="s">
        <v>3488</v>
      </c>
      <c r="AF177" t="s">
        <v>74</v>
      </c>
      <c r="AG177">
        <v>83</v>
      </c>
      <c r="AH177">
        <v>33</v>
      </c>
      <c r="AI177">
        <v>36</v>
      </c>
      <c r="AJ177">
        <v>0</v>
      </c>
      <c r="AK177">
        <v>10</v>
      </c>
      <c r="AL177" t="s">
        <v>3432</v>
      </c>
      <c r="AM177" t="s">
        <v>3433</v>
      </c>
      <c r="AN177" t="s">
        <v>3434</v>
      </c>
      <c r="AO177" t="s">
        <v>3435</v>
      </c>
      <c r="AP177" t="s">
        <v>3436</v>
      </c>
      <c r="AQ177" t="s">
        <v>74</v>
      </c>
      <c r="AR177" t="s">
        <v>3437</v>
      </c>
      <c r="AS177" t="s">
        <v>3438</v>
      </c>
      <c r="AT177" t="s">
        <v>2226</v>
      </c>
      <c r="AU177">
        <v>2010</v>
      </c>
      <c r="AV177">
        <v>23</v>
      </c>
      <c r="AW177">
        <v>20</v>
      </c>
      <c r="AX177" t="s">
        <v>74</v>
      </c>
      <c r="AY177" t="s">
        <v>74</v>
      </c>
      <c r="AZ177" t="s">
        <v>74</v>
      </c>
      <c r="BA177" t="s">
        <v>74</v>
      </c>
      <c r="BB177">
        <v>5404</v>
      </c>
      <c r="BC177">
        <v>5420</v>
      </c>
      <c r="BD177" t="s">
        <v>74</v>
      </c>
      <c r="BE177" t="s">
        <v>3489</v>
      </c>
      <c r="BF177" t="str">
        <f>HYPERLINK("http://dx.doi.org/10.1175/2010JCLI3628.1","http://dx.doi.org/10.1175/2010JCLI3628.1")</f>
        <v>http://dx.doi.org/10.1175/2010JCLI3628.1</v>
      </c>
      <c r="BG177" t="s">
        <v>74</v>
      </c>
      <c r="BH177" t="s">
        <v>74</v>
      </c>
      <c r="BI177">
        <v>17</v>
      </c>
      <c r="BJ177" t="s">
        <v>319</v>
      </c>
      <c r="BK177" t="s">
        <v>100</v>
      </c>
      <c r="BL177" t="s">
        <v>319</v>
      </c>
      <c r="BM177" t="s">
        <v>3473</v>
      </c>
      <c r="BN177" t="s">
        <v>74</v>
      </c>
      <c r="BO177" t="s">
        <v>1000</v>
      </c>
      <c r="BP177" t="s">
        <v>74</v>
      </c>
      <c r="BQ177" t="s">
        <v>74</v>
      </c>
      <c r="BR177" t="s">
        <v>104</v>
      </c>
      <c r="BS177" t="s">
        <v>3490</v>
      </c>
      <c r="BT177" t="str">
        <f>HYPERLINK("https%3A%2F%2Fwww.webofscience.com%2Fwos%2Fwoscc%2Ffull-record%2FWOS:000284306200003","View Full Record in Web of Science")</f>
        <v>View Full Record in Web of Science</v>
      </c>
    </row>
    <row r="178" spans="1:72" x14ac:dyDescent="0.15">
      <c r="A178" t="s">
        <v>72</v>
      </c>
      <c r="B178" t="s">
        <v>3491</v>
      </c>
      <c r="C178" t="s">
        <v>74</v>
      </c>
      <c r="D178" t="s">
        <v>74</v>
      </c>
      <c r="E178" t="s">
        <v>74</v>
      </c>
      <c r="F178" t="s">
        <v>3492</v>
      </c>
      <c r="G178" t="s">
        <v>74</v>
      </c>
      <c r="H178" t="s">
        <v>74</v>
      </c>
      <c r="I178" t="s">
        <v>3493</v>
      </c>
      <c r="J178" t="s">
        <v>3494</v>
      </c>
      <c r="K178" t="s">
        <v>74</v>
      </c>
      <c r="L178" t="s">
        <v>74</v>
      </c>
      <c r="M178" t="s">
        <v>78</v>
      </c>
      <c r="N178" t="s">
        <v>326</v>
      </c>
      <c r="O178" t="s">
        <v>74</v>
      </c>
      <c r="P178" t="s">
        <v>74</v>
      </c>
      <c r="Q178" t="s">
        <v>74</v>
      </c>
      <c r="R178" t="s">
        <v>74</v>
      </c>
      <c r="S178" t="s">
        <v>74</v>
      </c>
      <c r="T178" t="s">
        <v>3495</v>
      </c>
      <c r="U178" t="s">
        <v>3496</v>
      </c>
      <c r="V178" t="s">
        <v>3497</v>
      </c>
      <c r="W178" t="s">
        <v>3498</v>
      </c>
      <c r="X178" t="s">
        <v>3499</v>
      </c>
      <c r="Y178" t="s">
        <v>3500</v>
      </c>
      <c r="Z178" t="s">
        <v>3501</v>
      </c>
      <c r="AA178" t="s">
        <v>3502</v>
      </c>
      <c r="AB178" t="s">
        <v>3503</v>
      </c>
      <c r="AC178" t="s">
        <v>3504</v>
      </c>
      <c r="AD178" t="s">
        <v>3505</v>
      </c>
      <c r="AE178" t="s">
        <v>3506</v>
      </c>
      <c r="AF178" t="s">
        <v>74</v>
      </c>
      <c r="AG178">
        <v>149</v>
      </c>
      <c r="AH178">
        <v>73</v>
      </c>
      <c r="AI178">
        <v>74</v>
      </c>
      <c r="AJ178">
        <v>1</v>
      </c>
      <c r="AK178">
        <v>101</v>
      </c>
      <c r="AL178" t="s">
        <v>464</v>
      </c>
      <c r="AM178" t="s">
        <v>310</v>
      </c>
      <c r="AN178" t="s">
        <v>465</v>
      </c>
      <c r="AO178" t="s">
        <v>3507</v>
      </c>
      <c r="AP178" t="s">
        <v>3508</v>
      </c>
      <c r="AQ178" t="s">
        <v>74</v>
      </c>
      <c r="AR178" t="s">
        <v>3509</v>
      </c>
      <c r="AS178" t="s">
        <v>3510</v>
      </c>
      <c r="AT178" t="s">
        <v>2226</v>
      </c>
      <c r="AU178">
        <v>2010</v>
      </c>
      <c r="AV178">
        <v>196</v>
      </c>
      <c r="AW178">
        <v>10</v>
      </c>
      <c r="AX178" t="s">
        <v>74</v>
      </c>
      <c r="AY178" t="s">
        <v>74</v>
      </c>
      <c r="AZ178" t="s">
        <v>582</v>
      </c>
      <c r="BA178" t="s">
        <v>74</v>
      </c>
      <c r="BB178">
        <v>751</v>
      </c>
      <c r="BC178">
        <v>766</v>
      </c>
      <c r="BD178" t="s">
        <v>74</v>
      </c>
      <c r="BE178" t="s">
        <v>3511</v>
      </c>
      <c r="BF178" t="str">
        <f>HYPERLINK("http://dx.doi.org/10.1007/s00359-010-0534-4","http://dx.doi.org/10.1007/s00359-010-0534-4")</f>
        <v>http://dx.doi.org/10.1007/s00359-010-0534-4</v>
      </c>
      <c r="BG178" t="s">
        <v>74</v>
      </c>
      <c r="BH178" t="s">
        <v>74</v>
      </c>
      <c r="BI178">
        <v>16</v>
      </c>
      <c r="BJ178" t="s">
        <v>3512</v>
      </c>
      <c r="BK178" t="s">
        <v>100</v>
      </c>
      <c r="BL178" t="s">
        <v>3513</v>
      </c>
      <c r="BM178" t="s">
        <v>3514</v>
      </c>
      <c r="BN178">
        <v>20490809</v>
      </c>
      <c r="BO178" t="s">
        <v>3515</v>
      </c>
      <c r="BP178" t="s">
        <v>74</v>
      </c>
      <c r="BQ178" t="s">
        <v>74</v>
      </c>
      <c r="BR178" t="s">
        <v>104</v>
      </c>
      <c r="BS178" t="s">
        <v>3516</v>
      </c>
      <c r="BT178" t="str">
        <f>HYPERLINK("https%3A%2F%2Fwww.webofscience.com%2Fwos%2Fwoscc%2Ffull-record%2FWOS:000282130500006","View Full Record in Web of Science")</f>
        <v>View Full Record in Web of Science</v>
      </c>
    </row>
    <row r="179" spans="1:72" x14ac:dyDescent="0.15">
      <c r="A179" t="s">
        <v>72</v>
      </c>
      <c r="B179" t="s">
        <v>3517</v>
      </c>
      <c r="C179" t="s">
        <v>74</v>
      </c>
      <c r="D179" t="s">
        <v>74</v>
      </c>
      <c r="E179" t="s">
        <v>74</v>
      </c>
      <c r="F179" t="s">
        <v>3518</v>
      </c>
      <c r="G179" t="s">
        <v>74</v>
      </c>
      <c r="H179" t="s">
        <v>74</v>
      </c>
      <c r="I179" t="s">
        <v>3519</v>
      </c>
      <c r="J179" t="s">
        <v>3520</v>
      </c>
      <c r="K179" t="s">
        <v>74</v>
      </c>
      <c r="L179" t="s">
        <v>74</v>
      </c>
      <c r="M179" t="s">
        <v>78</v>
      </c>
      <c r="N179" t="s">
        <v>79</v>
      </c>
      <c r="O179" t="s">
        <v>74</v>
      </c>
      <c r="P179" t="s">
        <v>74</v>
      </c>
      <c r="Q179" t="s">
        <v>74</v>
      </c>
      <c r="R179" t="s">
        <v>74</v>
      </c>
      <c r="S179" t="s">
        <v>74</v>
      </c>
      <c r="T179" t="s">
        <v>3521</v>
      </c>
      <c r="U179" t="s">
        <v>3522</v>
      </c>
      <c r="V179" t="s">
        <v>3523</v>
      </c>
      <c r="W179" t="s">
        <v>3524</v>
      </c>
      <c r="X179" t="s">
        <v>3525</v>
      </c>
      <c r="Y179" t="s">
        <v>3526</v>
      </c>
      <c r="Z179" t="s">
        <v>3527</v>
      </c>
      <c r="AA179" t="s">
        <v>3528</v>
      </c>
      <c r="AB179" t="s">
        <v>3529</v>
      </c>
      <c r="AC179" t="s">
        <v>3530</v>
      </c>
      <c r="AD179" t="s">
        <v>289</v>
      </c>
      <c r="AE179" t="s">
        <v>3531</v>
      </c>
      <c r="AF179" t="s">
        <v>74</v>
      </c>
      <c r="AG179">
        <v>85</v>
      </c>
      <c r="AH179">
        <v>3</v>
      </c>
      <c r="AI179">
        <v>5</v>
      </c>
      <c r="AJ179">
        <v>1</v>
      </c>
      <c r="AK179">
        <v>18</v>
      </c>
      <c r="AL179" t="s">
        <v>945</v>
      </c>
      <c r="AM179" t="s">
        <v>946</v>
      </c>
      <c r="AN179" t="s">
        <v>947</v>
      </c>
      <c r="AO179" t="s">
        <v>3532</v>
      </c>
      <c r="AP179" t="s">
        <v>3533</v>
      </c>
      <c r="AQ179" t="s">
        <v>74</v>
      </c>
      <c r="AR179" t="s">
        <v>3534</v>
      </c>
      <c r="AS179" t="s">
        <v>3535</v>
      </c>
      <c r="AT179" t="s">
        <v>2226</v>
      </c>
      <c r="AU179">
        <v>2010</v>
      </c>
      <c r="AV179">
        <v>180</v>
      </c>
      <c r="AW179">
        <v>7</v>
      </c>
      <c r="AX179" t="s">
        <v>74</v>
      </c>
      <c r="AY179" t="s">
        <v>74</v>
      </c>
      <c r="AZ179" t="s">
        <v>74</v>
      </c>
      <c r="BA179" t="s">
        <v>74</v>
      </c>
      <c r="BB179">
        <v>1019</v>
      </c>
      <c r="BC179">
        <v>1032</v>
      </c>
      <c r="BD179" t="s">
        <v>74</v>
      </c>
      <c r="BE179" t="s">
        <v>3536</v>
      </c>
      <c r="BF179" t="str">
        <f>HYPERLINK("http://dx.doi.org/10.1007/s00360-010-0475-9","http://dx.doi.org/10.1007/s00360-010-0475-9")</f>
        <v>http://dx.doi.org/10.1007/s00360-010-0475-9</v>
      </c>
      <c r="BG179" t="s">
        <v>74</v>
      </c>
      <c r="BH179" t="s">
        <v>74</v>
      </c>
      <c r="BI179">
        <v>14</v>
      </c>
      <c r="BJ179" t="s">
        <v>3537</v>
      </c>
      <c r="BK179" t="s">
        <v>100</v>
      </c>
      <c r="BL179" t="s">
        <v>3537</v>
      </c>
      <c r="BM179" t="s">
        <v>3538</v>
      </c>
      <c r="BN179">
        <v>20490507</v>
      </c>
      <c r="BO179" t="s">
        <v>74</v>
      </c>
      <c r="BP179" t="s">
        <v>74</v>
      </c>
      <c r="BQ179" t="s">
        <v>74</v>
      </c>
      <c r="BR179" t="s">
        <v>104</v>
      </c>
      <c r="BS179" t="s">
        <v>3539</v>
      </c>
      <c r="BT179" t="str">
        <f>HYPERLINK("https%3A%2F%2Fwww.webofscience.com%2Fwos%2Fwoscc%2Ffull-record%2FWOS:000281949500007","View Full Record in Web of Science")</f>
        <v>View Full Record in Web of Science</v>
      </c>
    </row>
    <row r="180" spans="1:72" x14ac:dyDescent="0.15">
      <c r="A180" t="s">
        <v>72</v>
      </c>
      <c r="B180" t="s">
        <v>3540</v>
      </c>
      <c r="C180" t="s">
        <v>74</v>
      </c>
      <c r="D180" t="s">
        <v>74</v>
      </c>
      <c r="E180" t="s">
        <v>74</v>
      </c>
      <c r="F180" t="s">
        <v>3541</v>
      </c>
      <c r="G180" t="s">
        <v>74</v>
      </c>
      <c r="H180" t="s">
        <v>74</v>
      </c>
      <c r="I180" t="s">
        <v>3542</v>
      </c>
      <c r="J180" t="s">
        <v>3543</v>
      </c>
      <c r="K180" t="s">
        <v>74</v>
      </c>
      <c r="L180" t="s">
        <v>74</v>
      </c>
      <c r="M180" t="s">
        <v>78</v>
      </c>
      <c r="N180" t="s">
        <v>79</v>
      </c>
      <c r="O180" t="s">
        <v>74</v>
      </c>
      <c r="P180" t="s">
        <v>74</v>
      </c>
      <c r="Q180" t="s">
        <v>74</v>
      </c>
      <c r="R180" t="s">
        <v>74</v>
      </c>
      <c r="S180" t="s">
        <v>74</v>
      </c>
      <c r="T180" t="s">
        <v>3544</v>
      </c>
      <c r="U180" t="s">
        <v>3545</v>
      </c>
      <c r="V180" t="s">
        <v>3546</v>
      </c>
      <c r="W180" t="s">
        <v>3547</v>
      </c>
      <c r="X180" t="s">
        <v>3548</v>
      </c>
      <c r="Y180" t="s">
        <v>3549</v>
      </c>
      <c r="Z180" t="s">
        <v>3550</v>
      </c>
      <c r="AA180" t="s">
        <v>3551</v>
      </c>
      <c r="AB180" t="s">
        <v>74</v>
      </c>
      <c r="AC180" t="s">
        <v>3552</v>
      </c>
      <c r="AD180" t="s">
        <v>3553</v>
      </c>
      <c r="AE180" t="s">
        <v>3554</v>
      </c>
      <c r="AF180" t="s">
        <v>74</v>
      </c>
      <c r="AG180">
        <v>58</v>
      </c>
      <c r="AH180">
        <v>48</v>
      </c>
      <c r="AI180">
        <v>57</v>
      </c>
      <c r="AJ180">
        <v>2</v>
      </c>
      <c r="AK180">
        <v>95</v>
      </c>
      <c r="AL180" t="s">
        <v>3555</v>
      </c>
      <c r="AM180" t="s">
        <v>1598</v>
      </c>
      <c r="AN180" t="s">
        <v>3556</v>
      </c>
      <c r="AO180" t="s">
        <v>3557</v>
      </c>
      <c r="AP180" t="s">
        <v>3558</v>
      </c>
      <c r="AQ180" t="s">
        <v>74</v>
      </c>
      <c r="AR180" t="s">
        <v>3559</v>
      </c>
      <c r="AS180" t="s">
        <v>3560</v>
      </c>
      <c r="AT180" t="s">
        <v>2226</v>
      </c>
      <c r="AU180">
        <v>2010</v>
      </c>
      <c r="AV180">
        <v>91</v>
      </c>
      <c r="AW180">
        <v>10</v>
      </c>
      <c r="AX180" t="s">
        <v>74</v>
      </c>
      <c r="AY180" t="s">
        <v>74</v>
      </c>
      <c r="AZ180" t="s">
        <v>74</v>
      </c>
      <c r="BA180" t="s">
        <v>74</v>
      </c>
      <c r="BB180">
        <v>1981</v>
      </c>
      <c r="BC180">
        <v>1990</v>
      </c>
      <c r="BD180" t="s">
        <v>74</v>
      </c>
      <c r="BE180" t="s">
        <v>3561</v>
      </c>
      <c r="BF180" t="str">
        <f>HYPERLINK("http://dx.doi.org/10.1016/j.jenvman.2010.05.006","http://dx.doi.org/10.1016/j.jenvman.2010.05.006")</f>
        <v>http://dx.doi.org/10.1016/j.jenvman.2010.05.006</v>
      </c>
      <c r="BG180" t="s">
        <v>74</v>
      </c>
      <c r="BH180" t="s">
        <v>74</v>
      </c>
      <c r="BI180">
        <v>10</v>
      </c>
      <c r="BJ180" t="s">
        <v>3562</v>
      </c>
      <c r="BK180" t="s">
        <v>2796</v>
      </c>
      <c r="BL180" t="s">
        <v>2797</v>
      </c>
      <c r="BM180" t="s">
        <v>3563</v>
      </c>
      <c r="BN180">
        <v>20627541</v>
      </c>
      <c r="BO180" t="s">
        <v>74</v>
      </c>
      <c r="BP180" t="s">
        <v>74</v>
      </c>
      <c r="BQ180" t="s">
        <v>74</v>
      </c>
      <c r="BR180" t="s">
        <v>104</v>
      </c>
      <c r="BS180" t="s">
        <v>3564</v>
      </c>
      <c r="BT180" t="str">
        <f>HYPERLINK("https%3A%2F%2Fwww.webofscience.com%2Fwos%2Fwoscc%2Ffull-record%2FWOS:000280568900007","View Full Record in Web of Science")</f>
        <v>View Full Record in Web of Science</v>
      </c>
    </row>
    <row r="181" spans="1:72" x14ac:dyDescent="0.15">
      <c r="A181" t="s">
        <v>72</v>
      </c>
      <c r="B181" t="s">
        <v>3565</v>
      </c>
      <c r="C181" t="s">
        <v>74</v>
      </c>
      <c r="D181" t="s">
        <v>74</v>
      </c>
      <c r="E181" t="s">
        <v>74</v>
      </c>
      <c r="F181" t="s">
        <v>3566</v>
      </c>
      <c r="G181" t="s">
        <v>74</v>
      </c>
      <c r="H181" t="s">
        <v>74</v>
      </c>
      <c r="I181" t="s">
        <v>3567</v>
      </c>
      <c r="J181" t="s">
        <v>1702</v>
      </c>
      <c r="K181" t="s">
        <v>74</v>
      </c>
      <c r="L181" t="s">
        <v>74</v>
      </c>
      <c r="M181" t="s">
        <v>78</v>
      </c>
      <c r="N181" t="s">
        <v>79</v>
      </c>
      <c r="O181" t="s">
        <v>74</v>
      </c>
      <c r="P181" t="s">
        <v>74</v>
      </c>
      <c r="Q181" t="s">
        <v>74</v>
      </c>
      <c r="R181" t="s">
        <v>74</v>
      </c>
      <c r="S181" t="s">
        <v>74</v>
      </c>
      <c r="T181" t="s">
        <v>74</v>
      </c>
      <c r="U181" t="s">
        <v>3568</v>
      </c>
      <c r="V181" t="s">
        <v>3569</v>
      </c>
      <c r="W181" t="s">
        <v>3570</v>
      </c>
      <c r="X181" t="s">
        <v>3571</v>
      </c>
      <c r="Y181" t="s">
        <v>3572</v>
      </c>
      <c r="Z181" t="s">
        <v>3573</v>
      </c>
      <c r="AA181" t="s">
        <v>74</v>
      </c>
      <c r="AB181" t="s">
        <v>3574</v>
      </c>
      <c r="AC181" t="s">
        <v>3575</v>
      </c>
      <c r="AD181" t="s">
        <v>3576</v>
      </c>
      <c r="AE181" t="s">
        <v>3577</v>
      </c>
      <c r="AF181" t="s">
        <v>74</v>
      </c>
      <c r="AG181">
        <v>60</v>
      </c>
      <c r="AH181">
        <v>15</v>
      </c>
      <c r="AI181">
        <v>16</v>
      </c>
      <c r="AJ181">
        <v>1</v>
      </c>
      <c r="AK181">
        <v>11</v>
      </c>
      <c r="AL181" t="s">
        <v>1521</v>
      </c>
      <c r="AM181" t="s">
        <v>1522</v>
      </c>
      <c r="AN181" t="s">
        <v>1523</v>
      </c>
      <c r="AO181" t="s">
        <v>1714</v>
      </c>
      <c r="AP181" t="s">
        <v>1715</v>
      </c>
      <c r="AQ181" t="s">
        <v>74</v>
      </c>
      <c r="AR181" t="s">
        <v>1716</v>
      </c>
      <c r="AS181" t="s">
        <v>1717</v>
      </c>
      <c r="AT181" t="s">
        <v>2444</v>
      </c>
      <c r="AU181">
        <v>2010</v>
      </c>
      <c r="AV181">
        <v>115</v>
      </c>
      <c r="AW181" t="s">
        <v>74</v>
      </c>
      <c r="AX181" t="s">
        <v>74</v>
      </c>
      <c r="AY181" t="s">
        <v>74</v>
      </c>
      <c r="AZ181" t="s">
        <v>74</v>
      </c>
      <c r="BA181" t="s">
        <v>74</v>
      </c>
      <c r="BB181" t="s">
        <v>74</v>
      </c>
      <c r="BC181" t="s">
        <v>74</v>
      </c>
      <c r="BD181" t="s">
        <v>3578</v>
      </c>
      <c r="BE181" t="s">
        <v>3579</v>
      </c>
      <c r="BF181" t="str">
        <f>HYPERLINK("http://dx.doi.org/10.1029/2010JD014026","http://dx.doi.org/10.1029/2010JD014026")</f>
        <v>http://dx.doi.org/10.1029/2010JD014026</v>
      </c>
      <c r="BG181" t="s">
        <v>74</v>
      </c>
      <c r="BH181" t="s">
        <v>74</v>
      </c>
      <c r="BI181">
        <v>12</v>
      </c>
      <c r="BJ181" t="s">
        <v>319</v>
      </c>
      <c r="BK181" t="s">
        <v>100</v>
      </c>
      <c r="BL181" t="s">
        <v>319</v>
      </c>
      <c r="BM181" t="s">
        <v>3580</v>
      </c>
      <c r="BN181" t="s">
        <v>74</v>
      </c>
      <c r="BO181" t="s">
        <v>394</v>
      </c>
      <c r="BP181" t="s">
        <v>74</v>
      </c>
      <c r="BQ181" t="s">
        <v>74</v>
      </c>
      <c r="BR181" t="s">
        <v>104</v>
      </c>
      <c r="BS181" t="s">
        <v>3581</v>
      </c>
      <c r="BT181" t="str">
        <f>HYPERLINK("https%3A%2F%2Fwww.webofscience.com%2Fwos%2Fwoscc%2Ffull-record%2FWOS:000282507500012","View Full Record in Web of Science")</f>
        <v>View Full Record in Web of Science</v>
      </c>
    </row>
    <row r="182" spans="1:72" x14ac:dyDescent="0.15">
      <c r="A182" t="s">
        <v>72</v>
      </c>
      <c r="B182" t="s">
        <v>3582</v>
      </c>
      <c r="C182" t="s">
        <v>74</v>
      </c>
      <c r="D182" t="s">
        <v>74</v>
      </c>
      <c r="E182" t="s">
        <v>74</v>
      </c>
      <c r="F182" t="s">
        <v>3583</v>
      </c>
      <c r="G182" t="s">
        <v>74</v>
      </c>
      <c r="H182" t="s">
        <v>74</v>
      </c>
      <c r="I182" t="s">
        <v>3584</v>
      </c>
      <c r="J182" t="s">
        <v>3585</v>
      </c>
      <c r="K182" t="s">
        <v>74</v>
      </c>
      <c r="L182" t="s">
        <v>74</v>
      </c>
      <c r="M182" t="s">
        <v>78</v>
      </c>
      <c r="N182" t="s">
        <v>79</v>
      </c>
      <c r="O182" t="s">
        <v>74</v>
      </c>
      <c r="P182" t="s">
        <v>74</v>
      </c>
      <c r="Q182" t="s">
        <v>74</v>
      </c>
      <c r="R182" t="s">
        <v>74</v>
      </c>
      <c r="S182" t="s">
        <v>74</v>
      </c>
      <c r="T182" t="s">
        <v>3586</v>
      </c>
      <c r="U182" t="s">
        <v>3587</v>
      </c>
      <c r="V182" t="s">
        <v>3588</v>
      </c>
      <c r="W182" t="s">
        <v>3589</v>
      </c>
      <c r="X182" t="s">
        <v>3590</v>
      </c>
      <c r="Y182" t="s">
        <v>3591</v>
      </c>
      <c r="Z182" t="s">
        <v>3592</v>
      </c>
      <c r="AA182" t="s">
        <v>74</v>
      </c>
      <c r="AB182" t="s">
        <v>3593</v>
      </c>
      <c r="AC182" t="s">
        <v>3594</v>
      </c>
      <c r="AD182" t="s">
        <v>3595</v>
      </c>
      <c r="AE182" t="s">
        <v>3596</v>
      </c>
      <c r="AF182" t="s">
        <v>74</v>
      </c>
      <c r="AG182">
        <v>62</v>
      </c>
      <c r="AH182">
        <v>37</v>
      </c>
      <c r="AI182">
        <v>38</v>
      </c>
      <c r="AJ182">
        <v>1</v>
      </c>
      <c r="AK182">
        <v>25</v>
      </c>
      <c r="AL182" t="s">
        <v>945</v>
      </c>
      <c r="AM182" t="s">
        <v>946</v>
      </c>
      <c r="AN182" t="s">
        <v>947</v>
      </c>
      <c r="AO182" t="s">
        <v>3597</v>
      </c>
      <c r="AP182" t="s">
        <v>3598</v>
      </c>
      <c r="AQ182" t="s">
        <v>74</v>
      </c>
      <c r="AR182" t="s">
        <v>3599</v>
      </c>
      <c r="AS182" t="s">
        <v>3600</v>
      </c>
      <c r="AT182" t="s">
        <v>2226</v>
      </c>
      <c r="AU182">
        <v>2010</v>
      </c>
      <c r="AV182">
        <v>151</v>
      </c>
      <c r="AW182">
        <v>4</v>
      </c>
      <c r="AX182" t="s">
        <v>74</v>
      </c>
      <c r="AY182" t="s">
        <v>74</v>
      </c>
      <c r="AZ182" t="s">
        <v>74</v>
      </c>
      <c r="BA182" t="s">
        <v>74</v>
      </c>
      <c r="BB182">
        <v>933</v>
      </c>
      <c r="BC182">
        <v>943</v>
      </c>
      <c r="BD182" t="s">
        <v>74</v>
      </c>
      <c r="BE182" t="s">
        <v>3601</v>
      </c>
      <c r="BF182" t="str">
        <f>HYPERLINK("http://dx.doi.org/10.1007/s10336-010-0531-y","http://dx.doi.org/10.1007/s10336-010-0531-y")</f>
        <v>http://dx.doi.org/10.1007/s10336-010-0531-y</v>
      </c>
      <c r="BG182" t="s">
        <v>74</v>
      </c>
      <c r="BH182" t="s">
        <v>74</v>
      </c>
      <c r="BI182">
        <v>11</v>
      </c>
      <c r="BJ182" t="s">
        <v>491</v>
      </c>
      <c r="BK182" t="s">
        <v>100</v>
      </c>
      <c r="BL182" t="s">
        <v>492</v>
      </c>
      <c r="BM182" t="s">
        <v>3602</v>
      </c>
      <c r="BN182" t="s">
        <v>74</v>
      </c>
      <c r="BO182" t="s">
        <v>74</v>
      </c>
      <c r="BP182" t="s">
        <v>74</v>
      </c>
      <c r="BQ182" t="s">
        <v>74</v>
      </c>
      <c r="BR182" t="s">
        <v>104</v>
      </c>
      <c r="BS182" t="s">
        <v>3603</v>
      </c>
      <c r="BT182" t="str">
        <f>HYPERLINK("https%3A%2F%2Fwww.webofscience.com%2Fwos%2Fwoscc%2Ffull-record%2FWOS:000281859400021","View Full Record in Web of Science")</f>
        <v>View Full Record in Web of Science</v>
      </c>
    </row>
    <row r="183" spans="1:72" x14ac:dyDescent="0.15">
      <c r="A183" t="s">
        <v>72</v>
      </c>
      <c r="B183" t="s">
        <v>3604</v>
      </c>
      <c r="C183" t="s">
        <v>74</v>
      </c>
      <c r="D183" t="s">
        <v>74</v>
      </c>
      <c r="E183" t="s">
        <v>74</v>
      </c>
      <c r="F183" t="s">
        <v>3605</v>
      </c>
      <c r="G183" t="s">
        <v>74</v>
      </c>
      <c r="H183" t="s">
        <v>74</v>
      </c>
      <c r="I183" t="s">
        <v>3606</v>
      </c>
      <c r="J183" t="s">
        <v>3607</v>
      </c>
      <c r="K183" t="s">
        <v>74</v>
      </c>
      <c r="L183" t="s">
        <v>74</v>
      </c>
      <c r="M183" t="s">
        <v>78</v>
      </c>
      <c r="N183" t="s">
        <v>79</v>
      </c>
      <c r="O183" t="s">
        <v>74</v>
      </c>
      <c r="P183" t="s">
        <v>74</v>
      </c>
      <c r="Q183" t="s">
        <v>74</v>
      </c>
      <c r="R183" t="s">
        <v>74</v>
      </c>
      <c r="S183" t="s">
        <v>74</v>
      </c>
      <c r="T183" t="s">
        <v>3608</v>
      </c>
      <c r="U183" t="s">
        <v>3609</v>
      </c>
      <c r="V183" t="s">
        <v>3610</v>
      </c>
      <c r="W183" t="s">
        <v>3611</v>
      </c>
      <c r="X183" t="s">
        <v>3612</v>
      </c>
      <c r="Y183" t="s">
        <v>3613</v>
      </c>
      <c r="Z183" t="s">
        <v>3614</v>
      </c>
      <c r="AA183" t="s">
        <v>3615</v>
      </c>
      <c r="AB183" t="s">
        <v>3616</v>
      </c>
      <c r="AC183" t="s">
        <v>3617</v>
      </c>
      <c r="AD183" t="s">
        <v>3618</v>
      </c>
      <c r="AE183" t="s">
        <v>3619</v>
      </c>
      <c r="AF183" t="s">
        <v>74</v>
      </c>
      <c r="AG183">
        <v>45</v>
      </c>
      <c r="AH183">
        <v>22</v>
      </c>
      <c r="AI183">
        <v>27</v>
      </c>
      <c r="AJ183">
        <v>1</v>
      </c>
      <c r="AK183">
        <v>31</v>
      </c>
      <c r="AL183" t="s">
        <v>338</v>
      </c>
      <c r="AM183" t="s">
        <v>339</v>
      </c>
      <c r="AN183" t="s">
        <v>340</v>
      </c>
      <c r="AO183" t="s">
        <v>3620</v>
      </c>
      <c r="AP183" t="s">
        <v>3621</v>
      </c>
      <c r="AQ183" t="s">
        <v>74</v>
      </c>
      <c r="AR183" t="s">
        <v>3622</v>
      </c>
      <c r="AS183" t="s">
        <v>3623</v>
      </c>
      <c r="AT183" t="s">
        <v>2226</v>
      </c>
      <c r="AU183">
        <v>2010</v>
      </c>
      <c r="AV183">
        <v>46</v>
      </c>
      <c r="AW183">
        <v>5</v>
      </c>
      <c r="AX183" t="s">
        <v>74</v>
      </c>
      <c r="AY183" t="s">
        <v>74</v>
      </c>
      <c r="AZ183" t="s">
        <v>74</v>
      </c>
      <c r="BA183" t="s">
        <v>74</v>
      </c>
      <c r="BB183">
        <v>1006</v>
      </c>
      <c r="BC183">
        <v>1016</v>
      </c>
      <c r="BD183" t="s">
        <v>74</v>
      </c>
      <c r="BE183" t="s">
        <v>3624</v>
      </c>
      <c r="BF183" t="str">
        <f>HYPERLINK("http://dx.doi.org/10.1111/j.1529-8817.2010.00875.x","http://dx.doi.org/10.1111/j.1529-8817.2010.00875.x")</f>
        <v>http://dx.doi.org/10.1111/j.1529-8817.2010.00875.x</v>
      </c>
      <c r="BG183" t="s">
        <v>74</v>
      </c>
      <c r="BH183" t="s">
        <v>74</v>
      </c>
      <c r="BI183">
        <v>11</v>
      </c>
      <c r="BJ183" t="s">
        <v>3625</v>
      </c>
      <c r="BK183" t="s">
        <v>100</v>
      </c>
      <c r="BL183" t="s">
        <v>3625</v>
      </c>
      <c r="BM183" t="s">
        <v>3626</v>
      </c>
      <c r="BN183" t="s">
        <v>74</v>
      </c>
      <c r="BO183" t="s">
        <v>74</v>
      </c>
      <c r="BP183" t="s">
        <v>74</v>
      </c>
      <c r="BQ183" t="s">
        <v>74</v>
      </c>
      <c r="BR183" t="s">
        <v>104</v>
      </c>
      <c r="BS183" t="s">
        <v>3627</v>
      </c>
      <c r="BT183" t="str">
        <f>HYPERLINK("https%3A%2F%2Fwww.webofscience.com%2Fwos%2Fwoscc%2Ffull-record%2FWOS:000282378200018","View Full Record in Web of Science")</f>
        <v>View Full Record in Web of Science</v>
      </c>
    </row>
    <row r="184" spans="1:72" x14ac:dyDescent="0.15">
      <c r="A184" t="s">
        <v>72</v>
      </c>
      <c r="B184" t="s">
        <v>3628</v>
      </c>
      <c r="C184" t="s">
        <v>74</v>
      </c>
      <c r="D184" t="s">
        <v>74</v>
      </c>
      <c r="E184" t="s">
        <v>74</v>
      </c>
      <c r="F184" t="s">
        <v>3629</v>
      </c>
      <c r="G184" t="s">
        <v>74</v>
      </c>
      <c r="H184" t="s">
        <v>74</v>
      </c>
      <c r="I184" t="s">
        <v>3630</v>
      </c>
      <c r="J184" t="s">
        <v>3631</v>
      </c>
      <c r="K184" t="s">
        <v>74</v>
      </c>
      <c r="L184" t="s">
        <v>74</v>
      </c>
      <c r="M184" t="s">
        <v>78</v>
      </c>
      <c r="N184" t="s">
        <v>79</v>
      </c>
      <c r="O184" t="s">
        <v>74</v>
      </c>
      <c r="P184" t="s">
        <v>74</v>
      </c>
      <c r="Q184" t="s">
        <v>74</v>
      </c>
      <c r="R184" t="s">
        <v>74</v>
      </c>
      <c r="S184" t="s">
        <v>74</v>
      </c>
      <c r="T184" t="s">
        <v>74</v>
      </c>
      <c r="U184" t="s">
        <v>3632</v>
      </c>
      <c r="V184" t="s">
        <v>3633</v>
      </c>
      <c r="W184" t="s">
        <v>3634</v>
      </c>
      <c r="X184" t="s">
        <v>690</v>
      </c>
      <c r="Y184" t="s">
        <v>3635</v>
      </c>
      <c r="Z184" t="s">
        <v>3636</v>
      </c>
      <c r="AA184" t="s">
        <v>3637</v>
      </c>
      <c r="AB184" t="s">
        <v>3638</v>
      </c>
      <c r="AC184" t="s">
        <v>3639</v>
      </c>
      <c r="AD184" t="s">
        <v>2843</v>
      </c>
      <c r="AE184" t="s">
        <v>74</v>
      </c>
      <c r="AF184" t="s">
        <v>74</v>
      </c>
      <c r="AG184">
        <v>37</v>
      </c>
      <c r="AH184">
        <v>124</v>
      </c>
      <c r="AI184">
        <v>129</v>
      </c>
      <c r="AJ184">
        <v>0</v>
      </c>
      <c r="AK184">
        <v>22</v>
      </c>
      <c r="AL184" t="s">
        <v>3432</v>
      </c>
      <c r="AM184" t="s">
        <v>3433</v>
      </c>
      <c r="AN184" t="s">
        <v>3434</v>
      </c>
      <c r="AO184" t="s">
        <v>3640</v>
      </c>
      <c r="AP184" t="s">
        <v>74</v>
      </c>
      <c r="AQ184" t="s">
        <v>74</v>
      </c>
      <c r="AR184" t="s">
        <v>3641</v>
      </c>
      <c r="AS184" t="s">
        <v>3642</v>
      </c>
      <c r="AT184" t="s">
        <v>2226</v>
      </c>
      <c r="AU184">
        <v>2010</v>
      </c>
      <c r="AV184">
        <v>40</v>
      </c>
      <c r="AW184">
        <v>10</v>
      </c>
      <c r="AX184" t="s">
        <v>74</v>
      </c>
      <c r="AY184" t="s">
        <v>74</v>
      </c>
      <c r="AZ184" t="s">
        <v>74</v>
      </c>
      <c r="BA184" t="s">
        <v>74</v>
      </c>
      <c r="BB184">
        <v>2298</v>
      </c>
      <c r="BC184">
        <v>2312</v>
      </c>
      <c r="BD184" t="s">
        <v>74</v>
      </c>
      <c r="BE184" t="s">
        <v>3643</v>
      </c>
      <c r="BF184" t="str">
        <f>HYPERLINK("http://dx.doi.org/10.1175/2010JPO4317.1","http://dx.doi.org/10.1175/2010JPO4317.1")</f>
        <v>http://dx.doi.org/10.1175/2010JPO4317.1</v>
      </c>
      <c r="BG184" t="s">
        <v>74</v>
      </c>
      <c r="BH184" t="s">
        <v>74</v>
      </c>
      <c r="BI184">
        <v>15</v>
      </c>
      <c r="BJ184" t="s">
        <v>1531</v>
      </c>
      <c r="BK184" t="s">
        <v>100</v>
      </c>
      <c r="BL184" t="s">
        <v>1531</v>
      </c>
      <c r="BM184" t="s">
        <v>3644</v>
      </c>
      <c r="BN184" t="s">
        <v>74</v>
      </c>
      <c r="BO184" t="s">
        <v>1025</v>
      </c>
      <c r="BP184" t="s">
        <v>74</v>
      </c>
      <c r="BQ184" t="s">
        <v>74</v>
      </c>
      <c r="BR184" t="s">
        <v>104</v>
      </c>
      <c r="BS184" t="s">
        <v>3645</v>
      </c>
      <c r="BT184" t="str">
        <f>HYPERLINK("https%3A%2F%2Fwww.webofscience.com%2Fwos%2Fwoscc%2Ffull-record%2FWOS:000283053400006","View Full Record in Web of Science")</f>
        <v>View Full Record in Web of Science</v>
      </c>
    </row>
    <row r="185" spans="1:72" x14ac:dyDescent="0.15">
      <c r="A185" t="s">
        <v>72</v>
      </c>
      <c r="B185" t="s">
        <v>3646</v>
      </c>
      <c r="C185" t="s">
        <v>74</v>
      </c>
      <c r="D185" t="s">
        <v>74</v>
      </c>
      <c r="E185" t="s">
        <v>74</v>
      </c>
      <c r="F185" t="s">
        <v>3647</v>
      </c>
      <c r="G185" t="s">
        <v>74</v>
      </c>
      <c r="H185" t="s">
        <v>74</v>
      </c>
      <c r="I185" t="s">
        <v>3648</v>
      </c>
      <c r="J185" t="s">
        <v>3649</v>
      </c>
      <c r="K185" t="s">
        <v>74</v>
      </c>
      <c r="L185" t="s">
        <v>74</v>
      </c>
      <c r="M185" t="s">
        <v>78</v>
      </c>
      <c r="N185" t="s">
        <v>79</v>
      </c>
      <c r="O185" t="s">
        <v>74</v>
      </c>
      <c r="P185" t="s">
        <v>74</v>
      </c>
      <c r="Q185" t="s">
        <v>74</v>
      </c>
      <c r="R185" t="s">
        <v>74</v>
      </c>
      <c r="S185" t="s">
        <v>74</v>
      </c>
      <c r="T185" t="s">
        <v>3650</v>
      </c>
      <c r="U185" t="s">
        <v>3651</v>
      </c>
      <c r="V185" t="s">
        <v>3652</v>
      </c>
      <c r="W185" t="s">
        <v>3653</v>
      </c>
      <c r="X185" t="s">
        <v>3654</v>
      </c>
      <c r="Y185" t="s">
        <v>3655</v>
      </c>
      <c r="Z185" t="s">
        <v>3656</v>
      </c>
      <c r="AA185" t="s">
        <v>3657</v>
      </c>
      <c r="AB185" t="s">
        <v>3658</v>
      </c>
      <c r="AC185" t="s">
        <v>3659</v>
      </c>
      <c r="AD185" t="s">
        <v>3660</v>
      </c>
      <c r="AE185" t="s">
        <v>3661</v>
      </c>
      <c r="AF185" t="s">
        <v>74</v>
      </c>
      <c r="AG185">
        <v>121</v>
      </c>
      <c r="AH185">
        <v>191</v>
      </c>
      <c r="AI185">
        <v>212</v>
      </c>
      <c r="AJ185">
        <v>3</v>
      </c>
      <c r="AK185">
        <v>144</v>
      </c>
      <c r="AL185" t="s">
        <v>648</v>
      </c>
      <c r="AM185" t="s">
        <v>265</v>
      </c>
      <c r="AN185" t="s">
        <v>649</v>
      </c>
      <c r="AO185" t="s">
        <v>3662</v>
      </c>
      <c r="AP185" t="s">
        <v>3663</v>
      </c>
      <c r="AQ185" t="s">
        <v>74</v>
      </c>
      <c r="AR185" t="s">
        <v>3664</v>
      </c>
      <c r="AS185" t="s">
        <v>3665</v>
      </c>
      <c r="AT185" t="s">
        <v>2226</v>
      </c>
      <c r="AU185">
        <v>2010</v>
      </c>
      <c r="AV185">
        <v>32</v>
      </c>
      <c r="AW185">
        <v>10</v>
      </c>
      <c r="AX185" t="s">
        <v>74</v>
      </c>
      <c r="AY185" t="s">
        <v>74</v>
      </c>
      <c r="AZ185" t="s">
        <v>74</v>
      </c>
      <c r="BA185" t="s">
        <v>74</v>
      </c>
      <c r="BB185">
        <v>1355</v>
      </c>
      <c r="BC185">
        <v>1368</v>
      </c>
      <c r="BD185" t="s">
        <v>74</v>
      </c>
      <c r="BE185" t="s">
        <v>3666</v>
      </c>
      <c r="BF185" t="str">
        <f>HYPERLINK("http://dx.doi.org/10.1093/plankt/fbq062","http://dx.doi.org/10.1093/plankt/fbq062")</f>
        <v>http://dx.doi.org/10.1093/plankt/fbq062</v>
      </c>
      <c r="BG185" t="s">
        <v>74</v>
      </c>
      <c r="BH185" t="s">
        <v>74</v>
      </c>
      <c r="BI185">
        <v>14</v>
      </c>
      <c r="BJ185" t="s">
        <v>930</v>
      </c>
      <c r="BK185" t="s">
        <v>100</v>
      </c>
      <c r="BL185" t="s">
        <v>930</v>
      </c>
      <c r="BM185" t="s">
        <v>3667</v>
      </c>
      <c r="BN185">
        <v>20824042</v>
      </c>
      <c r="BO185" t="s">
        <v>3668</v>
      </c>
      <c r="BP185" t="s">
        <v>74</v>
      </c>
      <c r="BQ185" t="s">
        <v>74</v>
      </c>
      <c r="BR185" t="s">
        <v>104</v>
      </c>
      <c r="BS185" t="s">
        <v>3669</v>
      </c>
      <c r="BT185" t="str">
        <f>HYPERLINK("https%3A%2F%2Fwww.webofscience.com%2Fwos%2Fwoscc%2Ffull-record%2FWOS:000281536000001","View Full Record in Web of Science")</f>
        <v>View Full Record in Web of Science</v>
      </c>
    </row>
    <row r="186" spans="1:72" x14ac:dyDescent="0.15">
      <c r="A186" t="s">
        <v>72</v>
      </c>
      <c r="B186" t="s">
        <v>3670</v>
      </c>
      <c r="C186" t="s">
        <v>74</v>
      </c>
      <c r="D186" t="s">
        <v>74</v>
      </c>
      <c r="E186" t="s">
        <v>74</v>
      </c>
      <c r="F186" t="s">
        <v>3671</v>
      </c>
      <c r="G186" t="s">
        <v>74</v>
      </c>
      <c r="H186" t="s">
        <v>74</v>
      </c>
      <c r="I186" t="s">
        <v>3672</v>
      </c>
      <c r="J186" t="s">
        <v>2408</v>
      </c>
      <c r="K186" t="s">
        <v>74</v>
      </c>
      <c r="L186" t="s">
        <v>74</v>
      </c>
      <c r="M186" t="s">
        <v>78</v>
      </c>
      <c r="N186" t="s">
        <v>79</v>
      </c>
      <c r="O186" t="s">
        <v>74</v>
      </c>
      <c r="P186" t="s">
        <v>74</v>
      </c>
      <c r="Q186" t="s">
        <v>74</v>
      </c>
      <c r="R186" t="s">
        <v>74</v>
      </c>
      <c r="S186" t="s">
        <v>74</v>
      </c>
      <c r="T186" t="s">
        <v>3673</v>
      </c>
      <c r="U186" t="s">
        <v>3674</v>
      </c>
      <c r="V186" t="s">
        <v>3675</v>
      </c>
      <c r="W186" t="s">
        <v>3676</v>
      </c>
      <c r="X186" t="s">
        <v>3677</v>
      </c>
      <c r="Y186" t="s">
        <v>3678</v>
      </c>
      <c r="Z186" t="s">
        <v>3679</v>
      </c>
      <c r="AA186" t="s">
        <v>3680</v>
      </c>
      <c r="AB186" t="s">
        <v>3681</v>
      </c>
      <c r="AC186" t="s">
        <v>3682</v>
      </c>
      <c r="AD186" t="s">
        <v>3683</v>
      </c>
      <c r="AE186" t="s">
        <v>3684</v>
      </c>
      <c r="AF186" t="s">
        <v>74</v>
      </c>
      <c r="AG186">
        <v>65</v>
      </c>
      <c r="AH186">
        <v>57</v>
      </c>
      <c r="AI186">
        <v>62</v>
      </c>
      <c r="AJ186">
        <v>1</v>
      </c>
      <c r="AK186">
        <v>13</v>
      </c>
      <c r="AL186" t="s">
        <v>923</v>
      </c>
      <c r="AM186" t="s">
        <v>339</v>
      </c>
      <c r="AN186" t="s">
        <v>340</v>
      </c>
      <c r="AO186" t="s">
        <v>2420</v>
      </c>
      <c r="AP186" t="s">
        <v>2421</v>
      </c>
      <c r="AQ186" t="s">
        <v>74</v>
      </c>
      <c r="AR186" t="s">
        <v>2422</v>
      </c>
      <c r="AS186" t="s">
        <v>2423</v>
      </c>
      <c r="AT186" t="s">
        <v>2226</v>
      </c>
      <c r="AU186">
        <v>2010</v>
      </c>
      <c r="AV186">
        <v>25</v>
      </c>
      <c r="AW186">
        <v>7</v>
      </c>
      <c r="AX186" t="s">
        <v>74</v>
      </c>
      <c r="AY186" t="s">
        <v>74</v>
      </c>
      <c r="AZ186" t="s">
        <v>74</v>
      </c>
      <c r="BA186" t="s">
        <v>74</v>
      </c>
      <c r="BB186">
        <v>1063</v>
      </c>
      <c r="BC186">
        <v>1075</v>
      </c>
      <c r="BD186" t="s">
        <v>74</v>
      </c>
      <c r="BE186" t="s">
        <v>3685</v>
      </c>
      <c r="BF186" t="str">
        <f>HYPERLINK("http://dx.doi.org/10.1002/jqs.1263","http://dx.doi.org/10.1002/jqs.1263")</f>
        <v>http://dx.doi.org/10.1002/jqs.1263</v>
      </c>
      <c r="BG186" t="s">
        <v>74</v>
      </c>
      <c r="BH186" t="s">
        <v>74</v>
      </c>
      <c r="BI186">
        <v>13</v>
      </c>
      <c r="BJ186" t="s">
        <v>1409</v>
      </c>
      <c r="BK186" t="s">
        <v>100</v>
      </c>
      <c r="BL186" t="s">
        <v>1410</v>
      </c>
      <c r="BM186" t="s">
        <v>2425</v>
      </c>
      <c r="BN186" t="s">
        <v>74</v>
      </c>
      <c r="BO186" t="s">
        <v>74</v>
      </c>
      <c r="BP186" t="s">
        <v>74</v>
      </c>
      <c r="BQ186" t="s">
        <v>74</v>
      </c>
      <c r="BR186" t="s">
        <v>104</v>
      </c>
      <c r="BS186" t="s">
        <v>3686</v>
      </c>
      <c r="BT186" t="str">
        <f>HYPERLINK("https%3A%2F%2Fwww.webofscience.com%2Fwos%2Fwoscc%2Ffull-record%2FWOS:000283697100003","View Full Record in Web of Science")</f>
        <v>View Full Record in Web of Science</v>
      </c>
    </row>
    <row r="187" spans="1:72" x14ac:dyDescent="0.15">
      <c r="A187" t="s">
        <v>72</v>
      </c>
      <c r="B187" t="s">
        <v>3687</v>
      </c>
      <c r="C187" t="s">
        <v>74</v>
      </c>
      <c r="D187" t="s">
        <v>74</v>
      </c>
      <c r="E187" t="s">
        <v>74</v>
      </c>
      <c r="F187" t="s">
        <v>3688</v>
      </c>
      <c r="G187" t="s">
        <v>74</v>
      </c>
      <c r="H187" t="s">
        <v>74</v>
      </c>
      <c r="I187" t="s">
        <v>3689</v>
      </c>
      <c r="J187" t="s">
        <v>2408</v>
      </c>
      <c r="K187" t="s">
        <v>74</v>
      </c>
      <c r="L187" t="s">
        <v>74</v>
      </c>
      <c r="M187" t="s">
        <v>78</v>
      </c>
      <c r="N187" t="s">
        <v>79</v>
      </c>
      <c r="O187" t="s">
        <v>74</v>
      </c>
      <c r="P187" t="s">
        <v>74</v>
      </c>
      <c r="Q187" t="s">
        <v>74</v>
      </c>
      <c r="R187" t="s">
        <v>74</v>
      </c>
      <c r="S187" t="s">
        <v>74</v>
      </c>
      <c r="T187" t="s">
        <v>3690</v>
      </c>
      <c r="U187" t="s">
        <v>3691</v>
      </c>
      <c r="V187" t="s">
        <v>3692</v>
      </c>
      <c r="W187" t="s">
        <v>3693</v>
      </c>
      <c r="X187" t="s">
        <v>3694</v>
      </c>
      <c r="Y187" t="s">
        <v>3695</v>
      </c>
      <c r="Z187" t="s">
        <v>3696</v>
      </c>
      <c r="AA187" t="s">
        <v>3697</v>
      </c>
      <c r="AB187" t="s">
        <v>74</v>
      </c>
      <c r="AC187" t="s">
        <v>3698</v>
      </c>
      <c r="AD187" t="s">
        <v>3699</v>
      </c>
      <c r="AE187" t="s">
        <v>3700</v>
      </c>
      <c r="AF187" t="s">
        <v>74</v>
      </c>
      <c r="AG187">
        <v>35</v>
      </c>
      <c r="AH187">
        <v>20</v>
      </c>
      <c r="AI187">
        <v>26</v>
      </c>
      <c r="AJ187">
        <v>0</v>
      </c>
      <c r="AK187">
        <v>12</v>
      </c>
      <c r="AL187" t="s">
        <v>3701</v>
      </c>
      <c r="AM187" t="s">
        <v>3702</v>
      </c>
      <c r="AN187" t="s">
        <v>3703</v>
      </c>
      <c r="AO187" t="s">
        <v>2420</v>
      </c>
      <c r="AP187" t="s">
        <v>74</v>
      </c>
      <c r="AQ187" t="s">
        <v>74</v>
      </c>
      <c r="AR187" t="s">
        <v>2422</v>
      </c>
      <c r="AS187" t="s">
        <v>2423</v>
      </c>
      <c r="AT187" t="s">
        <v>2226</v>
      </c>
      <c r="AU187">
        <v>2010</v>
      </c>
      <c r="AV187">
        <v>25</v>
      </c>
      <c r="AW187">
        <v>7</v>
      </c>
      <c r="AX187" t="s">
        <v>74</v>
      </c>
      <c r="AY187" t="s">
        <v>74</v>
      </c>
      <c r="AZ187" t="s">
        <v>74</v>
      </c>
      <c r="BA187" t="s">
        <v>74</v>
      </c>
      <c r="BB187">
        <v>1138</v>
      </c>
      <c r="BC187">
        <v>1143</v>
      </c>
      <c r="BD187" t="s">
        <v>74</v>
      </c>
      <c r="BE187" t="s">
        <v>3704</v>
      </c>
      <c r="BF187" t="str">
        <f>HYPERLINK("http://dx.doi.org/10.1002/jqs.1392","http://dx.doi.org/10.1002/jqs.1392")</f>
        <v>http://dx.doi.org/10.1002/jqs.1392</v>
      </c>
      <c r="BG187" t="s">
        <v>74</v>
      </c>
      <c r="BH187" t="s">
        <v>74</v>
      </c>
      <c r="BI187">
        <v>6</v>
      </c>
      <c r="BJ187" t="s">
        <v>1409</v>
      </c>
      <c r="BK187" t="s">
        <v>100</v>
      </c>
      <c r="BL187" t="s">
        <v>1410</v>
      </c>
      <c r="BM187" t="s">
        <v>2425</v>
      </c>
      <c r="BN187" t="s">
        <v>74</v>
      </c>
      <c r="BO187" t="s">
        <v>74</v>
      </c>
      <c r="BP187" t="s">
        <v>74</v>
      </c>
      <c r="BQ187" t="s">
        <v>74</v>
      </c>
      <c r="BR187" t="s">
        <v>104</v>
      </c>
      <c r="BS187" t="s">
        <v>3705</v>
      </c>
      <c r="BT187" t="str">
        <f>HYPERLINK("https%3A%2F%2Fwww.webofscience.com%2Fwos%2Fwoscc%2Ffull-record%2FWOS:000283697100009","View Full Record in Web of Science")</f>
        <v>View Full Record in Web of Science</v>
      </c>
    </row>
    <row r="188" spans="1:72" x14ac:dyDescent="0.15">
      <c r="A188" t="s">
        <v>72</v>
      </c>
      <c r="B188" t="s">
        <v>3706</v>
      </c>
      <c r="C188" t="s">
        <v>74</v>
      </c>
      <c r="D188" t="s">
        <v>74</v>
      </c>
      <c r="E188" t="s">
        <v>74</v>
      </c>
      <c r="F188" t="s">
        <v>3707</v>
      </c>
      <c r="G188" t="s">
        <v>74</v>
      </c>
      <c r="H188" t="s">
        <v>74</v>
      </c>
      <c r="I188" t="s">
        <v>3708</v>
      </c>
      <c r="J188" t="s">
        <v>3709</v>
      </c>
      <c r="K188" t="s">
        <v>74</v>
      </c>
      <c r="L188" t="s">
        <v>74</v>
      </c>
      <c r="M188" t="s">
        <v>78</v>
      </c>
      <c r="N188" t="s">
        <v>79</v>
      </c>
      <c r="O188" t="s">
        <v>74</v>
      </c>
      <c r="P188" t="s">
        <v>74</v>
      </c>
      <c r="Q188" t="s">
        <v>74</v>
      </c>
      <c r="R188" t="s">
        <v>74</v>
      </c>
      <c r="S188" t="s">
        <v>74</v>
      </c>
      <c r="T188" t="s">
        <v>3710</v>
      </c>
      <c r="U188" t="s">
        <v>3711</v>
      </c>
      <c r="V188" t="s">
        <v>3712</v>
      </c>
      <c r="W188" t="s">
        <v>3713</v>
      </c>
      <c r="X188" t="s">
        <v>3714</v>
      </c>
      <c r="Y188" t="s">
        <v>3715</v>
      </c>
      <c r="Z188" t="s">
        <v>3716</v>
      </c>
      <c r="AA188" t="s">
        <v>3717</v>
      </c>
      <c r="AB188" t="s">
        <v>3718</v>
      </c>
      <c r="AC188" t="s">
        <v>3719</v>
      </c>
      <c r="AD188" t="s">
        <v>3720</v>
      </c>
      <c r="AE188" t="s">
        <v>3721</v>
      </c>
      <c r="AF188" t="s">
        <v>74</v>
      </c>
      <c r="AG188">
        <v>32</v>
      </c>
      <c r="AH188">
        <v>19</v>
      </c>
      <c r="AI188">
        <v>22</v>
      </c>
      <c r="AJ188">
        <v>3</v>
      </c>
      <c r="AK188">
        <v>90</v>
      </c>
      <c r="AL188" t="s">
        <v>851</v>
      </c>
      <c r="AM188" t="s">
        <v>310</v>
      </c>
      <c r="AN188" t="s">
        <v>852</v>
      </c>
      <c r="AO188" t="s">
        <v>3722</v>
      </c>
      <c r="AP188" t="s">
        <v>3723</v>
      </c>
      <c r="AQ188" t="s">
        <v>74</v>
      </c>
      <c r="AR188" t="s">
        <v>3724</v>
      </c>
      <c r="AS188" t="s">
        <v>3725</v>
      </c>
      <c r="AT188" t="s">
        <v>2226</v>
      </c>
      <c r="AU188">
        <v>2010</v>
      </c>
      <c r="AV188">
        <v>90</v>
      </c>
      <c r="AW188">
        <v>7</v>
      </c>
      <c r="AX188" t="s">
        <v>74</v>
      </c>
      <c r="AY188" t="s">
        <v>74</v>
      </c>
      <c r="AZ188" t="s">
        <v>74</v>
      </c>
      <c r="BA188" t="s">
        <v>74</v>
      </c>
      <c r="BB188">
        <v>1375</v>
      </c>
      <c r="BC188">
        <v>1378</v>
      </c>
      <c r="BD188" t="s">
        <v>74</v>
      </c>
      <c r="BE188" t="s">
        <v>3726</v>
      </c>
      <c r="BF188" t="str">
        <f>HYPERLINK("http://dx.doi.org/10.1017/S0025315409991494","http://dx.doi.org/10.1017/S0025315409991494")</f>
        <v>http://dx.doi.org/10.1017/S0025315409991494</v>
      </c>
      <c r="BG188" t="s">
        <v>74</v>
      </c>
      <c r="BH188" t="s">
        <v>74</v>
      </c>
      <c r="BI188">
        <v>4</v>
      </c>
      <c r="BJ188" t="s">
        <v>515</v>
      </c>
      <c r="BK188" t="s">
        <v>100</v>
      </c>
      <c r="BL188" t="s">
        <v>515</v>
      </c>
      <c r="BM188" t="s">
        <v>3727</v>
      </c>
      <c r="BN188" t="s">
        <v>74</v>
      </c>
      <c r="BO188" t="s">
        <v>74</v>
      </c>
      <c r="BP188" t="s">
        <v>74</v>
      </c>
      <c r="BQ188" t="s">
        <v>74</v>
      </c>
      <c r="BR188" t="s">
        <v>104</v>
      </c>
      <c r="BS188" t="s">
        <v>3728</v>
      </c>
      <c r="BT188" t="str">
        <f>HYPERLINK("https%3A%2F%2Fwww.webofscience.com%2Fwos%2Fwoscc%2Ffull-record%2FWOS:000282489900012","View Full Record in Web of Science")</f>
        <v>View Full Record in Web of Science</v>
      </c>
    </row>
    <row r="189" spans="1:72" x14ac:dyDescent="0.15">
      <c r="A189" t="s">
        <v>72</v>
      </c>
      <c r="B189" t="s">
        <v>3729</v>
      </c>
      <c r="C189" t="s">
        <v>74</v>
      </c>
      <c r="D189" t="s">
        <v>74</v>
      </c>
      <c r="E189" t="s">
        <v>74</v>
      </c>
      <c r="F189" t="s">
        <v>3730</v>
      </c>
      <c r="G189" t="s">
        <v>74</v>
      </c>
      <c r="H189" t="s">
        <v>74</v>
      </c>
      <c r="I189" t="s">
        <v>3731</v>
      </c>
      <c r="J189" t="s">
        <v>936</v>
      </c>
      <c r="K189" t="s">
        <v>74</v>
      </c>
      <c r="L189" t="s">
        <v>74</v>
      </c>
      <c r="M189" t="s">
        <v>78</v>
      </c>
      <c r="N189" t="s">
        <v>79</v>
      </c>
      <c r="O189" t="s">
        <v>74</v>
      </c>
      <c r="P189" t="s">
        <v>74</v>
      </c>
      <c r="Q189" t="s">
        <v>74</v>
      </c>
      <c r="R189" t="s">
        <v>74</v>
      </c>
      <c r="S189" t="s">
        <v>74</v>
      </c>
      <c r="T189" t="s">
        <v>74</v>
      </c>
      <c r="U189" t="s">
        <v>3732</v>
      </c>
      <c r="V189" t="s">
        <v>3733</v>
      </c>
      <c r="W189" t="s">
        <v>3734</v>
      </c>
      <c r="X189" t="s">
        <v>3735</v>
      </c>
      <c r="Y189" t="s">
        <v>3736</v>
      </c>
      <c r="Z189" t="s">
        <v>3737</v>
      </c>
      <c r="AA189" t="s">
        <v>74</v>
      </c>
      <c r="AB189" t="s">
        <v>3738</v>
      </c>
      <c r="AC189" t="s">
        <v>3739</v>
      </c>
      <c r="AD189" t="s">
        <v>3740</v>
      </c>
      <c r="AE189" t="s">
        <v>3741</v>
      </c>
      <c r="AF189" t="s">
        <v>74</v>
      </c>
      <c r="AG189">
        <v>50</v>
      </c>
      <c r="AH189">
        <v>23</v>
      </c>
      <c r="AI189">
        <v>25</v>
      </c>
      <c r="AJ189">
        <v>2</v>
      </c>
      <c r="AK189">
        <v>38</v>
      </c>
      <c r="AL189" t="s">
        <v>945</v>
      </c>
      <c r="AM189" t="s">
        <v>946</v>
      </c>
      <c r="AN189" t="s">
        <v>947</v>
      </c>
      <c r="AO189" t="s">
        <v>948</v>
      </c>
      <c r="AP189" t="s">
        <v>949</v>
      </c>
      <c r="AQ189" t="s">
        <v>74</v>
      </c>
      <c r="AR189" t="s">
        <v>950</v>
      </c>
      <c r="AS189" t="s">
        <v>951</v>
      </c>
      <c r="AT189" t="s">
        <v>2226</v>
      </c>
      <c r="AU189">
        <v>2010</v>
      </c>
      <c r="AV189">
        <v>157</v>
      </c>
      <c r="AW189">
        <v>10</v>
      </c>
      <c r="AX189" t="s">
        <v>74</v>
      </c>
      <c r="AY189" t="s">
        <v>74</v>
      </c>
      <c r="AZ189" t="s">
        <v>74</v>
      </c>
      <c r="BA189" t="s">
        <v>74</v>
      </c>
      <c r="BB189">
        <v>2187</v>
      </c>
      <c r="BC189">
        <v>2194</v>
      </c>
      <c r="BD189" t="s">
        <v>74</v>
      </c>
      <c r="BE189" t="s">
        <v>3742</v>
      </c>
      <c r="BF189" t="str">
        <f>HYPERLINK("http://dx.doi.org/10.1007/s00227-010-1483-8","http://dx.doi.org/10.1007/s00227-010-1483-8")</f>
        <v>http://dx.doi.org/10.1007/s00227-010-1483-8</v>
      </c>
      <c r="BG189" t="s">
        <v>74</v>
      </c>
      <c r="BH189" t="s">
        <v>74</v>
      </c>
      <c r="BI189">
        <v>8</v>
      </c>
      <c r="BJ189" t="s">
        <v>515</v>
      </c>
      <c r="BK189" t="s">
        <v>100</v>
      </c>
      <c r="BL189" t="s">
        <v>515</v>
      </c>
      <c r="BM189" t="s">
        <v>3743</v>
      </c>
      <c r="BN189" t="s">
        <v>74</v>
      </c>
      <c r="BO189" t="s">
        <v>74</v>
      </c>
      <c r="BP189" t="s">
        <v>74</v>
      </c>
      <c r="BQ189" t="s">
        <v>74</v>
      </c>
      <c r="BR189" t="s">
        <v>104</v>
      </c>
      <c r="BS189" t="s">
        <v>3744</v>
      </c>
      <c r="BT189" t="str">
        <f>HYPERLINK("https%3A%2F%2Fwww.webofscience.com%2Fwos%2Fwoscc%2Ffull-record%2FWOS:000281792000008","View Full Record in Web of Science")</f>
        <v>View Full Record in Web of Science</v>
      </c>
    </row>
    <row r="190" spans="1:72" x14ac:dyDescent="0.15">
      <c r="A190" t="s">
        <v>72</v>
      </c>
      <c r="B190" t="s">
        <v>3745</v>
      </c>
      <c r="C190" t="s">
        <v>74</v>
      </c>
      <c r="D190" t="s">
        <v>74</v>
      </c>
      <c r="E190" t="s">
        <v>74</v>
      </c>
      <c r="F190" t="s">
        <v>3746</v>
      </c>
      <c r="G190" t="s">
        <v>74</v>
      </c>
      <c r="H190" t="s">
        <v>74</v>
      </c>
      <c r="I190" t="s">
        <v>3747</v>
      </c>
      <c r="J190" t="s">
        <v>936</v>
      </c>
      <c r="K190" t="s">
        <v>74</v>
      </c>
      <c r="L190" t="s">
        <v>74</v>
      </c>
      <c r="M190" t="s">
        <v>78</v>
      </c>
      <c r="N190" t="s">
        <v>79</v>
      </c>
      <c r="O190" t="s">
        <v>74</v>
      </c>
      <c r="P190" t="s">
        <v>74</v>
      </c>
      <c r="Q190" t="s">
        <v>74</v>
      </c>
      <c r="R190" t="s">
        <v>74</v>
      </c>
      <c r="S190" t="s">
        <v>74</v>
      </c>
      <c r="T190" t="s">
        <v>74</v>
      </c>
      <c r="U190" t="s">
        <v>3748</v>
      </c>
      <c r="V190" t="s">
        <v>3749</v>
      </c>
      <c r="W190" t="s">
        <v>3750</v>
      </c>
      <c r="X190" t="s">
        <v>3751</v>
      </c>
      <c r="Y190" t="s">
        <v>3752</v>
      </c>
      <c r="Z190" t="s">
        <v>3753</v>
      </c>
      <c r="AA190" t="s">
        <v>3754</v>
      </c>
      <c r="AB190" t="s">
        <v>74</v>
      </c>
      <c r="AC190" t="s">
        <v>693</v>
      </c>
      <c r="AD190" t="s">
        <v>337</v>
      </c>
      <c r="AE190" t="s">
        <v>74</v>
      </c>
      <c r="AF190" t="s">
        <v>74</v>
      </c>
      <c r="AG190">
        <v>59</v>
      </c>
      <c r="AH190">
        <v>33</v>
      </c>
      <c r="AI190">
        <v>36</v>
      </c>
      <c r="AJ190">
        <v>0</v>
      </c>
      <c r="AK190">
        <v>10</v>
      </c>
      <c r="AL190" t="s">
        <v>945</v>
      </c>
      <c r="AM190" t="s">
        <v>946</v>
      </c>
      <c r="AN190" t="s">
        <v>947</v>
      </c>
      <c r="AO190" t="s">
        <v>948</v>
      </c>
      <c r="AP190" t="s">
        <v>949</v>
      </c>
      <c r="AQ190" t="s">
        <v>74</v>
      </c>
      <c r="AR190" t="s">
        <v>950</v>
      </c>
      <c r="AS190" t="s">
        <v>951</v>
      </c>
      <c r="AT190" t="s">
        <v>2226</v>
      </c>
      <c r="AU190">
        <v>2010</v>
      </c>
      <c r="AV190">
        <v>157</v>
      </c>
      <c r="AW190">
        <v>10</v>
      </c>
      <c r="AX190" t="s">
        <v>74</v>
      </c>
      <c r="AY190" t="s">
        <v>74</v>
      </c>
      <c r="AZ190" t="s">
        <v>74</v>
      </c>
      <c r="BA190" t="s">
        <v>74</v>
      </c>
      <c r="BB190">
        <v>2205</v>
      </c>
      <c r="BC190">
        <v>2213</v>
      </c>
      <c r="BD190" t="s">
        <v>74</v>
      </c>
      <c r="BE190" t="s">
        <v>3755</v>
      </c>
      <c r="BF190" t="str">
        <f>HYPERLINK("http://dx.doi.org/10.1007/s00227-010-1486-5","http://dx.doi.org/10.1007/s00227-010-1486-5")</f>
        <v>http://dx.doi.org/10.1007/s00227-010-1486-5</v>
      </c>
      <c r="BG190" t="s">
        <v>74</v>
      </c>
      <c r="BH190" t="s">
        <v>74</v>
      </c>
      <c r="BI190">
        <v>9</v>
      </c>
      <c r="BJ190" t="s">
        <v>515</v>
      </c>
      <c r="BK190" t="s">
        <v>100</v>
      </c>
      <c r="BL190" t="s">
        <v>515</v>
      </c>
      <c r="BM190" t="s">
        <v>3743</v>
      </c>
      <c r="BN190" t="s">
        <v>74</v>
      </c>
      <c r="BO190" t="s">
        <v>74</v>
      </c>
      <c r="BP190" t="s">
        <v>74</v>
      </c>
      <c r="BQ190" t="s">
        <v>74</v>
      </c>
      <c r="BR190" t="s">
        <v>104</v>
      </c>
      <c r="BS190" t="s">
        <v>3756</v>
      </c>
      <c r="BT190" t="str">
        <f>HYPERLINK("https%3A%2F%2Fwww.webofscience.com%2Fwos%2Fwoscc%2Ffull-record%2FWOS:000281792000010","View Full Record in Web of Science")</f>
        <v>View Full Record in Web of Science</v>
      </c>
    </row>
    <row r="191" spans="1:72" x14ac:dyDescent="0.15">
      <c r="A191" t="s">
        <v>72</v>
      </c>
      <c r="B191" t="s">
        <v>3757</v>
      </c>
      <c r="C191" t="s">
        <v>74</v>
      </c>
      <c r="D191" t="s">
        <v>74</v>
      </c>
      <c r="E191" t="s">
        <v>74</v>
      </c>
      <c r="F191" t="s">
        <v>3758</v>
      </c>
      <c r="G191" t="s">
        <v>74</v>
      </c>
      <c r="H191" t="s">
        <v>74</v>
      </c>
      <c r="I191" t="s">
        <v>3759</v>
      </c>
      <c r="J191" t="s">
        <v>936</v>
      </c>
      <c r="K191" t="s">
        <v>74</v>
      </c>
      <c r="L191" t="s">
        <v>74</v>
      </c>
      <c r="M191" t="s">
        <v>78</v>
      </c>
      <c r="N191" t="s">
        <v>79</v>
      </c>
      <c r="O191" t="s">
        <v>74</v>
      </c>
      <c r="P191" t="s">
        <v>74</v>
      </c>
      <c r="Q191" t="s">
        <v>74</v>
      </c>
      <c r="R191" t="s">
        <v>74</v>
      </c>
      <c r="S191" t="s">
        <v>74</v>
      </c>
      <c r="T191" t="s">
        <v>74</v>
      </c>
      <c r="U191" t="s">
        <v>3760</v>
      </c>
      <c r="V191" t="s">
        <v>3761</v>
      </c>
      <c r="W191" t="s">
        <v>3762</v>
      </c>
      <c r="X191" t="s">
        <v>3763</v>
      </c>
      <c r="Y191" t="s">
        <v>3764</v>
      </c>
      <c r="Z191" t="s">
        <v>3765</v>
      </c>
      <c r="AA191" t="s">
        <v>3766</v>
      </c>
      <c r="AB191" t="s">
        <v>3767</v>
      </c>
      <c r="AC191" t="s">
        <v>3768</v>
      </c>
      <c r="AD191" t="s">
        <v>3769</v>
      </c>
      <c r="AE191" t="s">
        <v>3770</v>
      </c>
      <c r="AF191" t="s">
        <v>74</v>
      </c>
      <c r="AG191">
        <v>73</v>
      </c>
      <c r="AH191">
        <v>6</v>
      </c>
      <c r="AI191">
        <v>7</v>
      </c>
      <c r="AJ191">
        <v>1</v>
      </c>
      <c r="AK191">
        <v>16</v>
      </c>
      <c r="AL191" t="s">
        <v>945</v>
      </c>
      <c r="AM191" t="s">
        <v>946</v>
      </c>
      <c r="AN191" t="s">
        <v>947</v>
      </c>
      <c r="AO191" t="s">
        <v>948</v>
      </c>
      <c r="AP191" t="s">
        <v>949</v>
      </c>
      <c r="AQ191" t="s">
        <v>74</v>
      </c>
      <c r="AR191" t="s">
        <v>950</v>
      </c>
      <c r="AS191" t="s">
        <v>951</v>
      </c>
      <c r="AT191" t="s">
        <v>2226</v>
      </c>
      <c r="AU191">
        <v>2010</v>
      </c>
      <c r="AV191">
        <v>157</v>
      </c>
      <c r="AW191">
        <v>10</v>
      </c>
      <c r="AX191" t="s">
        <v>74</v>
      </c>
      <c r="AY191" t="s">
        <v>74</v>
      </c>
      <c r="AZ191" t="s">
        <v>74</v>
      </c>
      <c r="BA191" t="s">
        <v>74</v>
      </c>
      <c r="BB191">
        <v>2263</v>
      </c>
      <c r="BC191">
        <v>2278</v>
      </c>
      <c r="BD191" t="s">
        <v>74</v>
      </c>
      <c r="BE191" t="s">
        <v>3771</v>
      </c>
      <c r="BF191" t="str">
        <f>HYPERLINK("http://dx.doi.org/10.1007/s00227-010-1494-5","http://dx.doi.org/10.1007/s00227-010-1494-5")</f>
        <v>http://dx.doi.org/10.1007/s00227-010-1494-5</v>
      </c>
      <c r="BG191" t="s">
        <v>74</v>
      </c>
      <c r="BH191" t="s">
        <v>74</v>
      </c>
      <c r="BI191">
        <v>16</v>
      </c>
      <c r="BJ191" t="s">
        <v>515</v>
      </c>
      <c r="BK191" t="s">
        <v>100</v>
      </c>
      <c r="BL191" t="s">
        <v>515</v>
      </c>
      <c r="BM191" t="s">
        <v>3743</v>
      </c>
      <c r="BN191" t="s">
        <v>74</v>
      </c>
      <c r="BO191" t="s">
        <v>74</v>
      </c>
      <c r="BP191" t="s">
        <v>74</v>
      </c>
      <c r="BQ191" t="s">
        <v>74</v>
      </c>
      <c r="BR191" t="s">
        <v>104</v>
      </c>
      <c r="BS191" t="s">
        <v>3772</v>
      </c>
      <c r="BT191" t="str">
        <f>HYPERLINK("https%3A%2F%2Fwww.webofscience.com%2Fwos%2Fwoscc%2Ffull-record%2FWOS:000281792000015","View Full Record in Web of Science")</f>
        <v>View Full Record in Web of Science</v>
      </c>
    </row>
    <row r="192" spans="1:72" x14ac:dyDescent="0.15">
      <c r="A192" t="s">
        <v>72</v>
      </c>
      <c r="B192" t="s">
        <v>3773</v>
      </c>
      <c r="C192" t="s">
        <v>74</v>
      </c>
      <c r="D192" t="s">
        <v>74</v>
      </c>
      <c r="E192" t="s">
        <v>74</v>
      </c>
      <c r="F192" t="s">
        <v>3774</v>
      </c>
      <c r="G192" t="s">
        <v>74</v>
      </c>
      <c r="H192" t="s">
        <v>74</v>
      </c>
      <c r="I192" t="s">
        <v>3775</v>
      </c>
      <c r="J192" t="s">
        <v>936</v>
      </c>
      <c r="K192" t="s">
        <v>74</v>
      </c>
      <c r="L192" t="s">
        <v>74</v>
      </c>
      <c r="M192" t="s">
        <v>78</v>
      </c>
      <c r="N192" t="s">
        <v>79</v>
      </c>
      <c r="O192" t="s">
        <v>74</v>
      </c>
      <c r="P192" t="s">
        <v>74</v>
      </c>
      <c r="Q192" t="s">
        <v>74</v>
      </c>
      <c r="R192" t="s">
        <v>74</v>
      </c>
      <c r="S192" t="s">
        <v>74</v>
      </c>
      <c r="T192" t="s">
        <v>74</v>
      </c>
      <c r="U192" t="s">
        <v>3776</v>
      </c>
      <c r="V192" t="s">
        <v>3777</v>
      </c>
      <c r="W192" t="s">
        <v>3778</v>
      </c>
      <c r="X192" t="s">
        <v>3779</v>
      </c>
      <c r="Y192" t="s">
        <v>3780</v>
      </c>
      <c r="Z192" t="s">
        <v>3781</v>
      </c>
      <c r="AA192" t="s">
        <v>3782</v>
      </c>
      <c r="AB192" t="s">
        <v>3783</v>
      </c>
      <c r="AC192" t="s">
        <v>74</v>
      </c>
      <c r="AD192" t="s">
        <v>74</v>
      </c>
      <c r="AE192" t="s">
        <v>74</v>
      </c>
      <c r="AF192" t="s">
        <v>74</v>
      </c>
      <c r="AG192">
        <v>73</v>
      </c>
      <c r="AH192">
        <v>27</v>
      </c>
      <c r="AI192">
        <v>27</v>
      </c>
      <c r="AJ192">
        <v>0</v>
      </c>
      <c r="AK192">
        <v>14</v>
      </c>
      <c r="AL192" t="s">
        <v>464</v>
      </c>
      <c r="AM192" t="s">
        <v>310</v>
      </c>
      <c r="AN192" t="s">
        <v>465</v>
      </c>
      <c r="AO192" t="s">
        <v>948</v>
      </c>
      <c r="AP192" t="s">
        <v>74</v>
      </c>
      <c r="AQ192" t="s">
        <v>74</v>
      </c>
      <c r="AR192" t="s">
        <v>950</v>
      </c>
      <c r="AS192" t="s">
        <v>951</v>
      </c>
      <c r="AT192" t="s">
        <v>2226</v>
      </c>
      <c r="AU192">
        <v>2010</v>
      </c>
      <c r="AV192">
        <v>157</v>
      </c>
      <c r="AW192">
        <v>10</v>
      </c>
      <c r="AX192" t="s">
        <v>74</v>
      </c>
      <c r="AY192" t="s">
        <v>74</v>
      </c>
      <c r="AZ192" t="s">
        <v>74</v>
      </c>
      <c r="BA192" t="s">
        <v>74</v>
      </c>
      <c r="BB192">
        <v>2289</v>
      </c>
      <c r="BC192">
        <v>2302</v>
      </c>
      <c r="BD192" t="s">
        <v>74</v>
      </c>
      <c r="BE192" t="s">
        <v>3784</v>
      </c>
      <c r="BF192" t="str">
        <f>HYPERLINK("http://dx.doi.org/10.1007/s00227-010-1496-3","http://dx.doi.org/10.1007/s00227-010-1496-3")</f>
        <v>http://dx.doi.org/10.1007/s00227-010-1496-3</v>
      </c>
      <c r="BG192" t="s">
        <v>74</v>
      </c>
      <c r="BH192" t="s">
        <v>74</v>
      </c>
      <c r="BI192">
        <v>14</v>
      </c>
      <c r="BJ192" t="s">
        <v>515</v>
      </c>
      <c r="BK192" t="s">
        <v>100</v>
      </c>
      <c r="BL192" t="s">
        <v>515</v>
      </c>
      <c r="BM192" t="s">
        <v>3743</v>
      </c>
      <c r="BN192" t="s">
        <v>74</v>
      </c>
      <c r="BO192" t="s">
        <v>74</v>
      </c>
      <c r="BP192" t="s">
        <v>74</v>
      </c>
      <c r="BQ192" t="s">
        <v>74</v>
      </c>
      <c r="BR192" t="s">
        <v>104</v>
      </c>
      <c r="BS192" t="s">
        <v>3785</v>
      </c>
      <c r="BT192" t="str">
        <f>HYPERLINK("https%3A%2F%2Fwww.webofscience.com%2Fwos%2Fwoscc%2Ffull-record%2FWOS:000281792000017","View Full Record in Web of Science")</f>
        <v>View Full Record in Web of Science</v>
      </c>
    </row>
    <row r="193" spans="1:72" x14ac:dyDescent="0.15">
      <c r="A193" t="s">
        <v>72</v>
      </c>
      <c r="B193" t="s">
        <v>3786</v>
      </c>
      <c r="C193" t="s">
        <v>74</v>
      </c>
      <c r="D193" t="s">
        <v>74</v>
      </c>
      <c r="E193" t="s">
        <v>74</v>
      </c>
      <c r="F193" t="s">
        <v>3787</v>
      </c>
      <c r="G193" t="s">
        <v>74</v>
      </c>
      <c r="H193" t="s">
        <v>74</v>
      </c>
      <c r="I193" t="s">
        <v>3788</v>
      </c>
      <c r="J193" t="s">
        <v>936</v>
      </c>
      <c r="K193" t="s">
        <v>74</v>
      </c>
      <c r="L193" t="s">
        <v>74</v>
      </c>
      <c r="M193" t="s">
        <v>78</v>
      </c>
      <c r="N193" t="s">
        <v>79</v>
      </c>
      <c r="O193" t="s">
        <v>74</v>
      </c>
      <c r="P193" t="s">
        <v>74</v>
      </c>
      <c r="Q193" t="s">
        <v>74</v>
      </c>
      <c r="R193" t="s">
        <v>74</v>
      </c>
      <c r="S193" t="s">
        <v>74</v>
      </c>
      <c r="T193" t="s">
        <v>74</v>
      </c>
      <c r="U193" t="s">
        <v>3789</v>
      </c>
      <c r="V193" t="s">
        <v>3790</v>
      </c>
      <c r="W193" t="s">
        <v>3791</v>
      </c>
      <c r="X193" t="s">
        <v>3792</v>
      </c>
      <c r="Y193" t="s">
        <v>3793</v>
      </c>
      <c r="Z193" t="s">
        <v>3794</v>
      </c>
      <c r="AA193" t="s">
        <v>3795</v>
      </c>
      <c r="AB193" t="s">
        <v>3796</v>
      </c>
      <c r="AC193" t="s">
        <v>3797</v>
      </c>
      <c r="AD193" t="s">
        <v>3798</v>
      </c>
      <c r="AE193" t="s">
        <v>3799</v>
      </c>
      <c r="AF193" t="s">
        <v>74</v>
      </c>
      <c r="AG193">
        <v>71</v>
      </c>
      <c r="AH193">
        <v>23</v>
      </c>
      <c r="AI193">
        <v>24</v>
      </c>
      <c r="AJ193">
        <v>0</v>
      </c>
      <c r="AK193">
        <v>46</v>
      </c>
      <c r="AL193" t="s">
        <v>945</v>
      </c>
      <c r="AM193" t="s">
        <v>946</v>
      </c>
      <c r="AN193" t="s">
        <v>947</v>
      </c>
      <c r="AO193" t="s">
        <v>948</v>
      </c>
      <c r="AP193" t="s">
        <v>949</v>
      </c>
      <c r="AQ193" t="s">
        <v>74</v>
      </c>
      <c r="AR193" t="s">
        <v>950</v>
      </c>
      <c r="AS193" t="s">
        <v>951</v>
      </c>
      <c r="AT193" t="s">
        <v>2226</v>
      </c>
      <c r="AU193">
        <v>2010</v>
      </c>
      <c r="AV193">
        <v>157</v>
      </c>
      <c r="AW193">
        <v>10</v>
      </c>
      <c r="AX193" t="s">
        <v>74</v>
      </c>
      <c r="AY193" t="s">
        <v>74</v>
      </c>
      <c r="AZ193" t="s">
        <v>74</v>
      </c>
      <c r="BA193" t="s">
        <v>74</v>
      </c>
      <c r="BB193">
        <v>2303</v>
      </c>
      <c r="BC193">
        <v>2316</v>
      </c>
      <c r="BD193" t="s">
        <v>74</v>
      </c>
      <c r="BE193" t="s">
        <v>3800</v>
      </c>
      <c r="BF193" t="str">
        <f>HYPERLINK("http://dx.doi.org/10.1007/s00227-010-1497-2","http://dx.doi.org/10.1007/s00227-010-1497-2")</f>
        <v>http://dx.doi.org/10.1007/s00227-010-1497-2</v>
      </c>
      <c r="BG193" t="s">
        <v>74</v>
      </c>
      <c r="BH193" t="s">
        <v>74</v>
      </c>
      <c r="BI193">
        <v>14</v>
      </c>
      <c r="BJ193" t="s">
        <v>515</v>
      </c>
      <c r="BK193" t="s">
        <v>100</v>
      </c>
      <c r="BL193" t="s">
        <v>515</v>
      </c>
      <c r="BM193" t="s">
        <v>3743</v>
      </c>
      <c r="BN193" t="s">
        <v>74</v>
      </c>
      <c r="BO193" t="s">
        <v>74</v>
      </c>
      <c r="BP193" t="s">
        <v>74</v>
      </c>
      <c r="BQ193" t="s">
        <v>74</v>
      </c>
      <c r="BR193" t="s">
        <v>104</v>
      </c>
      <c r="BS193" t="s">
        <v>3801</v>
      </c>
      <c r="BT193" t="str">
        <f>HYPERLINK("https%3A%2F%2Fwww.webofscience.com%2Fwos%2Fwoscc%2Ffull-record%2FWOS:000281792000018","View Full Record in Web of Science")</f>
        <v>View Full Record in Web of Science</v>
      </c>
    </row>
    <row r="194" spans="1:72" x14ac:dyDescent="0.15">
      <c r="A194" t="s">
        <v>72</v>
      </c>
      <c r="B194" t="s">
        <v>3802</v>
      </c>
      <c r="C194" t="s">
        <v>74</v>
      </c>
      <c r="D194" t="s">
        <v>74</v>
      </c>
      <c r="E194" t="s">
        <v>74</v>
      </c>
      <c r="F194" t="s">
        <v>3803</v>
      </c>
      <c r="G194" t="s">
        <v>74</v>
      </c>
      <c r="H194" t="s">
        <v>74</v>
      </c>
      <c r="I194" t="s">
        <v>3804</v>
      </c>
      <c r="J194" t="s">
        <v>3805</v>
      </c>
      <c r="K194" t="s">
        <v>74</v>
      </c>
      <c r="L194" t="s">
        <v>74</v>
      </c>
      <c r="M194" t="s">
        <v>78</v>
      </c>
      <c r="N194" t="s">
        <v>79</v>
      </c>
      <c r="O194" t="s">
        <v>74</v>
      </c>
      <c r="P194" t="s">
        <v>74</v>
      </c>
      <c r="Q194" t="s">
        <v>74</v>
      </c>
      <c r="R194" t="s">
        <v>74</v>
      </c>
      <c r="S194" t="s">
        <v>74</v>
      </c>
      <c r="T194" t="s">
        <v>3806</v>
      </c>
      <c r="U194" t="s">
        <v>3807</v>
      </c>
      <c r="V194" t="s">
        <v>3808</v>
      </c>
      <c r="W194" t="s">
        <v>3809</v>
      </c>
      <c r="X194" t="s">
        <v>3810</v>
      </c>
      <c r="Y194" t="s">
        <v>3811</v>
      </c>
      <c r="Z194" t="s">
        <v>3812</v>
      </c>
      <c r="AA194" t="s">
        <v>3813</v>
      </c>
      <c r="AB194" t="s">
        <v>3814</v>
      </c>
      <c r="AC194" t="s">
        <v>3815</v>
      </c>
      <c r="AD194" t="s">
        <v>3816</v>
      </c>
      <c r="AE194" t="s">
        <v>3817</v>
      </c>
      <c r="AF194" t="s">
        <v>74</v>
      </c>
      <c r="AG194">
        <v>69</v>
      </c>
      <c r="AH194">
        <v>28</v>
      </c>
      <c r="AI194">
        <v>30</v>
      </c>
      <c r="AJ194">
        <v>0</v>
      </c>
      <c r="AK194">
        <v>23</v>
      </c>
      <c r="AL194" t="s">
        <v>1038</v>
      </c>
      <c r="AM194" t="s">
        <v>550</v>
      </c>
      <c r="AN194" t="s">
        <v>1039</v>
      </c>
      <c r="AO194" t="s">
        <v>3818</v>
      </c>
      <c r="AP194" t="s">
        <v>3819</v>
      </c>
      <c r="AQ194" t="s">
        <v>74</v>
      </c>
      <c r="AR194" t="s">
        <v>3820</v>
      </c>
      <c r="AS194" t="s">
        <v>3821</v>
      </c>
      <c r="AT194" t="s">
        <v>2226</v>
      </c>
      <c r="AU194">
        <v>2010</v>
      </c>
      <c r="AV194">
        <v>122</v>
      </c>
      <c r="AW194" t="s">
        <v>3822</v>
      </c>
      <c r="AX194" t="s">
        <v>74</v>
      </c>
      <c r="AY194" t="s">
        <v>74</v>
      </c>
      <c r="AZ194" t="s">
        <v>74</v>
      </c>
      <c r="BA194" t="s">
        <v>74</v>
      </c>
      <c r="BB194">
        <v>118</v>
      </c>
      <c r="BC194">
        <v>129</v>
      </c>
      <c r="BD194" t="s">
        <v>74</v>
      </c>
      <c r="BE194" t="s">
        <v>3823</v>
      </c>
      <c r="BF194" t="str">
        <f>HYPERLINK("http://dx.doi.org/10.1016/j.marchem.2010.07.005","http://dx.doi.org/10.1016/j.marchem.2010.07.005")</f>
        <v>http://dx.doi.org/10.1016/j.marchem.2010.07.005</v>
      </c>
      <c r="BG194" t="s">
        <v>74</v>
      </c>
      <c r="BH194" t="s">
        <v>74</v>
      </c>
      <c r="BI194">
        <v>12</v>
      </c>
      <c r="BJ194" t="s">
        <v>3824</v>
      </c>
      <c r="BK194" t="s">
        <v>100</v>
      </c>
      <c r="BL194" t="s">
        <v>3825</v>
      </c>
      <c r="BM194" t="s">
        <v>3826</v>
      </c>
      <c r="BN194" t="s">
        <v>74</v>
      </c>
      <c r="BO194" t="s">
        <v>3827</v>
      </c>
      <c r="BP194" t="s">
        <v>74</v>
      </c>
      <c r="BQ194" t="s">
        <v>74</v>
      </c>
      <c r="BR194" t="s">
        <v>104</v>
      </c>
      <c r="BS194" t="s">
        <v>3828</v>
      </c>
      <c r="BT194" t="str">
        <f>HYPERLINK("https%3A%2F%2Fwww.webofscience.com%2Fwos%2Fwoscc%2Ffull-record%2FWOS:000285369200013","View Full Record in Web of Science")</f>
        <v>View Full Record in Web of Science</v>
      </c>
    </row>
    <row r="195" spans="1:72" x14ac:dyDescent="0.15">
      <c r="A195" t="s">
        <v>72</v>
      </c>
      <c r="B195" t="s">
        <v>3829</v>
      </c>
      <c r="C195" t="s">
        <v>74</v>
      </c>
      <c r="D195" t="s">
        <v>74</v>
      </c>
      <c r="E195" t="s">
        <v>74</v>
      </c>
      <c r="F195" t="s">
        <v>3830</v>
      </c>
      <c r="G195" t="s">
        <v>74</v>
      </c>
      <c r="H195" t="s">
        <v>74</v>
      </c>
      <c r="I195" t="s">
        <v>3831</v>
      </c>
      <c r="J195" t="s">
        <v>3805</v>
      </c>
      <c r="K195" t="s">
        <v>74</v>
      </c>
      <c r="L195" t="s">
        <v>74</v>
      </c>
      <c r="M195" t="s">
        <v>78</v>
      </c>
      <c r="N195" t="s">
        <v>79</v>
      </c>
      <c r="O195" t="s">
        <v>74</v>
      </c>
      <c r="P195" t="s">
        <v>74</v>
      </c>
      <c r="Q195" t="s">
        <v>74</v>
      </c>
      <c r="R195" t="s">
        <v>74</v>
      </c>
      <c r="S195" t="s">
        <v>74</v>
      </c>
      <c r="T195" t="s">
        <v>3832</v>
      </c>
      <c r="U195" t="s">
        <v>3833</v>
      </c>
      <c r="V195" t="s">
        <v>3834</v>
      </c>
      <c r="W195" t="s">
        <v>3835</v>
      </c>
      <c r="X195" t="s">
        <v>3836</v>
      </c>
      <c r="Y195" t="s">
        <v>3837</v>
      </c>
      <c r="Z195" t="s">
        <v>3838</v>
      </c>
      <c r="AA195" t="s">
        <v>3839</v>
      </c>
      <c r="AB195" t="s">
        <v>3840</v>
      </c>
      <c r="AC195" t="s">
        <v>3841</v>
      </c>
      <c r="AD195" t="s">
        <v>3842</v>
      </c>
      <c r="AE195" t="s">
        <v>3843</v>
      </c>
      <c r="AF195" t="s">
        <v>74</v>
      </c>
      <c r="AG195">
        <v>65</v>
      </c>
      <c r="AH195">
        <v>60</v>
      </c>
      <c r="AI195">
        <v>72</v>
      </c>
      <c r="AJ195">
        <v>3</v>
      </c>
      <c r="AK195">
        <v>58</v>
      </c>
      <c r="AL195" t="s">
        <v>549</v>
      </c>
      <c r="AM195" t="s">
        <v>550</v>
      </c>
      <c r="AN195" t="s">
        <v>551</v>
      </c>
      <c r="AO195" t="s">
        <v>3818</v>
      </c>
      <c r="AP195" t="s">
        <v>3819</v>
      </c>
      <c r="AQ195" t="s">
        <v>74</v>
      </c>
      <c r="AR195" t="s">
        <v>3820</v>
      </c>
      <c r="AS195" t="s">
        <v>3821</v>
      </c>
      <c r="AT195" t="s">
        <v>2226</v>
      </c>
      <c r="AU195">
        <v>2010</v>
      </c>
      <c r="AV195">
        <v>122</v>
      </c>
      <c r="AW195" t="s">
        <v>3822</v>
      </c>
      <c r="AX195" t="s">
        <v>74</v>
      </c>
      <c r="AY195" t="s">
        <v>74</v>
      </c>
      <c r="AZ195" t="s">
        <v>74</v>
      </c>
      <c r="BA195" t="s">
        <v>74</v>
      </c>
      <c r="BB195">
        <v>148</v>
      </c>
      <c r="BC195">
        <v>159</v>
      </c>
      <c r="BD195" t="s">
        <v>74</v>
      </c>
      <c r="BE195" t="s">
        <v>3844</v>
      </c>
      <c r="BF195" t="str">
        <f>HYPERLINK("http://dx.doi.org/10.1016/j.marchem.2010.06.002","http://dx.doi.org/10.1016/j.marchem.2010.06.002")</f>
        <v>http://dx.doi.org/10.1016/j.marchem.2010.06.002</v>
      </c>
      <c r="BG195" t="s">
        <v>74</v>
      </c>
      <c r="BH195" t="s">
        <v>74</v>
      </c>
      <c r="BI195">
        <v>12</v>
      </c>
      <c r="BJ195" t="s">
        <v>3824</v>
      </c>
      <c r="BK195" t="s">
        <v>100</v>
      </c>
      <c r="BL195" t="s">
        <v>3825</v>
      </c>
      <c r="BM195" t="s">
        <v>3826</v>
      </c>
      <c r="BN195" t="s">
        <v>74</v>
      </c>
      <c r="BO195" t="s">
        <v>74</v>
      </c>
      <c r="BP195" t="s">
        <v>74</v>
      </c>
      <c r="BQ195" t="s">
        <v>74</v>
      </c>
      <c r="BR195" t="s">
        <v>104</v>
      </c>
      <c r="BS195" t="s">
        <v>3845</v>
      </c>
      <c r="BT195" t="str">
        <f>HYPERLINK("https%3A%2F%2Fwww.webofscience.com%2Fwos%2Fwoscc%2Ffull-record%2FWOS:000285369200016","View Full Record in Web of Science")</f>
        <v>View Full Record in Web of Science</v>
      </c>
    </row>
    <row r="196" spans="1:72" x14ac:dyDescent="0.15">
      <c r="A196" t="s">
        <v>72</v>
      </c>
      <c r="B196" t="s">
        <v>3846</v>
      </c>
      <c r="C196" t="s">
        <v>74</v>
      </c>
      <c r="D196" t="s">
        <v>74</v>
      </c>
      <c r="E196" t="s">
        <v>74</v>
      </c>
      <c r="F196" t="s">
        <v>3847</v>
      </c>
      <c r="G196" t="s">
        <v>74</v>
      </c>
      <c r="H196" t="s">
        <v>74</v>
      </c>
      <c r="I196" t="s">
        <v>3848</v>
      </c>
      <c r="J196" t="s">
        <v>2234</v>
      </c>
      <c r="K196" t="s">
        <v>74</v>
      </c>
      <c r="L196" t="s">
        <v>74</v>
      </c>
      <c r="M196" t="s">
        <v>78</v>
      </c>
      <c r="N196" t="s">
        <v>79</v>
      </c>
      <c r="O196" t="s">
        <v>74</v>
      </c>
      <c r="P196" t="s">
        <v>74</v>
      </c>
      <c r="Q196" t="s">
        <v>74</v>
      </c>
      <c r="R196" t="s">
        <v>74</v>
      </c>
      <c r="S196" t="s">
        <v>74</v>
      </c>
      <c r="T196" t="s">
        <v>74</v>
      </c>
      <c r="U196" t="s">
        <v>3849</v>
      </c>
      <c r="V196" t="s">
        <v>3850</v>
      </c>
      <c r="W196" t="s">
        <v>3851</v>
      </c>
      <c r="X196" t="s">
        <v>3852</v>
      </c>
      <c r="Y196" t="s">
        <v>3853</v>
      </c>
      <c r="Z196" t="s">
        <v>3854</v>
      </c>
      <c r="AA196" t="s">
        <v>3855</v>
      </c>
      <c r="AB196" t="s">
        <v>3856</v>
      </c>
      <c r="AC196" t="s">
        <v>3857</v>
      </c>
      <c r="AD196" t="s">
        <v>3858</v>
      </c>
      <c r="AE196" t="s">
        <v>3859</v>
      </c>
      <c r="AF196" t="s">
        <v>74</v>
      </c>
      <c r="AG196">
        <v>54</v>
      </c>
      <c r="AH196">
        <v>70</v>
      </c>
      <c r="AI196">
        <v>72</v>
      </c>
      <c r="AJ196">
        <v>0</v>
      </c>
      <c r="AK196">
        <v>17</v>
      </c>
      <c r="AL196" t="s">
        <v>2245</v>
      </c>
      <c r="AM196" t="s">
        <v>673</v>
      </c>
      <c r="AN196" t="s">
        <v>674</v>
      </c>
      <c r="AO196" t="s">
        <v>2246</v>
      </c>
      <c r="AP196" t="s">
        <v>74</v>
      </c>
      <c r="AQ196" t="s">
        <v>74</v>
      </c>
      <c r="AR196" t="s">
        <v>2247</v>
      </c>
      <c r="AS196" t="s">
        <v>2248</v>
      </c>
      <c r="AT196" t="s">
        <v>2249</v>
      </c>
      <c r="AU196">
        <v>2010</v>
      </c>
      <c r="AV196">
        <v>45</v>
      </c>
      <c r="AW196" t="s">
        <v>2250</v>
      </c>
      <c r="AX196" t="s">
        <v>74</v>
      </c>
      <c r="AY196" t="s">
        <v>74</v>
      </c>
      <c r="AZ196" t="s">
        <v>74</v>
      </c>
      <c r="BA196" t="s">
        <v>74</v>
      </c>
      <c r="BB196">
        <v>1618</v>
      </c>
      <c r="BC196">
        <v>1637</v>
      </c>
      <c r="BD196" t="s">
        <v>74</v>
      </c>
      <c r="BE196" t="s">
        <v>3860</v>
      </c>
      <c r="BF196" t="str">
        <f>HYPERLINK("http://dx.doi.org/10.1111/j.1945-5100.2010.01128.x","http://dx.doi.org/10.1111/j.1945-5100.2010.01128.x")</f>
        <v>http://dx.doi.org/10.1111/j.1945-5100.2010.01128.x</v>
      </c>
      <c r="BG196" t="s">
        <v>74</v>
      </c>
      <c r="BH196" t="s">
        <v>74</v>
      </c>
      <c r="BI196">
        <v>20</v>
      </c>
      <c r="BJ196" t="s">
        <v>558</v>
      </c>
      <c r="BK196" t="s">
        <v>100</v>
      </c>
      <c r="BL196" t="s">
        <v>558</v>
      </c>
      <c r="BM196" t="s">
        <v>2252</v>
      </c>
      <c r="BN196" t="s">
        <v>74</v>
      </c>
      <c r="BO196" t="s">
        <v>74</v>
      </c>
      <c r="BP196" t="s">
        <v>74</v>
      </c>
      <c r="BQ196" t="s">
        <v>74</v>
      </c>
      <c r="BR196" t="s">
        <v>104</v>
      </c>
      <c r="BS196" t="s">
        <v>3861</v>
      </c>
      <c r="BT196" t="str">
        <f>HYPERLINK("https%3A%2F%2Fwww.webofscience.com%2Fwos%2Fwoscc%2Ffull-record%2FWOS:000285759700004","View Full Record in Web of Science")</f>
        <v>View Full Record in Web of Science</v>
      </c>
    </row>
    <row r="197" spans="1:72" x14ac:dyDescent="0.15">
      <c r="A197" t="s">
        <v>72</v>
      </c>
      <c r="B197" t="s">
        <v>3862</v>
      </c>
      <c r="C197" t="s">
        <v>74</v>
      </c>
      <c r="D197" t="s">
        <v>74</v>
      </c>
      <c r="E197" t="s">
        <v>74</v>
      </c>
      <c r="F197" t="s">
        <v>3863</v>
      </c>
      <c r="G197" t="s">
        <v>74</v>
      </c>
      <c r="H197" t="s">
        <v>74</v>
      </c>
      <c r="I197" t="s">
        <v>3864</v>
      </c>
      <c r="J197" t="s">
        <v>2234</v>
      </c>
      <c r="K197" t="s">
        <v>74</v>
      </c>
      <c r="L197" t="s">
        <v>74</v>
      </c>
      <c r="M197" t="s">
        <v>78</v>
      </c>
      <c r="N197" t="s">
        <v>326</v>
      </c>
      <c r="O197" t="s">
        <v>74</v>
      </c>
      <c r="P197" t="s">
        <v>74</v>
      </c>
      <c r="Q197" t="s">
        <v>74</v>
      </c>
      <c r="R197" t="s">
        <v>74</v>
      </c>
      <c r="S197" t="s">
        <v>74</v>
      </c>
      <c r="T197" t="s">
        <v>74</v>
      </c>
      <c r="U197" t="s">
        <v>3865</v>
      </c>
      <c r="V197" t="s">
        <v>3866</v>
      </c>
      <c r="W197" t="s">
        <v>3867</v>
      </c>
      <c r="X197" t="s">
        <v>3868</v>
      </c>
      <c r="Y197" t="s">
        <v>3869</v>
      </c>
      <c r="Z197" t="s">
        <v>3870</v>
      </c>
      <c r="AA197" t="s">
        <v>3871</v>
      </c>
      <c r="AB197" t="s">
        <v>3872</v>
      </c>
      <c r="AC197" t="s">
        <v>3873</v>
      </c>
      <c r="AD197" t="s">
        <v>3874</v>
      </c>
      <c r="AE197" t="s">
        <v>3875</v>
      </c>
      <c r="AF197" t="s">
        <v>74</v>
      </c>
      <c r="AG197">
        <v>139</v>
      </c>
      <c r="AH197">
        <v>45</v>
      </c>
      <c r="AI197">
        <v>45</v>
      </c>
      <c r="AJ197">
        <v>1</v>
      </c>
      <c r="AK197">
        <v>6</v>
      </c>
      <c r="AL197" t="s">
        <v>2245</v>
      </c>
      <c r="AM197" t="s">
        <v>673</v>
      </c>
      <c r="AN197" t="s">
        <v>674</v>
      </c>
      <c r="AO197" t="s">
        <v>2246</v>
      </c>
      <c r="AP197" t="s">
        <v>74</v>
      </c>
      <c r="AQ197" t="s">
        <v>74</v>
      </c>
      <c r="AR197" t="s">
        <v>2247</v>
      </c>
      <c r="AS197" t="s">
        <v>2248</v>
      </c>
      <c r="AT197" t="s">
        <v>2249</v>
      </c>
      <c r="AU197">
        <v>2010</v>
      </c>
      <c r="AV197">
        <v>45</v>
      </c>
      <c r="AW197" t="s">
        <v>2250</v>
      </c>
      <c r="AX197" t="s">
        <v>74</v>
      </c>
      <c r="AY197" t="s">
        <v>74</v>
      </c>
      <c r="AZ197" t="s">
        <v>74</v>
      </c>
      <c r="BA197" t="s">
        <v>74</v>
      </c>
      <c r="BB197">
        <v>1668</v>
      </c>
      <c r="BC197">
        <v>1694</v>
      </c>
      <c r="BD197" t="s">
        <v>74</v>
      </c>
      <c r="BE197" t="s">
        <v>3876</v>
      </c>
      <c r="BF197" t="str">
        <f>HYPERLINK("http://dx.doi.org/10.1111/j.1945-5100.2010.01065.x","http://dx.doi.org/10.1111/j.1945-5100.2010.01065.x")</f>
        <v>http://dx.doi.org/10.1111/j.1945-5100.2010.01065.x</v>
      </c>
      <c r="BG197" t="s">
        <v>74</v>
      </c>
      <c r="BH197" t="s">
        <v>74</v>
      </c>
      <c r="BI197">
        <v>27</v>
      </c>
      <c r="BJ197" t="s">
        <v>558</v>
      </c>
      <c r="BK197" t="s">
        <v>100</v>
      </c>
      <c r="BL197" t="s">
        <v>558</v>
      </c>
      <c r="BM197" t="s">
        <v>2252</v>
      </c>
      <c r="BN197" t="s">
        <v>74</v>
      </c>
      <c r="BO197" t="s">
        <v>394</v>
      </c>
      <c r="BP197" t="s">
        <v>74</v>
      </c>
      <c r="BQ197" t="s">
        <v>74</v>
      </c>
      <c r="BR197" t="s">
        <v>104</v>
      </c>
      <c r="BS197" t="s">
        <v>3877</v>
      </c>
      <c r="BT197" t="str">
        <f>HYPERLINK("https%3A%2F%2Fwww.webofscience.com%2Fwos%2Fwoscc%2Ffull-record%2FWOS:000285759700007","View Full Record in Web of Science")</f>
        <v>View Full Record in Web of Science</v>
      </c>
    </row>
    <row r="198" spans="1:72" x14ac:dyDescent="0.15">
      <c r="A198" t="s">
        <v>72</v>
      </c>
      <c r="B198" t="s">
        <v>3878</v>
      </c>
      <c r="C198" t="s">
        <v>74</v>
      </c>
      <c r="D198" t="s">
        <v>74</v>
      </c>
      <c r="E198" t="s">
        <v>74</v>
      </c>
      <c r="F198" t="s">
        <v>3879</v>
      </c>
      <c r="G198" t="s">
        <v>74</v>
      </c>
      <c r="H198" t="s">
        <v>74</v>
      </c>
      <c r="I198" t="s">
        <v>3880</v>
      </c>
      <c r="J198" t="s">
        <v>2234</v>
      </c>
      <c r="K198" t="s">
        <v>74</v>
      </c>
      <c r="L198" t="s">
        <v>74</v>
      </c>
      <c r="M198" t="s">
        <v>78</v>
      </c>
      <c r="N198" t="s">
        <v>79</v>
      </c>
      <c r="O198" t="s">
        <v>74</v>
      </c>
      <c r="P198" t="s">
        <v>74</v>
      </c>
      <c r="Q198" t="s">
        <v>74</v>
      </c>
      <c r="R198" t="s">
        <v>74</v>
      </c>
      <c r="S198" t="s">
        <v>74</v>
      </c>
      <c r="T198" t="s">
        <v>74</v>
      </c>
      <c r="U198" t="s">
        <v>3881</v>
      </c>
      <c r="V198" t="s">
        <v>3882</v>
      </c>
      <c r="W198" t="s">
        <v>3883</v>
      </c>
      <c r="X198" t="s">
        <v>3884</v>
      </c>
      <c r="Y198" t="s">
        <v>3885</v>
      </c>
      <c r="Z198" t="s">
        <v>3886</v>
      </c>
      <c r="AA198" t="s">
        <v>3887</v>
      </c>
      <c r="AB198" t="s">
        <v>3888</v>
      </c>
      <c r="AC198" t="s">
        <v>3889</v>
      </c>
      <c r="AD198" t="s">
        <v>3890</v>
      </c>
      <c r="AE198" t="s">
        <v>3891</v>
      </c>
      <c r="AF198" t="s">
        <v>74</v>
      </c>
      <c r="AG198">
        <v>86</v>
      </c>
      <c r="AH198">
        <v>59</v>
      </c>
      <c r="AI198">
        <v>62</v>
      </c>
      <c r="AJ198">
        <v>0</v>
      </c>
      <c r="AK198">
        <v>9</v>
      </c>
      <c r="AL198" t="s">
        <v>2245</v>
      </c>
      <c r="AM198" t="s">
        <v>673</v>
      </c>
      <c r="AN198" t="s">
        <v>674</v>
      </c>
      <c r="AO198" t="s">
        <v>2246</v>
      </c>
      <c r="AP198" t="s">
        <v>74</v>
      </c>
      <c r="AQ198" t="s">
        <v>74</v>
      </c>
      <c r="AR198" t="s">
        <v>2247</v>
      </c>
      <c r="AS198" t="s">
        <v>2248</v>
      </c>
      <c r="AT198" t="s">
        <v>2249</v>
      </c>
      <c r="AU198">
        <v>2010</v>
      </c>
      <c r="AV198">
        <v>45</v>
      </c>
      <c r="AW198" t="s">
        <v>2250</v>
      </c>
      <c r="AX198" t="s">
        <v>74</v>
      </c>
      <c r="AY198" t="s">
        <v>74</v>
      </c>
      <c r="AZ198" t="s">
        <v>74</v>
      </c>
      <c r="BA198" t="s">
        <v>74</v>
      </c>
      <c r="BB198">
        <v>1789</v>
      </c>
      <c r="BC198">
        <v>1803</v>
      </c>
      <c r="BD198" t="s">
        <v>74</v>
      </c>
      <c r="BE198" t="s">
        <v>3892</v>
      </c>
      <c r="BF198" t="str">
        <f>HYPERLINK("http://dx.doi.org/10.1111/j.1945-5100.2010.01136.x","http://dx.doi.org/10.1111/j.1945-5100.2010.01136.x")</f>
        <v>http://dx.doi.org/10.1111/j.1945-5100.2010.01136.x</v>
      </c>
      <c r="BG198" t="s">
        <v>74</v>
      </c>
      <c r="BH198" t="s">
        <v>74</v>
      </c>
      <c r="BI198">
        <v>15</v>
      </c>
      <c r="BJ198" t="s">
        <v>558</v>
      </c>
      <c r="BK198" t="s">
        <v>100</v>
      </c>
      <c r="BL198" t="s">
        <v>558</v>
      </c>
      <c r="BM198" t="s">
        <v>2252</v>
      </c>
      <c r="BN198" t="s">
        <v>74</v>
      </c>
      <c r="BO198" t="s">
        <v>394</v>
      </c>
      <c r="BP198" t="s">
        <v>74</v>
      </c>
      <c r="BQ198" t="s">
        <v>74</v>
      </c>
      <c r="BR198" t="s">
        <v>104</v>
      </c>
      <c r="BS198" t="s">
        <v>3893</v>
      </c>
      <c r="BT198" t="str">
        <f>HYPERLINK("https%3A%2F%2Fwww.webofscience.com%2Fwos%2Fwoscc%2Ffull-record%2FWOS:000285759700017","View Full Record in Web of Science")</f>
        <v>View Full Record in Web of Science</v>
      </c>
    </row>
    <row r="199" spans="1:72" x14ac:dyDescent="0.15">
      <c r="A199" t="s">
        <v>72</v>
      </c>
      <c r="B199" t="s">
        <v>3894</v>
      </c>
      <c r="C199" t="s">
        <v>74</v>
      </c>
      <c r="D199" t="s">
        <v>74</v>
      </c>
      <c r="E199" t="s">
        <v>74</v>
      </c>
      <c r="F199" t="s">
        <v>3895</v>
      </c>
      <c r="G199" t="s">
        <v>74</v>
      </c>
      <c r="H199" t="s">
        <v>74</v>
      </c>
      <c r="I199" t="s">
        <v>3896</v>
      </c>
      <c r="J199" t="s">
        <v>2234</v>
      </c>
      <c r="K199" t="s">
        <v>74</v>
      </c>
      <c r="L199" t="s">
        <v>74</v>
      </c>
      <c r="M199" t="s">
        <v>78</v>
      </c>
      <c r="N199" t="s">
        <v>79</v>
      </c>
      <c r="O199" t="s">
        <v>74</v>
      </c>
      <c r="P199" t="s">
        <v>74</v>
      </c>
      <c r="Q199" t="s">
        <v>74</v>
      </c>
      <c r="R199" t="s">
        <v>74</v>
      </c>
      <c r="S199" t="s">
        <v>74</v>
      </c>
      <c r="T199" t="s">
        <v>74</v>
      </c>
      <c r="U199" t="s">
        <v>3897</v>
      </c>
      <c r="V199" t="s">
        <v>3898</v>
      </c>
      <c r="W199" t="s">
        <v>3899</v>
      </c>
      <c r="X199" t="s">
        <v>3900</v>
      </c>
      <c r="Y199" t="s">
        <v>3901</v>
      </c>
      <c r="Z199" t="s">
        <v>3902</v>
      </c>
      <c r="AA199" t="s">
        <v>3903</v>
      </c>
      <c r="AB199" t="s">
        <v>3904</v>
      </c>
      <c r="AC199" t="s">
        <v>3905</v>
      </c>
      <c r="AD199" t="s">
        <v>3906</v>
      </c>
      <c r="AE199" t="s">
        <v>3907</v>
      </c>
      <c r="AF199" t="s">
        <v>74</v>
      </c>
      <c r="AG199">
        <v>36</v>
      </c>
      <c r="AH199">
        <v>13</v>
      </c>
      <c r="AI199">
        <v>13</v>
      </c>
      <c r="AJ199">
        <v>0</v>
      </c>
      <c r="AK199">
        <v>18</v>
      </c>
      <c r="AL199" t="s">
        <v>923</v>
      </c>
      <c r="AM199" t="s">
        <v>339</v>
      </c>
      <c r="AN199" t="s">
        <v>340</v>
      </c>
      <c r="AO199" t="s">
        <v>2246</v>
      </c>
      <c r="AP199" t="s">
        <v>3908</v>
      </c>
      <c r="AQ199" t="s">
        <v>74</v>
      </c>
      <c r="AR199" t="s">
        <v>2247</v>
      </c>
      <c r="AS199" t="s">
        <v>2248</v>
      </c>
      <c r="AT199" t="s">
        <v>2249</v>
      </c>
      <c r="AU199">
        <v>2010</v>
      </c>
      <c r="AV199">
        <v>45</v>
      </c>
      <c r="AW199" t="s">
        <v>2250</v>
      </c>
      <c r="AX199" t="s">
        <v>74</v>
      </c>
      <c r="AY199" t="s">
        <v>74</v>
      </c>
      <c r="AZ199" t="s">
        <v>74</v>
      </c>
      <c r="BA199" t="s">
        <v>74</v>
      </c>
      <c r="BB199">
        <v>1812</v>
      </c>
      <c r="BC199">
        <v>1820</v>
      </c>
      <c r="BD199" t="s">
        <v>74</v>
      </c>
      <c r="BE199" t="s">
        <v>3909</v>
      </c>
      <c r="BF199" t="str">
        <f>HYPERLINK("http://dx.doi.org/10.1111/j.1945-5100.2010.01111.x","http://dx.doi.org/10.1111/j.1945-5100.2010.01111.x")</f>
        <v>http://dx.doi.org/10.1111/j.1945-5100.2010.01111.x</v>
      </c>
      <c r="BG199" t="s">
        <v>74</v>
      </c>
      <c r="BH199" t="s">
        <v>74</v>
      </c>
      <c r="BI199">
        <v>9</v>
      </c>
      <c r="BJ199" t="s">
        <v>558</v>
      </c>
      <c r="BK199" t="s">
        <v>100</v>
      </c>
      <c r="BL199" t="s">
        <v>558</v>
      </c>
      <c r="BM199" t="s">
        <v>2252</v>
      </c>
      <c r="BN199" t="s">
        <v>74</v>
      </c>
      <c r="BO199" t="s">
        <v>394</v>
      </c>
      <c r="BP199" t="s">
        <v>74</v>
      </c>
      <c r="BQ199" t="s">
        <v>74</v>
      </c>
      <c r="BR199" t="s">
        <v>104</v>
      </c>
      <c r="BS199" t="s">
        <v>3910</v>
      </c>
      <c r="BT199" t="str">
        <f>HYPERLINK("https%3A%2F%2Fwww.webofscience.com%2Fwos%2Fwoscc%2Ffull-record%2FWOS:000285759700019","View Full Record in Web of Science")</f>
        <v>View Full Record in Web of Science</v>
      </c>
    </row>
    <row r="200" spans="1:72" x14ac:dyDescent="0.15">
      <c r="A200" t="s">
        <v>72</v>
      </c>
      <c r="B200" t="s">
        <v>3911</v>
      </c>
      <c r="C200" t="s">
        <v>74</v>
      </c>
      <c r="D200" t="s">
        <v>74</v>
      </c>
      <c r="E200" t="s">
        <v>74</v>
      </c>
      <c r="F200" t="s">
        <v>3912</v>
      </c>
      <c r="G200" t="s">
        <v>74</v>
      </c>
      <c r="H200" t="s">
        <v>74</v>
      </c>
      <c r="I200" t="s">
        <v>3913</v>
      </c>
      <c r="J200" t="s">
        <v>1125</v>
      </c>
      <c r="K200" t="s">
        <v>74</v>
      </c>
      <c r="L200" t="s">
        <v>74</v>
      </c>
      <c r="M200" t="s">
        <v>78</v>
      </c>
      <c r="N200" t="s">
        <v>79</v>
      </c>
      <c r="O200" t="s">
        <v>74</v>
      </c>
      <c r="P200" t="s">
        <v>74</v>
      </c>
      <c r="Q200" t="s">
        <v>74</v>
      </c>
      <c r="R200" t="s">
        <v>74</v>
      </c>
      <c r="S200" t="s">
        <v>74</v>
      </c>
      <c r="T200" t="s">
        <v>3914</v>
      </c>
      <c r="U200" t="s">
        <v>3915</v>
      </c>
      <c r="V200" t="s">
        <v>3916</v>
      </c>
      <c r="W200" t="s">
        <v>3917</v>
      </c>
      <c r="X200" t="s">
        <v>3918</v>
      </c>
      <c r="Y200" t="s">
        <v>3919</v>
      </c>
      <c r="Z200" t="s">
        <v>3920</v>
      </c>
      <c r="AA200" t="s">
        <v>3921</v>
      </c>
      <c r="AB200" t="s">
        <v>3922</v>
      </c>
      <c r="AC200" t="s">
        <v>3923</v>
      </c>
      <c r="AD200" t="s">
        <v>3924</v>
      </c>
      <c r="AE200" t="s">
        <v>3925</v>
      </c>
      <c r="AF200" t="s">
        <v>74</v>
      </c>
      <c r="AG200">
        <v>73</v>
      </c>
      <c r="AH200">
        <v>27</v>
      </c>
      <c r="AI200">
        <v>31</v>
      </c>
      <c r="AJ200">
        <v>0</v>
      </c>
      <c r="AK200">
        <v>25</v>
      </c>
      <c r="AL200" t="s">
        <v>1136</v>
      </c>
      <c r="AM200" t="s">
        <v>1137</v>
      </c>
      <c r="AN200" t="s">
        <v>1138</v>
      </c>
      <c r="AO200" t="s">
        <v>1139</v>
      </c>
      <c r="AP200" t="s">
        <v>1140</v>
      </c>
      <c r="AQ200" t="s">
        <v>74</v>
      </c>
      <c r="AR200" t="s">
        <v>1141</v>
      </c>
      <c r="AS200" t="s">
        <v>1142</v>
      </c>
      <c r="AT200" t="s">
        <v>2226</v>
      </c>
      <c r="AU200">
        <v>2010</v>
      </c>
      <c r="AV200">
        <v>57</v>
      </c>
      <c r="AW200">
        <v>1</v>
      </c>
      <c r="AX200" t="s">
        <v>74</v>
      </c>
      <c r="AY200" t="s">
        <v>74</v>
      </c>
      <c r="AZ200" t="s">
        <v>74</v>
      </c>
      <c r="BA200" t="s">
        <v>74</v>
      </c>
      <c r="BB200">
        <v>48</v>
      </c>
      <c r="BC200">
        <v>58</v>
      </c>
      <c r="BD200" t="s">
        <v>74</v>
      </c>
      <c r="BE200" t="s">
        <v>3926</v>
      </c>
      <c r="BF200" t="str">
        <f>HYPERLINK("http://dx.doi.org/10.1016/j.ympev.2010.06.003","http://dx.doi.org/10.1016/j.ympev.2010.06.003")</f>
        <v>http://dx.doi.org/10.1016/j.ympev.2010.06.003</v>
      </c>
      <c r="BG200" t="s">
        <v>74</v>
      </c>
      <c r="BH200" t="s">
        <v>74</v>
      </c>
      <c r="BI200">
        <v>11</v>
      </c>
      <c r="BJ200" t="s">
        <v>1144</v>
      </c>
      <c r="BK200" t="s">
        <v>100</v>
      </c>
      <c r="BL200" t="s">
        <v>1144</v>
      </c>
      <c r="BM200" t="s">
        <v>3927</v>
      </c>
      <c r="BN200">
        <v>20558307</v>
      </c>
      <c r="BO200" t="s">
        <v>74</v>
      </c>
      <c r="BP200" t="s">
        <v>74</v>
      </c>
      <c r="BQ200" t="s">
        <v>74</v>
      </c>
      <c r="BR200" t="s">
        <v>104</v>
      </c>
      <c r="BS200" t="s">
        <v>3928</v>
      </c>
      <c r="BT200" t="str">
        <f>HYPERLINK("https%3A%2F%2Fwww.webofscience.com%2Fwos%2Fwoscc%2Ffull-record%2FWOS:000281992900005","View Full Record in Web of Science")</f>
        <v>View Full Record in Web of Science</v>
      </c>
    </row>
    <row r="201" spans="1:72" x14ac:dyDescent="0.15">
      <c r="A201" t="s">
        <v>72</v>
      </c>
      <c r="B201" t="s">
        <v>3929</v>
      </c>
      <c r="C201" t="s">
        <v>74</v>
      </c>
      <c r="D201" t="s">
        <v>74</v>
      </c>
      <c r="E201" t="s">
        <v>74</v>
      </c>
      <c r="F201" t="s">
        <v>3930</v>
      </c>
      <c r="G201" t="s">
        <v>74</v>
      </c>
      <c r="H201" t="s">
        <v>74</v>
      </c>
      <c r="I201" t="s">
        <v>3931</v>
      </c>
      <c r="J201" t="s">
        <v>3932</v>
      </c>
      <c r="K201" t="s">
        <v>74</v>
      </c>
      <c r="L201" t="s">
        <v>74</v>
      </c>
      <c r="M201" t="s">
        <v>78</v>
      </c>
      <c r="N201" t="s">
        <v>79</v>
      </c>
      <c r="O201" t="s">
        <v>74</v>
      </c>
      <c r="P201" t="s">
        <v>74</v>
      </c>
      <c r="Q201" t="s">
        <v>74</v>
      </c>
      <c r="R201" t="s">
        <v>74</v>
      </c>
      <c r="S201" t="s">
        <v>74</v>
      </c>
      <c r="T201" t="s">
        <v>3933</v>
      </c>
      <c r="U201" t="s">
        <v>74</v>
      </c>
      <c r="V201" t="s">
        <v>3934</v>
      </c>
      <c r="W201" t="s">
        <v>3935</v>
      </c>
      <c r="X201" t="s">
        <v>3936</v>
      </c>
      <c r="Y201" t="s">
        <v>3937</v>
      </c>
      <c r="Z201" t="s">
        <v>3938</v>
      </c>
      <c r="AA201" t="s">
        <v>74</v>
      </c>
      <c r="AB201" t="s">
        <v>74</v>
      </c>
      <c r="AC201" t="s">
        <v>74</v>
      </c>
      <c r="AD201" t="s">
        <v>74</v>
      </c>
      <c r="AE201" t="s">
        <v>74</v>
      </c>
      <c r="AF201" t="s">
        <v>74</v>
      </c>
      <c r="AG201">
        <v>11</v>
      </c>
      <c r="AH201">
        <v>1</v>
      </c>
      <c r="AI201">
        <v>1</v>
      </c>
      <c r="AJ201">
        <v>0</v>
      </c>
      <c r="AK201">
        <v>0</v>
      </c>
      <c r="AL201" t="s">
        <v>3939</v>
      </c>
      <c r="AM201" t="s">
        <v>3940</v>
      </c>
      <c r="AN201" t="s">
        <v>3941</v>
      </c>
      <c r="AO201" t="s">
        <v>3942</v>
      </c>
      <c r="AP201" t="s">
        <v>3943</v>
      </c>
      <c r="AQ201" t="s">
        <v>74</v>
      </c>
      <c r="AR201" t="s">
        <v>3944</v>
      </c>
      <c r="AS201" t="s">
        <v>3945</v>
      </c>
      <c r="AT201" t="s">
        <v>2226</v>
      </c>
      <c r="AU201">
        <v>2010</v>
      </c>
      <c r="AV201">
        <v>65</v>
      </c>
      <c r="AW201">
        <v>5</v>
      </c>
      <c r="AX201" t="s">
        <v>74</v>
      </c>
      <c r="AY201" t="s">
        <v>74</v>
      </c>
      <c r="AZ201" t="s">
        <v>74</v>
      </c>
      <c r="BA201" t="s">
        <v>74</v>
      </c>
      <c r="BB201">
        <v>316</v>
      </c>
      <c r="BC201">
        <v>327</v>
      </c>
      <c r="BD201" t="s">
        <v>74</v>
      </c>
      <c r="BE201" t="s">
        <v>3946</v>
      </c>
      <c r="BF201" t="str">
        <f>HYPERLINK("http://dx.doi.org/10.3103/S0145875210050078","http://dx.doi.org/10.3103/S0145875210050078")</f>
        <v>http://dx.doi.org/10.3103/S0145875210050078</v>
      </c>
      <c r="BG201" t="s">
        <v>74</v>
      </c>
      <c r="BH201" t="s">
        <v>74</v>
      </c>
      <c r="BI201">
        <v>12</v>
      </c>
      <c r="BJ201" t="s">
        <v>807</v>
      </c>
      <c r="BK201" t="s">
        <v>3947</v>
      </c>
      <c r="BL201" t="s">
        <v>807</v>
      </c>
      <c r="BM201" t="s">
        <v>3948</v>
      </c>
      <c r="BN201" t="s">
        <v>74</v>
      </c>
      <c r="BO201" t="s">
        <v>74</v>
      </c>
      <c r="BP201" t="s">
        <v>74</v>
      </c>
      <c r="BQ201" t="s">
        <v>74</v>
      </c>
      <c r="BR201" t="s">
        <v>104</v>
      </c>
      <c r="BS201" t="s">
        <v>3949</v>
      </c>
      <c r="BT201" t="str">
        <f>HYPERLINK("https%3A%2F%2Fwww.webofscience.com%2Fwos%2Fwoscc%2Ffull-record%2FWOS:000217934500007","View Full Record in Web of Science")</f>
        <v>View Full Record in Web of Science</v>
      </c>
    </row>
    <row r="202" spans="1:72" x14ac:dyDescent="0.15">
      <c r="A202" t="s">
        <v>72</v>
      </c>
      <c r="B202" t="s">
        <v>3950</v>
      </c>
      <c r="C202" t="s">
        <v>74</v>
      </c>
      <c r="D202" t="s">
        <v>74</v>
      </c>
      <c r="E202" t="s">
        <v>74</v>
      </c>
      <c r="F202" t="s">
        <v>3951</v>
      </c>
      <c r="G202" t="s">
        <v>74</v>
      </c>
      <c r="H202" t="s">
        <v>74</v>
      </c>
      <c r="I202" t="s">
        <v>3952</v>
      </c>
      <c r="J202" t="s">
        <v>1174</v>
      </c>
      <c r="K202" t="s">
        <v>74</v>
      </c>
      <c r="L202" t="s">
        <v>74</v>
      </c>
      <c r="M202" t="s">
        <v>78</v>
      </c>
      <c r="N202" t="s">
        <v>3953</v>
      </c>
      <c r="O202" t="s">
        <v>74</v>
      </c>
      <c r="P202" t="s">
        <v>74</v>
      </c>
      <c r="Q202" t="s">
        <v>74</v>
      </c>
      <c r="R202" t="s">
        <v>74</v>
      </c>
      <c r="S202" t="s">
        <v>74</v>
      </c>
      <c r="T202" t="s">
        <v>74</v>
      </c>
      <c r="U202" t="s">
        <v>3954</v>
      </c>
      <c r="V202" t="s">
        <v>3955</v>
      </c>
      <c r="W202" t="s">
        <v>3956</v>
      </c>
      <c r="X202" t="s">
        <v>690</v>
      </c>
      <c r="Y202" t="s">
        <v>3957</v>
      </c>
      <c r="Z202" t="s">
        <v>3958</v>
      </c>
      <c r="AA202" t="s">
        <v>3959</v>
      </c>
      <c r="AB202" t="s">
        <v>3960</v>
      </c>
      <c r="AC202" t="s">
        <v>3961</v>
      </c>
      <c r="AD202" t="s">
        <v>2843</v>
      </c>
      <c r="AE202" t="s">
        <v>74</v>
      </c>
      <c r="AF202" t="s">
        <v>74</v>
      </c>
      <c r="AG202">
        <v>15</v>
      </c>
      <c r="AH202">
        <v>32</v>
      </c>
      <c r="AI202">
        <v>37</v>
      </c>
      <c r="AJ202">
        <v>1</v>
      </c>
      <c r="AK202">
        <v>22</v>
      </c>
      <c r="AL202" t="s">
        <v>1774</v>
      </c>
      <c r="AM202" t="s">
        <v>310</v>
      </c>
      <c r="AN202" t="s">
        <v>3962</v>
      </c>
      <c r="AO202" t="s">
        <v>1189</v>
      </c>
      <c r="AP202" t="s">
        <v>74</v>
      </c>
      <c r="AQ202" t="s">
        <v>74</v>
      </c>
      <c r="AR202" t="s">
        <v>1191</v>
      </c>
      <c r="AS202" t="s">
        <v>1192</v>
      </c>
      <c r="AT202" t="s">
        <v>2226</v>
      </c>
      <c r="AU202">
        <v>2010</v>
      </c>
      <c r="AV202">
        <v>3</v>
      </c>
      <c r="AW202">
        <v>10</v>
      </c>
      <c r="AX202" t="s">
        <v>74</v>
      </c>
      <c r="AY202" t="s">
        <v>74</v>
      </c>
      <c r="AZ202" t="s">
        <v>74</v>
      </c>
      <c r="BA202" t="s">
        <v>74</v>
      </c>
      <c r="BB202">
        <v>666</v>
      </c>
      <c r="BC202">
        <v>667</v>
      </c>
      <c r="BD202" t="s">
        <v>74</v>
      </c>
      <c r="BE202" t="s">
        <v>3963</v>
      </c>
      <c r="BF202" t="str">
        <f>HYPERLINK("http://dx.doi.org/10.1038/ngeo970","http://dx.doi.org/10.1038/ngeo970")</f>
        <v>http://dx.doi.org/10.1038/ngeo970</v>
      </c>
      <c r="BG202" t="s">
        <v>74</v>
      </c>
      <c r="BH202" t="s">
        <v>74</v>
      </c>
      <c r="BI202">
        <v>2</v>
      </c>
      <c r="BJ202" t="s">
        <v>1194</v>
      </c>
      <c r="BK202" t="s">
        <v>100</v>
      </c>
      <c r="BL202" t="s">
        <v>807</v>
      </c>
      <c r="BM202" t="s">
        <v>3964</v>
      </c>
      <c r="BN202" t="s">
        <v>74</v>
      </c>
      <c r="BO202" t="s">
        <v>74</v>
      </c>
      <c r="BP202" t="s">
        <v>74</v>
      </c>
      <c r="BQ202" t="s">
        <v>74</v>
      </c>
      <c r="BR202" t="s">
        <v>104</v>
      </c>
      <c r="BS202" t="s">
        <v>3965</v>
      </c>
      <c r="BT202" t="str">
        <f>HYPERLINK("https%3A%2F%2Fwww.webofscience.com%2Fwos%2Fwoscc%2Ffull-record%2FWOS:000282413900003","View Full Record in Web of Science")</f>
        <v>View Full Record in Web of Science</v>
      </c>
    </row>
    <row r="203" spans="1:72" x14ac:dyDescent="0.15">
      <c r="A203" t="s">
        <v>72</v>
      </c>
      <c r="B203" t="s">
        <v>3966</v>
      </c>
      <c r="C203" t="s">
        <v>74</v>
      </c>
      <c r="D203" t="s">
        <v>74</v>
      </c>
      <c r="E203" t="s">
        <v>74</v>
      </c>
      <c r="F203" t="s">
        <v>3967</v>
      </c>
      <c r="G203" t="s">
        <v>74</v>
      </c>
      <c r="H203" t="s">
        <v>74</v>
      </c>
      <c r="I203" t="s">
        <v>3968</v>
      </c>
      <c r="J203" t="s">
        <v>1174</v>
      </c>
      <c r="K203" t="s">
        <v>74</v>
      </c>
      <c r="L203" t="s">
        <v>74</v>
      </c>
      <c r="M203" t="s">
        <v>78</v>
      </c>
      <c r="N203" t="s">
        <v>79</v>
      </c>
      <c r="O203" t="s">
        <v>74</v>
      </c>
      <c r="P203" t="s">
        <v>74</v>
      </c>
      <c r="Q203" t="s">
        <v>74</v>
      </c>
      <c r="R203" t="s">
        <v>74</v>
      </c>
      <c r="S203" t="s">
        <v>74</v>
      </c>
      <c r="T203" t="s">
        <v>74</v>
      </c>
      <c r="U203" t="s">
        <v>3969</v>
      </c>
      <c r="V203" t="s">
        <v>3970</v>
      </c>
      <c r="W203" t="s">
        <v>3971</v>
      </c>
      <c r="X203" t="s">
        <v>3972</v>
      </c>
      <c r="Y203" t="s">
        <v>3973</v>
      </c>
      <c r="Z203" t="s">
        <v>3974</v>
      </c>
      <c r="AA203" t="s">
        <v>3975</v>
      </c>
      <c r="AB203" t="s">
        <v>3976</v>
      </c>
      <c r="AC203" t="s">
        <v>3977</v>
      </c>
      <c r="AD203" t="s">
        <v>3978</v>
      </c>
      <c r="AE203" t="s">
        <v>3979</v>
      </c>
      <c r="AF203" t="s">
        <v>74</v>
      </c>
      <c r="AG203">
        <v>29</v>
      </c>
      <c r="AH203">
        <v>172</v>
      </c>
      <c r="AI203">
        <v>187</v>
      </c>
      <c r="AJ203">
        <v>3</v>
      </c>
      <c r="AK203">
        <v>62</v>
      </c>
      <c r="AL203" t="s">
        <v>1774</v>
      </c>
      <c r="AM203" t="s">
        <v>310</v>
      </c>
      <c r="AN203" t="s">
        <v>3962</v>
      </c>
      <c r="AO203" t="s">
        <v>1189</v>
      </c>
      <c r="AP203" t="s">
        <v>74</v>
      </c>
      <c r="AQ203" t="s">
        <v>74</v>
      </c>
      <c r="AR203" t="s">
        <v>1191</v>
      </c>
      <c r="AS203" t="s">
        <v>1192</v>
      </c>
      <c r="AT203" t="s">
        <v>2226</v>
      </c>
      <c r="AU203">
        <v>2010</v>
      </c>
      <c r="AV203">
        <v>3</v>
      </c>
      <c r="AW203">
        <v>10</v>
      </c>
      <c r="AX203" t="s">
        <v>74</v>
      </c>
      <c r="AY203" t="s">
        <v>74</v>
      </c>
      <c r="AZ203" t="s">
        <v>74</v>
      </c>
      <c r="BA203" t="s">
        <v>74</v>
      </c>
      <c r="BB203">
        <v>700</v>
      </c>
      <c r="BC203">
        <v>704</v>
      </c>
      <c r="BD203" t="s">
        <v>74</v>
      </c>
      <c r="BE203" t="s">
        <v>3980</v>
      </c>
      <c r="BF203" t="str">
        <f>HYPERLINK("http://dx.doi.org/10.1038/NGEO962","http://dx.doi.org/10.1038/NGEO962")</f>
        <v>http://dx.doi.org/10.1038/NGEO962</v>
      </c>
      <c r="BG203" t="s">
        <v>74</v>
      </c>
      <c r="BH203" t="s">
        <v>74</v>
      </c>
      <c r="BI203">
        <v>5</v>
      </c>
      <c r="BJ203" t="s">
        <v>1194</v>
      </c>
      <c r="BK203" t="s">
        <v>100</v>
      </c>
      <c r="BL203" t="s">
        <v>807</v>
      </c>
      <c r="BM203" t="s">
        <v>3964</v>
      </c>
      <c r="BN203" t="s">
        <v>74</v>
      </c>
      <c r="BO203" t="s">
        <v>74</v>
      </c>
      <c r="BP203" t="s">
        <v>74</v>
      </c>
      <c r="BQ203" t="s">
        <v>74</v>
      </c>
      <c r="BR203" t="s">
        <v>104</v>
      </c>
      <c r="BS203" t="s">
        <v>3981</v>
      </c>
      <c r="BT203" t="str">
        <f>HYPERLINK("https%3A%2F%2Fwww.webofscience.com%2Fwos%2Fwoscc%2Ffull-record%2FWOS:000282413900013","View Full Record in Web of Science")</f>
        <v>View Full Record in Web of Science</v>
      </c>
    </row>
    <row r="204" spans="1:72" x14ac:dyDescent="0.15">
      <c r="A204" t="s">
        <v>72</v>
      </c>
      <c r="B204" t="s">
        <v>3982</v>
      </c>
      <c r="C204" t="s">
        <v>74</v>
      </c>
      <c r="D204" t="s">
        <v>74</v>
      </c>
      <c r="E204" t="s">
        <v>74</v>
      </c>
      <c r="F204" t="s">
        <v>3983</v>
      </c>
      <c r="G204" t="s">
        <v>74</v>
      </c>
      <c r="H204" t="s">
        <v>74</v>
      </c>
      <c r="I204" t="s">
        <v>3984</v>
      </c>
      <c r="J204" t="s">
        <v>3985</v>
      </c>
      <c r="K204" t="s">
        <v>74</v>
      </c>
      <c r="L204" t="s">
        <v>74</v>
      </c>
      <c r="M204" t="s">
        <v>78</v>
      </c>
      <c r="N204" t="s">
        <v>79</v>
      </c>
      <c r="O204" t="s">
        <v>74</v>
      </c>
      <c r="P204" t="s">
        <v>74</v>
      </c>
      <c r="Q204" t="s">
        <v>74</v>
      </c>
      <c r="R204" t="s">
        <v>74</v>
      </c>
      <c r="S204" t="s">
        <v>74</v>
      </c>
      <c r="T204" t="s">
        <v>3986</v>
      </c>
      <c r="U204" t="s">
        <v>3987</v>
      </c>
      <c r="V204" t="s">
        <v>3988</v>
      </c>
      <c r="W204" t="s">
        <v>3989</v>
      </c>
      <c r="X204" t="s">
        <v>3990</v>
      </c>
      <c r="Y204" t="s">
        <v>3991</v>
      </c>
      <c r="Z204" t="s">
        <v>3992</v>
      </c>
      <c r="AA204" t="s">
        <v>3993</v>
      </c>
      <c r="AB204" t="s">
        <v>3994</v>
      </c>
      <c r="AC204" t="s">
        <v>3995</v>
      </c>
      <c r="AD204" t="s">
        <v>3996</v>
      </c>
      <c r="AE204" t="s">
        <v>3997</v>
      </c>
      <c r="AF204" t="s">
        <v>74</v>
      </c>
      <c r="AG204">
        <v>39</v>
      </c>
      <c r="AH204">
        <v>43</v>
      </c>
      <c r="AI204">
        <v>49</v>
      </c>
      <c r="AJ204">
        <v>7</v>
      </c>
      <c r="AK204">
        <v>50</v>
      </c>
      <c r="AL204" t="s">
        <v>338</v>
      </c>
      <c r="AM204" t="s">
        <v>673</v>
      </c>
      <c r="AN204" t="s">
        <v>674</v>
      </c>
      <c r="AO204" t="s">
        <v>3998</v>
      </c>
      <c r="AP204" t="s">
        <v>74</v>
      </c>
      <c r="AQ204" t="s">
        <v>74</v>
      </c>
      <c r="AR204" t="s">
        <v>3999</v>
      </c>
      <c r="AS204" t="s">
        <v>4000</v>
      </c>
      <c r="AT204" t="s">
        <v>2226</v>
      </c>
      <c r="AU204">
        <v>2010</v>
      </c>
      <c r="AV204">
        <v>33</v>
      </c>
      <c r="AW204">
        <v>10</v>
      </c>
      <c r="AX204" t="s">
        <v>74</v>
      </c>
      <c r="AY204" t="s">
        <v>74</v>
      </c>
      <c r="AZ204" t="s">
        <v>74</v>
      </c>
      <c r="BA204" t="s">
        <v>74</v>
      </c>
      <c r="BB204">
        <v>1731</v>
      </c>
      <c r="BC204">
        <v>1741</v>
      </c>
      <c r="BD204" t="s">
        <v>74</v>
      </c>
      <c r="BE204" t="s">
        <v>4001</v>
      </c>
      <c r="BF204" t="str">
        <f>HYPERLINK("http://dx.doi.org/10.1111/j.1365-3040.2010.02178.x","http://dx.doi.org/10.1111/j.1365-3040.2010.02178.x")</f>
        <v>http://dx.doi.org/10.1111/j.1365-3040.2010.02178.x</v>
      </c>
      <c r="BG204" t="s">
        <v>74</v>
      </c>
      <c r="BH204" t="s">
        <v>74</v>
      </c>
      <c r="BI204">
        <v>11</v>
      </c>
      <c r="BJ204" t="s">
        <v>4002</v>
      </c>
      <c r="BK204" t="s">
        <v>100</v>
      </c>
      <c r="BL204" t="s">
        <v>4002</v>
      </c>
      <c r="BM204" t="s">
        <v>4003</v>
      </c>
      <c r="BN204">
        <v>20525002</v>
      </c>
      <c r="BO204" t="s">
        <v>1697</v>
      </c>
      <c r="BP204" t="s">
        <v>74</v>
      </c>
      <c r="BQ204" t="s">
        <v>74</v>
      </c>
      <c r="BR204" t="s">
        <v>104</v>
      </c>
      <c r="BS204" t="s">
        <v>4004</v>
      </c>
      <c r="BT204" t="str">
        <f>HYPERLINK("https%3A%2F%2Fwww.webofscience.com%2Fwos%2Fwoscc%2Ffull-record%2FWOS:000281638000011","View Full Record in Web of Science")</f>
        <v>View Full Record in Web of Science</v>
      </c>
    </row>
    <row r="205" spans="1:72" x14ac:dyDescent="0.15">
      <c r="A205" t="s">
        <v>72</v>
      </c>
      <c r="B205" t="s">
        <v>4005</v>
      </c>
      <c r="C205" t="s">
        <v>74</v>
      </c>
      <c r="D205" t="s">
        <v>74</v>
      </c>
      <c r="E205" t="s">
        <v>74</v>
      </c>
      <c r="F205" t="s">
        <v>4006</v>
      </c>
      <c r="G205" t="s">
        <v>74</v>
      </c>
      <c r="H205" t="s">
        <v>74</v>
      </c>
      <c r="I205" t="s">
        <v>4007</v>
      </c>
      <c r="J205" t="s">
        <v>1265</v>
      </c>
      <c r="K205" t="s">
        <v>74</v>
      </c>
      <c r="L205" t="s">
        <v>74</v>
      </c>
      <c r="M205" t="s">
        <v>78</v>
      </c>
      <c r="N205" t="s">
        <v>79</v>
      </c>
      <c r="O205" t="s">
        <v>74</v>
      </c>
      <c r="P205" t="s">
        <v>74</v>
      </c>
      <c r="Q205" t="s">
        <v>74</v>
      </c>
      <c r="R205" t="s">
        <v>74</v>
      </c>
      <c r="S205" t="s">
        <v>74</v>
      </c>
      <c r="T205" t="s">
        <v>4008</v>
      </c>
      <c r="U205" t="s">
        <v>4009</v>
      </c>
      <c r="V205" t="s">
        <v>4010</v>
      </c>
      <c r="W205" t="s">
        <v>4011</v>
      </c>
      <c r="X205" t="s">
        <v>4012</v>
      </c>
      <c r="Y205" t="s">
        <v>4013</v>
      </c>
      <c r="Z205" t="s">
        <v>4014</v>
      </c>
      <c r="AA205" t="s">
        <v>4015</v>
      </c>
      <c r="AB205" t="s">
        <v>4016</v>
      </c>
      <c r="AC205" t="s">
        <v>4017</v>
      </c>
      <c r="AD205" t="s">
        <v>4018</v>
      </c>
      <c r="AE205" t="s">
        <v>4019</v>
      </c>
      <c r="AF205" t="s">
        <v>74</v>
      </c>
      <c r="AG205">
        <v>47</v>
      </c>
      <c r="AH205">
        <v>6</v>
      </c>
      <c r="AI205">
        <v>6</v>
      </c>
      <c r="AJ205">
        <v>1</v>
      </c>
      <c r="AK205">
        <v>7</v>
      </c>
      <c r="AL205" t="s">
        <v>464</v>
      </c>
      <c r="AM205" t="s">
        <v>310</v>
      </c>
      <c r="AN205" t="s">
        <v>465</v>
      </c>
      <c r="AO205" t="s">
        <v>1277</v>
      </c>
      <c r="AP205" t="s">
        <v>74</v>
      </c>
      <c r="AQ205" t="s">
        <v>74</v>
      </c>
      <c r="AR205" t="s">
        <v>1279</v>
      </c>
      <c r="AS205" t="s">
        <v>1280</v>
      </c>
      <c r="AT205" t="s">
        <v>2226</v>
      </c>
      <c r="AU205">
        <v>2010</v>
      </c>
      <c r="AV205">
        <v>33</v>
      </c>
      <c r="AW205">
        <v>10</v>
      </c>
      <c r="AX205" t="s">
        <v>74</v>
      </c>
      <c r="AY205" t="s">
        <v>74</v>
      </c>
      <c r="AZ205" t="s">
        <v>74</v>
      </c>
      <c r="BA205" t="s">
        <v>74</v>
      </c>
      <c r="BB205">
        <v>1311</v>
      </c>
      <c r="BC205">
        <v>1318</v>
      </c>
      <c r="BD205" t="s">
        <v>74</v>
      </c>
      <c r="BE205" t="s">
        <v>4020</v>
      </c>
      <c r="BF205" t="str">
        <f>HYPERLINK("http://dx.doi.org/10.1007/s00300-010-0818-8","http://dx.doi.org/10.1007/s00300-010-0818-8")</f>
        <v>http://dx.doi.org/10.1007/s00300-010-0818-8</v>
      </c>
      <c r="BG205" t="s">
        <v>74</v>
      </c>
      <c r="BH205" t="s">
        <v>74</v>
      </c>
      <c r="BI205">
        <v>8</v>
      </c>
      <c r="BJ205" t="s">
        <v>1282</v>
      </c>
      <c r="BK205" t="s">
        <v>100</v>
      </c>
      <c r="BL205" t="s">
        <v>680</v>
      </c>
      <c r="BM205" t="s">
        <v>4021</v>
      </c>
      <c r="BN205" t="s">
        <v>74</v>
      </c>
      <c r="BO205" t="s">
        <v>74</v>
      </c>
      <c r="BP205" t="s">
        <v>74</v>
      </c>
      <c r="BQ205" t="s">
        <v>74</v>
      </c>
      <c r="BR205" t="s">
        <v>104</v>
      </c>
      <c r="BS205" t="s">
        <v>4022</v>
      </c>
      <c r="BT205" t="str">
        <f>HYPERLINK("https%3A%2F%2Fwww.webofscience.com%2Fwos%2Fwoscc%2Ffull-record%2FWOS:000281740300002","View Full Record in Web of Science")</f>
        <v>View Full Record in Web of Science</v>
      </c>
    </row>
    <row r="206" spans="1:72" x14ac:dyDescent="0.15">
      <c r="A206" t="s">
        <v>72</v>
      </c>
      <c r="B206" t="s">
        <v>4023</v>
      </c>
      <c r="C206" t="s">
        <v>74</v>
      </c>
      <c r="D206" t="s">
        <v>74</v>
      </c>
      <c r="E206" t="s">
        <v>74</v>
      </c>
      <c r="F206" t="s">
        <v>4024</v>
      </c>
      <c r="G206" t="s">
        <v>74</v>
      </c>
      <c r="H206" t="s">
        <v>74</v>
      </c>
      <c r="I206" t="s">
        <v>4025</v>
      </c>
      <c r="J206" t="s">
        <v>1265</v>
      </c>
      <c r="K206" t="s">
        <v>74</v>
      </c>
      <c r="L206" t="s">
        <v>74</v>
      </c>
      <c r="M206" t="s">
        <v>78</v>
      </c>
      <c r="N206" t="s">
        <v>79</v>
      </c>
      <c r="O206" t="s">
        <v>74</v>
      </c>
      <c r="P206" t="s">
        <v>74</v>
      </c>
      <c r="Q206" t="s">
        <v>74</v>
      </c>
      <c r="R206" t="s">
        <v>74</v>
      </c>
      <c r="S206" t="s">
        <v>74</v>
      </c>
      <c r="T206" t="s">
        <v>4026</v>
      </c>
      <c r="U206" t="s">
        <v>4027</v>
      </c>
      <c r="V206" t="s">
        <v>4028</v>
      </c>
      <c r="W206" t="s">
        <v>4029</v>
      </c>
      <c r="X206" t="s">
        <v>4030</v>
      </c>
      <c r="Y206" t="s">
        <v>4031</v>
      </c>
      <c r="Z206" t="s">
        <v>4032</v>
      </c>
      <c r="AA206" t="s">
        <v>4033</v>
      </c>
      <c r="AB206" t="s">
        <v>4034</v>
      </c>
      <c r="AC206" t="s">
        <v>4035</v>
      </c>
      <c r="AD206" t="s">
        <v>4036</v>
      </c>
      <c r="AE206" t="s">
        <v>4037</v>
      </c>
      <c r="AF206" t="s">
        <v>74</v>
      </c>
      <c r="AG206">
        <v>78</v>
      </c>
      <c r="AH206">
        <v>27</v>
      </c>
      <c r="AI206">
        <v>30</v>
      </c>
      <c r="AJ206">
        <v>0</v>
      </c>
      <c r="AK206">
        <v>19</v>
      </c>
      <c r="AL206" t="s">
        <v>464</v>
      </c>
      <c r="AM206" t="s">
        <v>310</v>
      </c>
      <c r="AN206" t="s">
        <v>971</v>
      </c>
      <c r="AO206" t="s">
        <v>1277</v>
      </c>
      <c r="AP206" t="s">
        <v>1278</v>
      </c>
      <c r="AQ206" t="s">
        <v>74</v>
      </c>
      <c r="AR206" t="s">
        <v>1279</v>
      </c>
      <c r="AS206" t="s">
        <v>1280</v>
      </c>
      <c r="AT206" t="s">
        <v>2226</v>
      </c>
      <c r="AU206">
        <v>2010</v>
      </c>
      <c r="AV206">
        <v>33</v>
      </c>
      <c r="AW206">
        <v>10</v>
      </c>
      <c r="AX206" t="s">
        <v>74</v>
      </c>
      <c r="AY206" t="s">
        <v>74</v>
      </c>
      <c r="AZ206" t="s">
        <v>74</v>
      </c>
      <c r="BA206" t="s">
        <v>74</v>
      </c>
      <c r="BB206">
        <v>1319</v>
      </c>
      <c r="BC206">
        <v>1329</v>
      </c>
      <c r="BD206" t="s">
        <v>74</v>
      </c>
      <c r="BE206" t="s">
        <v>4038</v>
      </c>
      <c r="BF206" t="str">
        <f>HYPERLINK("http://dx.doi.org/10.1007/s00300-010-0819-7","http://dx.doi.org/10.1007/s00300-010-0819-7")</f>
        <v>http://dx.doi.org/10.1007/s00300-010-0819-7</v>
      </c>
      <c r="BG206" t="s">
        <v>74</v>
      </c>
      <c r="BH206" t="s">
        <v>74</v>
      </c>
      <c r="BI206">
        <v>11</v>
      </c>
      <c r="BJ206" t="s">
        <v>1282</v>
      </c>
      <c r="BK206" t="s">
        <v>100</v>
      </c>
      <c r="BL206" t="s">
        <v>680</v>
      </c>
      <c r="BM206" t="s">
        <v>4021</v>
      </c>
      <c r="BN206" t="s">
        <v>74</v>
      </c>
      <c r="BO206" t="s">
        <v>74</v>
      </c>
      <c r="BP206" t="s">
        <v>74</v>
      </c>
      <c r="BQ206" t="s">
        <v>74</v>
      </c>
      <c r="BR206" t="s">
        <v>104</v>
      </c>
      <c r="BS206" t="s">
        <v>4039</v>
      </c>
      <c r="BT206" t="str">
        <f>HYPERLINK("https%3A%2F%2Fwww.webofscience.com%2Fwos%2Fwoscc%2Ffull-record%2FWOS:000281740300003","View Full Record in Web of Science")</f>
        <v>View Full Record in Web of Science</v>
      </c>
    </row>
    <row r="207" spans="1:72" x14ac:dyDescent="0.15">
      <c r="A207" t="s">
        <v>72</v>
      </c>
      <c r="B207" t="s">
        <v>4040</v>
      </c>
      <c r="C207" t="s">
        <v>74</v>
      </c>
      <c r="D207" t="s">
        <v>74</v>
      </c>
      <c r="E207" t="s">
        <v>74</v>
      </c>
      <c r="F207" t="s">
        <v>4041</v>
      </c>
      <c r="G207" t="s">
        <v>74</v>
      </c>
      <c r="H207" t="s">
        <v>74</v>
      </c>
      <c r="I207" t="s">
        <v>4042</v>
      </c>
      <c r="J207" t="s">
        <v>1265</v>
      </c>
      <c r="K207" t="s">
        <v>74</v>
      </c>
      <c r="L207" t="s">
        <v>74</v>
      </c>
      <c r="M207" t="s">
        <v>78</v>
      </c>
      <c r="N207" t="s">
        <v>79</v>
      </c>
      <c r="O207" t="s">
        <v>74</v>
      </c>
      <c r="P207" t="s">
        <v>74</v>
      </c>
      <c r="Q207" t="s">
        <v>74</v>
      </c>
      <c r="R207" t="s">
        <v>74</v>
      </c>
      <c r="S207" t="s">
        <v>74</v>
      </c>
      <c r="T207" t="s">
        <v>4043</v>
      </c>
      <c r="U207" t="s">
        <v>4044</v>
      </c>
      <c r="V207" t="s">
        <v>4045</v>
      </c>
      <c r="W207" t="s">
        <v>4046</v>
      </c>
      <c r="X207" t="s">
        <v>4047</v>
      </c>
      <c r="Y207" t="s">
        <v>4048</v>
      </c>
      <c r="Z207" t="s">
        <v>4049</v>
      </c>
      <c r="AA207" t="s">
        <v>74</v>
      </c>
      <c r="AB207" t="s">
        <v>74</v>
      </c>
      <c r="AC207" t="s">
        <v>4050</v>
      </c>
      <c r="AD207" t="s">
        <v>4051</v>
      </c>
      <c r="AE207" t="s">
        <v>4052</v>
      </c>
      <c r="AF207" t="s">
        <v>74</v>
      </c>
      <c r="AG207">
        <v>31</v>
      </c>
      <c r="AH207">
        <v>2</v>
      </c>
      <c r="AI207">
        <v>2</v>
      </c>
      <c r="AJ207">
        <v>0</v>
      </c>
      <c r="AK207">
        <v>31</v>
      </c>
      <c r="AL207" t="s">
        <v>464</v>
      </c>
      <c r="AM207" t="s">
        <v>310</v>
      </c>
      <c r="AN207" t="s">
        <v>465</v>
      </c>
      <c r="AO207" t="s">
        <v>1277</v>
      </c>
      <c r="AP207" t="s">
        <v>74</v>
      </c>
      <c r="AQ207" t="s">
        <v>74</v>
      </c>
      <c r="AR207" t="s">
        <v>1279</v>
      </c>
      <c r="AS207" t="s">
        <v>1280</v>
      </c>
      <c r="AT207" t="s">
        <v>2226</v>
      </c>
      <c r="AU207">
        <v>2010</v>
      </c>
      <c r="AV207">
        <v>33</v>
      </c>
      <c r="AW207">
        <v>10</v>
      </c>
      <c r="AX207" t="s">
        <v>74</v>
      </c>
      <c r="AY207" t="s">
        <v>74</v>
      </c>
      <c r="AZ207" t="s">
        <v>74</v>
      </c>
      <c r="BA207" t="s">
        <v>74</v>
      </c>
      <c r="BB207">
        <v>1387</v>
      </c>
      <c r="BC207">
        <v>1397</v>
      </c>
      <c r="BD207" t="s">
        <v>74</v>
      </c>
      <c r="BE207" t="s">
        <v>4053</v>
      </c>
      <c r="BF207" t="str">
        <f>HYPERLINK("http://dx.doi.org/10.1007/s00300-010-0828-6","http://dx.doi.org/10.1007/s00300-010-0828-6")</f>
        <v>http://dx.doi.org/10.1007/s00300-010-0828-6</v>
      </c>
      <c r="BG207" t="s">
        <v>74</v>
      </c>
      <c r="BH207" t="s">
        <v>74</v>
      </c>
      <c r="BI207">
        <v>11</v>
      </c>
      <c r="BJ207" t="s">
        <v>1282</v>
      </c>
      <c r="BK207" t="s">
        <v>100</v>
      </c>
      <c r="BL207" t="s">
        <v>680</v>
      </c>
      <c r="BM207" t="s">
        <v>4021</v>
      </c>
      <c r="BN207" t="s">
        <v>74</v>
      </c>
      <c r="BO207" t="s">
        <v>74</v>
      </c>
      <c r="BP207" t="s">
        <v>74</v>
      </c>
      <c r="BQ207" t="s">
        <v>74</v>
      </c>
      <c r="BR207" t="s">
        <v>104</v>
      </c>
      <c r="BS207" t="s">
        <v>4054</v>
      </c>
      <c r="BT207" t="str">
        <f>HYPERLINK("https%3A%2F%2Fwww.webofscience.com%2Fwos%2Fwoscc%2Ffull-record%2FWOS:000281740300010","View Full Record in Web of Science")</f>
        <v>View Full Record in Web of Science</v>
      </c>
    </row>
    <row r="208" spans="1:72" x14ac:dyDescent="0.15">
      <c r="A208" t="s">
        <v>72</v>
      </c>
      <c r="B208" t="s">
        <v>4055</v>
      </c>
      <c r="C208" t="s">
        <v>74</v>
      </c>
      <c r="D208" t="s">
        <v>74</v>
      </c>
      <c r="E208" t="s">
        <v>74</v>
      </c>
      <c r="F208" t="s">
        <v>4056</v>
      </c>
      <c r="G208" t="s">
        <v>74</v>
      </c>
      <c r="H208" t="s">
        <v>74</v>
      </c>
      <c r="I208" t="s">
        <v>4057</v>
      </c>
      <c r="J208" t="s">
        <v>1265</v>
      </c>
      <c r="K208" t="s">
        <v>74</v>
      </c>
      <c r="L208" t="s">
        <v>74</v>
      </c>
      <c r="M208" t="s">
        <v>78</v>
      </c>
      <c r="N208" t="s">
        <v>79</v>
      </c>
      <c r="O208" t="s">
        <v>74</v>
      </c>
      <c r="P208" t="s">
        <v>74</v>
      </c>
      <c r="Q208" t="s">
        <v>74</v>
      </c>
      <c r="R208" t="s">
        <v>74</v>
      </c>
      <c r="S208" t="s">
        <v>74</v>
      </c>
      <c r="T208" t="s">
        <v>4058</v>
      </c>
      <c r="U208" t="s">
        <v>4059</v>
      </c>
      <c r="V208" t="s">
        <v>4060</v>
      </c>
      <c r="W208" t="s">
        <v>4061</v>
      </c>
      <c r="X208" t="s">
        <v>4062</v>
      </c>
      <c r="Y208" t="s">
        <v>4063</v>
      </c>
      <c r="Z208" t="s">
        <v>4064</v>
      </c>
      <c r="AA208" t="s">
        <v>4065</v>
      </c>
      <c r="AB208" t="s">
        <v>4066</v>
      </c>
      <c r="AC208" t="s">
        <v>4067</v>
      </c>
      <c r="AD208" t="s">
        <v>4068</v>
      </c>
      <c r="AE208" t="s">
        <v>4069</v>
      </c>
      <c r="AF208" t="s">
        <v>74</v>
      </c>
      <c r="AG208">
        <v>44</v>
      </c>
      <c r="AH208">
        <v>15</v>
      </c>
      <c r="AI208">
        <v>20</v>
      </c>
      <c r="AJ208">
        <v>3</v>
      </c>
      <c r="AK208">
        <v>52</v>
      </c>
      <c r="AL208" t="s">
        <v>464</v>
      </c>
      <c r="AM208" t="s">
        <v>310</v>
      </c>
      <c r="AN208" t="s">
        <v>465</v>
      </c>
      <c r="AO208" t="s">
        <v>1277</v>
      </c>
      <c r="AP208" t="s">
        <v>74</v>
      </c>
      <c r="AQ208" t="s">
        <v>74</v>
      </c>
      <c r="AR208" t="s">
        <v>1279</v>
      </c>
      <c r="AS208" t="s">
        <v>1280</v>
      </c>
      <c r="AT208" t="s">
        <v>2226</v>
      </c>
      <c r="AU208">
        <v>2010</v>
      </c>
      <c r="AV208">
        <v>33</v>
      </c>
      <c r="AW208">
        <v>10</v>
      </c>
      <c r="AX208" t="s">
        <v>74</v>
      </c>
      <c r="AY208" t="s">
        <v>74</v>
      </c>
      <c r="AZ208" t="s">
        <v>74</v>
      </c>
      <c r="BA208" t="s">
        <v>74</v>
      </c>
      <c r="BB208">
        <v>1399</v>
      </c>
      <c r="BC208">
        <v>1406</v>
      </c>
      <c r="BD208" t="s">
        <v>74</v>
      </c>
      <c r="BE208" t="s">
        <v>4070</v>
      </c>
      <c r="BF208" t="str">
        <f>HYPERLINK("http://dx.doi.org/10.1007/s00300-010-0832-x","http://dx.doi.org/10.1007/s00300-010-0832-x")</f>
        <v>http://dx.doi.org/10.1007/s00300-010-0832-x</v>
      </c>
      <c r="BG208" t="s">
        <v>74</v>
      </c>
      <c r="BH208" t="s">
        <v>74</v>
      </c>
      <c r="BI208">
        <v>8</v>
      </c>
      <c r="BJ208" t="s">
        <v>1282</v>
      </c>
      <c r="BK208" t="s">
        <v>100</v>
      </c>
      <c r="BL208" t="s">
        <v>680</v>
      </c>
      <c r="BM208" t="s">
        <v>4021</v>
      </c>
      <c r="BN208" t="s">
        <v>74</v>
      </c>
      <c r="BO208" t="s">
        <v>74</v>
      </c>
      <c r="BP208" t="s">
        <v>74</v>
      </c>
      <c r="BQ208" t="s">
        <v>74</v>
      </c>
      <c r="BR208" t="s">
        <v>104</v>
      </c>
      <c r="BS208" t="s">
        <v>4071</v>
      </c>
      <c r="BT208" t="str">
        <f>HYPERLINK("https%3A%2F%2Fwww.webofscience.com%2Fwos%2Fwoscc%2Ffull-record%2FWOS:000281740300011","View Full Record in Web of Science")</f>
        <v>View Full Record in Web of Science</v>
      </c>
    </row>
    <row r="209" spans="1:72" x14ac:dyDescent="0.15">
      <c r="A209" t="s">
        <v>72</v>
      </c>
      <c r="B209" t="s">
        <v>4072</v>
      </c>
      <c r="C209" t="s">
        <v>74</v>
      </c>
      <c r="D209" t="s">
        <v>74</v>
      </c>
      <c r="E209" t="s">
        <v>74</v>
      </c>
      <c r="F209" t="s">
        <v>4073</v>
      </c>
      <c r="G209" t="s">
        <v>74</v>
      </c>
      <c r="H209" t="s">
        <v>74</v>
      </c>
      <c r="I209" t="s">
        <v>4074</v>
      </c>
      <c r="J209" t="s">
        <v>1265</v>
      </c>
      <c r="K209" t="s">
        <v>74</v>
      </c>
      <c r="L209" t="s">
        <v>74</v>
      </c>
      <c r="M209" t="s">
        <v>78</v>
      </c>
      <c r="N209" t="s">
        <v>79</v>
      </c>
      <c r="O209" t="s">
        <v>74</v>
      </c>
      <c r="P209" t="s">
        <v>74</v>
      </c>
      <c r="Q209" t="s">
        <v>74</v>
      </c>
      <c r="R209" t="s">
        <v>74</v>
      </c>
      <c r="S209" t="s">
        <v>74</v>
      </c>
      <c r="T209" t="s">
        <v>4075</v>
      </c>
      <c r="U209" t="s">
        <v>4076</v>
      </c>
      <c r="V209" t="s">
        <v>4077</v>
      </c>
      <c r="W209" t="s">
        <v>4078</v>
      </c>
      <c r="X209" t="s">
        <v>4079</v>
      </c>
      <c r="Y209" t="s">
        <v>4080</v>
      </c>
      <c r="Z209" t="s">
        <v>4081</v>
      </c>
      <c r="AA209" t="s">
        <v>4082</v>
      </c>
      <c r="AB209" t="s">
        <v>4083</v>
      </c>
      <c r="AC209" t="s">
        <v>4084</v>
      </c>
      <c r="AD209" t="s">
        <v>4085</v>
      </c>
      <c r="AE209" t="s">
        <v>4086</v>
      </c>
      <c r="AF209" t="s">
        <v>74</v>
      </c>
      <c r="AG209">
        <v>48</v>
      </c>
      <c r="AH209">
        <v>55</v>
      </c>
      <c r="AI209">
        <v>60</v>
      </c>
      <c r="AJ209">
        <v>0</v>
      </c>
      <c r="AK209">
        <v>21</v>
      </c>
      <c r="AL209" t="s">
        <v>464</v>
      </c>
      <c r="AM209" t="s">
        <v>310</v>
      </c>
      <c r="AN209" t="s">
        <v>971</v>
      </c>
      <c r="AO209" t="s">
        <v>1277</v>
      </c>
      <c r="AP209" t="s">
        <v>1278</v>
      </c>
      <c r="AQ209" t="s">
        <v>74</v>
      </c>
      <c r="AR209" t="s">
        <v>1279</v>
      </c>
      <c r="AS209" t="s">
        <v>1280</v>
      </c>
      <c r="AT209" t="s">
        <v>2226</v>
      </c>
      <c r="AU209">
        <v>2010</v>
      </c>
      <c r="AV209">
        <v>33</v>
      </c>
      <c r="AW209">
        <v>10</v>
      </c>
      <c r="AX209" t="s">
        <v>74</v>
      </c>
      <c r="AY209" t="s">
        <v>74</v>
      </c>
      <c r="AZ209" t="s">
        <v>74</v>
      </c>
      <c r="BA209" t="s">
        <v>74</v>
      </c>
      <c r="BB209">
        <v>1419</v>
      </c>
      <c r="BC209">
        <v>1428</v>
      </c>
      <c r="BD209" t="s">
        <v>74</v>
      </c>
      <c r="BE209" t="s">
        <v>4087</v>
      </c>
      <c r="BF209" t="str">
        <f>HYPERLINK("http://dx.doi.org/10.1007/s00300-010-0834-8","http://dx.doi.org/10.1007/s00300-010-0834-8")</f>
        <v>http://dx.doi.org/10.1007/s00300-010-0834-8</v>
      </c>
      <c r="BG209" t="s">
        <v>74</v>
      </c>
      <c r="BH209" t="s">
        <v>74</v>
      </c>
      <c r="BI209">
        <v>10</v>
      </c>
      <c r="BJ209" t="s">
        <v>1282</v>
      </c>
      <c r="BK209" t="s">
        <v>100</v>
      </c>
      <c r="BL209" t="s">
        <v>680</v>
      </c>
      <c r="BM209" t="s">
        <v>4021</v>
      </c>
      <c r="BN209" t="s">
        <v>74</v>
      </c>
      <c r="BO209" t="s">
        <v>74</v>
      </c>
      <c r="BP209" t="s">
        <v>74</v>
      </c>
      <c r="BQ209" t="s">
        <v>74</v>
      </c>
      <c r="BR209" t="s">
        <v>104</v>
      </c>
      <c r="BS209" t="s">
        <v>4088</v>
      </c>
      <c r="BT209" t="str">
        <f>HYPERLINK("https%3A%2F%2Fwww.webofscience.com%2Fwos%2Fwoscc%2Ffull-record%2FWOS:000281740300013","View Full Record in Web of Science")</f>
        <v>View Full Record in Web of Science</v>
      </c>
    </row>
    <row r="210" spans="1:72" x14ac:dyDescent="0.15">
      <c r="A210" t="s">
        <v>72</v>
      </c>
      <c r="B210" t="s">
        <v>4089</v>
      </c>
      <c r="C210" t="s">
        <v>74</v>
      </c>
      <c r="D210" t="s">
        <v>74</v>
      </c>
      <c r="E210" t="s">
        <v>74</v>
      </c>
      <c r="F210" t="s">
        <v>4090</v>
      </c>
      <c r="G210" t="s">
        <v>74</v>
      </c>
      <c r="H210" t="s">
        <v>74</v>
      </c>
      <c r="I210" t="s">
        <v>4091</v>
      </c>
      <c r="J210" t="s">
        <v>1265</v>
      </c>
      <c r="K210" t="s">
        <v>74</v>
      </c>
      <c r="L210" t="s">
        <v>74</v>
      </c>
      <c r="M210" t="s">
        <v>78</v>
      </c>
      <c r="N210" t="s">
        <v>79</v>
      </c>
      <c r="O210" t="s">
        <v>74</v>
      </c>
      <c r="P210" t="s">
        <v>74</v>
      </c>
      <c r="Q210" t="s">
        <v>74</v>
      </c>
      <c r="R210" t="s">
        <v>74</v>
      </c>
      <c r="S210" t="s">
        <v>74</v>
      </c>
      <c r="T210" t="s">
        <v>4092</v>
      </c>
      <c r="U210" t="s">
        <v>4093</v>
      </c>
      <c r="V210" t="s">
        <v>4094</v>
      </c>
      <c r="W210" t="s">
        <v>4095</v>
      </c>
      <c r="X210" t="s">
        <v>4096</v>
      </c>
      <c r="Y210" t="s">
        <v>4097</v>
      </c>
      <c r="Z210" t="s">
        <v>4098</v>
      </c>
      <c r="AA210" t="s">
        <v>4099</v>
      </c>
      <c r="AB210" t="s">
        <v>4100</v>
      </c>
      <c r="AC210" t="s">
        <v>4101</v>
      </c>
      <c r="AD210" t="s">
        <v>4102</v>
      </c>
      <c r="AE210" t="s">
        <v>4103</v>
      </c>
      <c r="AF210" t="s">
        <v>74</v>
      </c>
      <c r="AG210">
        <v>32</v>
      </c>
      <c r="AH210">
        <v>3</v>
      </c>
      <c r="AI210">
        <v>3</v>
      </c>
      <c r="AJ210">
        <v>0</v>
      </c>
      <c r="AK210">
        <v>9</v>
      </c>
      <c r="AL210" t="s">
        <v>464</v>
      </c>
      <c r="AM210" t="s">
        <v>310</v>
      </c>
      <c r="AN210" t="s">
        <v>465</v>
      </c>
      <c r="AO210" t="s">
        <v>1277</v>
      </c>
      <c r="AP210" t="s">
        <v>74</v>
      </c>
      <c r="AQ210" t="s">
        <v>74</v>
      </c>
      <c r="AR210" t="s">
        <v>1279</v>
      </c>
      <c r="AS210" t="s">
        <v>1280</v>
      </c>
      <c r="AT210" t="s">
        <v>2226</v>
      </c>
      <c r="AU210">
        <v>2010</v>
      </c>
      <c r="AV210">
        <v>33</v>
      </c>
      <c r="AW210">
        <v>10</v>
      </c>
      <c r="AX210" t="s">
        <v>74</v>
      </c>
      <c r="AY210" t="s">
        <v>74</v>
      </c>
      <c r="AZ210" t="s">
        <v>74</v>
      </c>
      <c r="BA210" t="s">
        <v>74</v>
      </c>
      <c r="BB210">
        <v>1429</v>
      </c>
      <c r="BC210">
        <v>1435</v>
      </c>
      <c r="BD210" t="s">
        <v>74</v>
      </c>
      <c r="BE210" t="s">
        <v>4104</v>
      </c>
      <c r="BF210" t="str">
        <f>HYPERLINK("http://dx.doi.org/10.1007/s00300-010-0835-7","http://dx.doi.org/10.1007/s00300-010-0835-7")</f>
        <v>http://dx.doi.org/10.1007/s00300-010-0835-7</v>
      </c>
      <c r="BG210" t="s">
        <v>74</v>
      </c>
      <c r="BH210" t="s">
        <v>74</v>
      </c>
      <c r="BI210">
        <v>7</v>
      </c>
      <c r="BJ210" t="s">
        <v>1282</v>
      </c>
      <c r="BK210" t="s">
        <v>100</v>
      </c>
      <c r="BL210" t="s">
        <v>680</v>
      </c>
      <c r="BM210" t="s">
        <v>4021</v>
      </c>
      <c r="BN210" t="s">
        <v>74</v>
      </c>
      <c r="BO210" t="s">
        <v>74</v>
      </c>
      <c r="BP210" t="s">
        <v>74</v>
      </c>
      <c r="BQ210" t="s">
        <v>74</v>
      </c>
      <c r="BR210" t="s">
        <v>104</v>
      </c>
      <c r="BS210" t="s">
        <v>4105</v>
      </c>
      <c r="BT210" t="str">
        <f>HYPERLINK("https%3A%2F%2Fwww.webofscience.com%2Fwos%2Fwoscc%2Ffull-record%2FWOS:000281740300014","View Full Record in Web of Science")</f>
        <v>View Full Record in Web of Science</v>
      </c>
    </row>
    <row r="211" spans="1:72" x14ac:dyDescent="0.15">
      <c r="A211" t="s">
        <v>72</v>
      </c>
      <c r="B211" t="s">
        <v>4106</v>
      </c>
      <c r="C211" t="s">
        <v>74</v>
      </c>
      <c r="D211" t="s">
        <v>74</v>
      </c>
      <c r="E211" t="s">
        <v>74</v>
      </c>
      <c r="F211" t="s">
        <v>4107</v>
      </c>
      <c r="G211" t="s">
        <v>74</v>
      </c>
      <c r="H211" t="s">
        <v>74</v>
      </c>
      <c r="I211" t="s">
        <v>4108</v>
      </c>
      <c r="J211" t="s">
        <v>4109</v>
      </c>
      <c r="K211" t="s">
        <v>74</v>
      </c>
      <c r="L211" t="s">
        <v>74</v>
      </c>
      <c r="M211" t="s">
        <v>78</v>
      </c>
      <c r="N211" t="s">
        <v>79</v>
      </c>
      <c r="O211" t="s">
        <v>74</v>
      </c>
      <c r="P211" t="s">
        <v>74</v>
      </c>
      <c r="Q211" t="s">
        <v>74</v>
      </c>
      <c r="R211" t="s">
        <v>74</v>
      </c>
      <c r="S211" t="s">
        <v>74</v>
      </c>
      <c r="T211" t="s">
        <v>74</v>
      </c>
      <c r="U211" t="s">
        <v>4110</v>
      </c>
      <c r="V211" t="s">
        <v>4111</v>
      </c>
      <c r="W211" t="s">
        <v>4112</v>
      </c>
      <c r="X211" t="s">
        <v>4113</v>
      </c>
      <c r="Y211" t="s">
        <v>4114</v>
      </c>
      <c r="Z211" t="s">
        <v>4115</v>
      </c>
      <c r="AA211" t="s">
        <v>74</v>
      </c>
      <c r="AB211" t="s">
        <v>74</v>
      </c>
      <c r="AC211" t="s">
        <v>4116</v>
      </c>
      <c r="AD211" t="s">
        <v>4116</v>
      </c>
      <c r="AE211" t="s">
        <v>4117</v>
      </c>
      <c r="AF211" t="s">
        <v>74</v>
      </c>
      <c r="AG211">
        <v>91</v>
      </c>
      <c r="AH211">
        <v>6</v>
      </c>
      <c r="AI211">
        <v>6</v>
      </c>
      <c r="AJ211">
        <v>0</v>
      </c>
      <c r="AK211">
        <v>14</v>
      </c>
      <c r="AL211" t="s">
        <v>851</v>
      </c>
      <c r="AM211" t="s">
        <v>310</v>
      </c>
      <c r="AN211" t="s">
        <v>852</v>
      </c>
      <c r="AO211" t="s">
        <v>4118</v>
      </c>
      <c r="AP211" t="s">
        <v>74</v>
      </c>
      <c r="AQ211" t="s">
        <v>74</v>
      </c>
      <c r="AR211" t="s">
        <v>4119</v>
      </c>
      <c r="AS211" t="s">
        <v>4120</v>
      </c>
      <c r="AT211" t="s">
        <v>2226</v>
      </c>
      <c r="AU211">
        <v>2010</v>
      </c>
      <c r="AV211">
        <v>46</v>
      </c>
      <c r="AW211">
        <v>239</v>
      </c>
      <c r="AX211" t="s">
        <v>74</v>
      </c>
      <c r="AY211" t="s">
        <v>74</v>
      </c>
      <c r="AZ211" t="s">
        <v>74</v>
      </c>
      <c r="BA211" t="s">
        <v>74</v>
      </c>
      <c r="BB211">
        <v>289</v>
      </c>
      <c r="BC211">
        <v>311</v>
      </c>
      <c r="BD211" t="s">
        <v>74</v>
      </c>
      <c r="BE211" t="s">
        <v>4121</v>
      </c>
      <c r="BF211" t="str">
        <f>HYPERLINK("http://dx.doi.org/10.1017/S0032247409990441","http://dx.doi.org/10.1017/S0032247409990441")</f>
        <v>http://dx.doi.org/10.1017/S0032247409990441</v>
      </c>
      <c r="BG211" t="s">
        <v>74</v>
      </c>
      <c r="BH211" t="s">
        <v>74</v>
      </c>
      <c r="BI211">
        <v>23</v>
      </c>
      <c r="BJ211" t="s">
        <v>4122</v>
      </c>
      <c r="BK211" t="s">
        <v>2796</v>
      </c>
      <c r="BL211" t="s">
        <v>2797</v>
      </c>
      <c r="BM211" t="s">
        <v>4123</v>
      </c>
      <c r="BN211" t="s">
        <v>74</v>
      </c>
      <c r="BO211" t="s">
        <v>74</v>
      </c>
      <c r="BP211" t="s">
        <v>74</v>
      </c>
      <c r="BQ211" t="s">
        <v>74</v>
      </c>
      <c r="BR211" t="s">
        <v>104</v>
      </c>
      <c r="BS211" t="s">
        <v>4124</v>
      </c>
      <c r="BT211" t="str">
        <f>HYPERLINK("https%3A%2F%2Fwww.webofscience.com%2Fwos%2Fwoscc%2Ffull-record%2FWOS:000282201100001","View Full Record in Web of Science")</f>
        <v>View Full Record in Web of Science</v>
      </c>
    </row>
    <row r="212" spans="1:72" x14ac:dyDescent="0.15">
      <c r="A212" t="s">
        <v>72</v>
      </c>
      <c r="B212" t="s">
        <v>4125</v>
      </c>
      <c r="C212" t="s">
        <v>74</v>
      </c>
      <c r="D212" t="s">
        <v>74</v>
      </c>
      <c r="E212" t="s">
        <v>74</v>
      </c>
      <c r="F212" t="s">
        <v>4126</v>
      </c>
      <c r="G212" t="s">
        <v>74</v>
      </c>
      <c r="H212" t="s">
        <v>74</v>
      </c>
      <c r="I212" t="s">
        <v>4127</v>
      </c>
      <c r="J212" t="s">
        <v>4109</v>
      </c>
      <c r="K212" t="s">
        <v>74</v>
      </c>
      <c r="L212" t="s">
        <v>74</v>
      </c>
      <c r="M212" t="s">
        <v>78</v>
      </c>
      <c r="N212" t="s">
        <v>79</v>
      </c>
      <c r="O212" t="s">
        <v>74</v>
      </c>
      <c r="P212" t="s">
        <v>74</v>
      </c>
      <c r="Q212" t="s">
        <v>74</v>
      </c>
      <c r="R212" t="s">
        <v>74</v>
      </c>
      <c r="S212" t="s">
        <v>74</v>
      </c>
      <c r="T212" t="s">
        <v>74</v>
      </c>
      <c r="U212" t="s">
        <v>4128</v>
      </c>
      <c r="V212" t="s">
        <v>4129</v>
      </c>
      <c r="W212" t="s">
        <v>4130</v>
      </c>
      <c r="X212" t="s">
        <v>4131</v>
      </c>
      <c r="Y212" t="s">
        <v>4132</v>
      </c>
      <c r="Z212" t="s">
        <v>4133</v>
      </c>
      <c r="AA212" t="s">
        <v>4134</v>
      </c>
      <c r="AB212" t="s">
        <v>4135</v>
      </c>
      <c r="AC212" t="s">
        <v>74</v>
      </c>
      <c r="AD212" t="s">
        <v>74</v>
      </c>
      <c r="AE212" t="s">
        <v>74</v>
      </c>
      <c r="AF212" t="s">
        <v>74</v>
      </c>
      <c r="AG212">
        <v>50</v>
      </c>
      <c r="AH212">
        <v>19</v>
      </c>
      <c r="AI212">
        <v>19</v>
      </c>
      <c r="AJ212">
        <v>0</v>
      </c>
      <c r="AK212">
        <v>24</v>
      </c>
      <c r="AL212" t="s">
        <v>851</v>
      </c>
      <c r="AM212" t="s">
        <v>310</v>
      </c>
      <c r="AN212" t="s">
        <v>852</v>
      </c>
      <c r="AO212" t="s">
        <v>4118</v>
      </c>
      <c r="AP212" t="s">
        <v>4136</v>
      </c>
      <c r="AQ212" t="s">
        <v>74</v>
      </c>
      <c r="AR212" t="s">
        <v>4119</v>
      </c>
      <c r="AS212" t="s">
        <v>4120</v>
      </c>
      <c r="AT212" t="s">
        <v>2226</v>
      </c>
      <c r="AU212">
        <v>2010</v>
      </c>
      <c r="AV212">
        <v>46</v>
      </c>
      <c r="AW212">
        <v>239</v>
      </c>
      <c r="AX212" t="s">
        <v>74</v>
      </c>
      <c r="AY212" t="s">
        <v>74</v>
      </c>
      <c r="AZ212" t="s">
        <v>74</v>
      </c>
      <c r="BA212" t="s">
        <v>74</v>
      </c>
      <c r="BB212">
        <v>312</v>
      </c>
      <c r="BC212">
        <v>327</v>
      </c>
      <c r="BD212" t="s">
        <v>74</v>
      </c>
      <c r="BE212" t="s">
        <v>4137</v>
      </c>
      <c r="BF212" t="str">
        <f>HYPERLINK("http://dx.doi.org/10.1017/S0032247409990532","http://dx.doi.org/10.1017/S0032247409990532")</f>
        <v>http://dx.doi.org/10.1017/S0032247409990532</v>
      </c>
      <c r="BG212" t="s">
        <v>74</v>
      </c>
      <c r="BH212" t="s">
        <v>74</v>
      </c>
      <c r="BI212">
        <v>16</v>
      </c>
      <c r="BJ212" t="s">
        <v>4122</v>
      </c>
      <c r="BK212" t="s">
        <v>2796</v>
      </c>
      <c r="BL212" t="s">
        <v>2797</v>
      </c>
      <c r="BM212" t="s">
        <v>4123</v>
      </c>
      <c r="BN212" t="s">
        <v>74</v>
      </c>
      <c r="BO212" t="s">
        <v>74</v>
      </c>
      <c r="BP212" t="s">
        <v>74</v>
      </c>
      <c r="BQ212" t="s">
        <v>74</v>
      </c>
      <c r="BR212" t="s">
        <v>104</v>
      </c>
      <c r="BS212" t="s">
        <v>4138</v>
      </c>
      <c r="BT212" t="str">
        <f>HYPERLINK("https%3A%2F%2Fwww.webofscience.com%2Fwos%2Fwoscc%2Ffull-record%2FWOS:000282201100002","View Full Record in Web of Science")</f>
        <v>View Full Record in Web of Science</v>
      </c>
    </row>
    <row r="213" spans="1:72" x14ac:dyDescent="0.15">
      <c r="A213" t="s">
        <v>72</v>
      </c>
      <c r="B213" t="s">
        <v>4139</v>
      </c>
      <c r="C213" t="s">
        <v>74</v>
      </c>
      <c r="D213" t="s">
        <v>74</v>
      </c>
      <c r="E213" t="s">
        <v>74</v>
      </c>
      <c r="F213" t="s">
        <v>4140</v>
      </c>
      <c r="G213" t="s">
        <v>74</v>
      </c>
      <c r="H213" t="s">
        <v>74</v>
      </c>
      <c r="I213" t="s">
        <v>4141</v>
      </c>
      <c r="J213" t="s">
        <v>4142</v>
      </c>
      <c r="K213" t="s">
        <v>74</v>
      </c>
      <c r="L213" t="s">
        <v>74</v>
      </c>
      <c r="M213" t="s">
        <v>78</v>
      </c>
      <c r="N213" t="s">
        <v>326</v>
      </c>
      <c r="O213" t="s">
        <v>74</v>
      </c>
      <c r="P213" t="s">
        <v>74</v>
      </c>
      <c r="Q213" t="s">
        <v>74</v>
      </c>
      <c r="R213" t="s">
        <v>74</v>
      </c>
      <c r="S213" t="s">
        <v>74</v>
      </c>
      <c r="T213" t="s">
        <v>74</v>
      </c>
      <c r="U213" t="s">
        <v>4143</v>
      </c>
      <c r="V213" t="s">
        <v>4144</v>
      </c>
      <c r="W213" t="s">
        <v>4145</v>
      </c>
      <c r="X213" t="s">
        <v>4146</v>
      </c>
      <c r="Y213" t="s">
        <v>4147</v>
      </c>
      <c r="Z213" t="s">
        <v>4148</v>
      </c>
      <c r="AA213" t="s">
        <v>4149</v>
      </c>
      <c r="AB213" t="s">
        <v>4150</v>
      </c>
      <c r="AC213" t="s">
        <v>4151</v>
      </c>
      <c r="AD213" t="s">
        <v>4152</v>
      </c>
      <c r="AE213" t="s">
        <v>4153</v>
      </c>
      <c r="AF213" t="s">
        <v>74</v>
      </c>
      <c r="AG213">
        <v>81</v>
      </c>
      <c r="AH213">
        <v>111</v>
      </c>
      <c r="AI213">
        <v>125</v>
      </c>
      <c r="AJ213">
        <v>2</v>
      </c>
      <c r="AK213">
        <v>142</v>
      </c>
      <c r="AL213" t="s">
        <v>411</v>
      </c>
      <c r="AM213" t="s">
        <v>412</v>
      </c>
      <c r="AN213" t="s">
        <v>413</v>
      </c>
      <c r="AO213" t="s">
        <v>4154</v>
      </c>
      <c r="AP213" t="s">
        <v>4155</v>
      </c>
      <c r="AQ213" t="s">
        <v>74</v>
      </c>
      <c r="AR213" t="s">
        <v>4156</v>
      </c>
      <c r="AS213" t="s">
        <v>4157</v>
      </c>
      <c r="AT213" t="s">
        <v>2226</v>
      </c>
      <c r="AU213">
        <v>2010</v>
      </c>
      <c r="AV213">
        <v>1</v>
      </c>
      <c r="AW213">
        <v>8</v>
      </c>
      <c r="AX213" t="s">
        <v>74</v>
      </c>
      <c r="AY213" t="s">
        <v>74</v>
      </c>
      <c r="AZ213" t="s">
        <v>74</v>
      </c>
      <c r="BA213" t="s">
        <v>74</v>
      </c>
      <c r="BB213">
        <v>1141</v>
      </c>
      <c r="BC213">
        <v>1152</v>
      </c>
      <c r="BD213" t="s">
        <v>74</v>
      </c>
      <c r="BE213" t="s">
        <v>4158</v>
      </c>
      <c r="BF213" t="str">
        <f>HYPERLINK("http://dx.doi.org/10.1039/c0py00089b","http://dx.doi.org/10.1039/c0py00089b")</f>
        <v>http://dx.doi.org/10.1039/c0py00089b</v>
      </c>
      <c r="BG213" t="s">
        <v>74</v>
      </c>
      <c r="BH213" t="s">
        <v>74</v>
      </c>
      <c r="BI213">
        <v>12</v>
      </c>
      <c r="BJ213" t="s">
        <v>4159</v>
      </c>
      <c r="BK213" t="s">
        <v>100</v>
      </c>
      <c r="BL213" t="s">
        <v>4159</v>
      </c>
      <c r="BM213" t="s">
        <v>4160</v>
      </c>
      <c r="BN213" t="s">
        <v>74</v>
      </c>
      <c r="BO213" t="s">
        <v>74</v>
      </c>
      <c r="BP213" t="s">
        <v>74</v>
      </c>
      <c r="BQ213" t="s">
        <v>74</v>
      </c>
      <c r="BR213" t="s">
        <v>104</v>
      </c>
      <c r="BS213" t="s">
        <v>4161</v>
      </c>
      <c r="BT213" t="str">
        <f>HYPERLINK("https%3A%2F%2Fwww.webofscience.com%2Fwos%2Fwoscc%2Ffull-record%2FWOS:000282612700001","View Full Record in Web of Science")</f>
        <v>View Full Record in Web of Science</v>
      </c>
    </row>
    <row r="214" spans="1:72" x14ac:dyDescent="0.15">
      <c r="A214" t="s">
        <v>72</v>
      </c>
      <c r="B214" t="s">
        <v>4162</v>
      </c>
      <c r="C214" t="s">
        <v>74</v>
      </c>
      <c r="D214" t="s">
        <v>74</v>
      </c>
      <c r="E214" t="s">
        <v>74</v>
      </c>
      <c r="F214" t="s">
        <v>4163</v>
      </c>
      <c r="G214" t="s">
        <v>74</v>
      </c>
      <c r="H214" t="s">
        <v>74</v>
      </c>
      <c r="I214" t="s">
        <v>4164</v>
      </c>
      <c r="J214" t="s">
        <v>4165</v>
      </c>
      <c r="K214" t="s">
        <v>74</v>
      </c>
      <c r="L214" t="s">
        <v>74</v>
      </c>
      <c r="M214" t="s">
        <v>78</v>
      </c>
      <c r="N214" t="s">
        <v>326</v>
      </c>
      <c r="O214" t="s">
        <v>74</v>
      </c>
      <c r="P214" t="s">
        <v>74</v>
      </c>
      <c r="Q214" t="s">
        <v>74</v>
      </c>
      <c r="R214" t="s">
        <v>74</v>
      </c>
      <c r="S214" t="s">
        <v>74</v>
      </c>
      <c r="T214" t="s">
        <v>74</v>
      </c>
      <c r="U214" t="s">
        <v>4166</v>
      </c>
      <c r="V214" t="s">
        <v>4167</v>
      </c>
      <c r="W214" t="s">
        <v>4168</v>
      </c>
      <c r="X214" t="s">
        <v>4169</v>
      </c>
      <c r="Y214" t="s">
        <v>4170</v>
      </c>
      <c r="Z214" t="s">
        <v>4171</v>
      </c>
      <c r="AA214" t="s">
        <v>4172</v>
      </c>
      <c r="AB214" t="s">
        <v>4173</v>
      </c>
      <c r="AC214" t="s">
        <v>4174</v>
      </c>
      <c r="AD214" t="s">
        <v>4175</v>
      </c>
      <c r="AE214" t="s">
        <v>4176</v>
      </c>
      <c r="AF214" t="s">
        <v>74</v>
      </c>
      <c r="AG214">
        <v>91</v>
      </c>
      <c r="AH214">
        <v>89</v>
      </c>
      <c r="AI214">
        <v>101</v>
      </c>
      <c r="AJ214">
        <v>1</v>
      </c>
      <c r="AK214">
        <v>42</v>
      </c>
      <c r="AL214" t="s">
        <v>264</v>
      </c>
      <c r="AM214" t="s">
        <v>265</v>
      </c>
      <c r="AN214" t="s">
        <v>266</v>
      </c>
      <c r="AO214" t="s">
        <v>4177</v>
      </c>
      <c r="AP214" t="s">
        <v>4178</v>
      </c>
      <c r="AQ214" t="s">
        <v>74</v>
      </c>
      <c r="AR214" t="s">
        <v>4179</v>
      </c>
      <c r="AS214" t="s">
        <v>4180</v>
      </c>
      <c r="AT214" t="s">
        <v>2629</v>
      </c>
      <c r="AU214">
        <v>2010</v>
      </c>
      <c r="AV214">
        <v>87</v>
      </c>
      <c r="AW214" t="s">
        <v>3822</v>
      </c>
      <c r="AX214" t="s">
        <v>74</v>
      </c>
      <c r="AY214" t="s">
        <v>74</v>
      </c>
      <c r="AZ214" t="s">
        <v>582</v>
      </c>
      <c r="BA214" t="s">
        <v>74</v>
      </c>
      <c r="BB214">
        <v>61</v>
      </c>
      <c r="BC214">
        <v>71</v>
      </c>
      <c r="BD214" t="s">
        <v>74</v>
      </c>
      <c r="BE214" t="s">
        <v>4181</v>
      </c>
      <c r="BF214" t="str">
        <f>HYPERLINK("http://dx.doi.org/10.1016/j.pocean.2010.09.025","http://dx.doi.org/10.1016/j.pocean.2010.09.025")</f>
        <v>http://dx.doi.org/10.1016/j.pocean.2010.09.025</v>
      </c>
      <c r="BG214" t="s">
        <v>74</v>
      </c>
      <c r="BH214" t="s">
        <v>74</v>
      </c>
      <c r="BI214">
        <v>11</v>
      </c>
      <c r="BJ214" t="s">
        <v>1531</v>
      </c>
      <c r="BK214" t="s">
        <v>100</v>
      </c>
      <c r="BL214" t="s">
        <v>1531</v>
      </c>
      <c r="BM214" t="s">
        <v>4182</v>
      </c>
      <c r="BN214" t="s">
        <v>74</v>
      </c>
      <c r="BO214" t="s">
        <v>74</v>
      </c>
      <c r="BP214" t="s">
        <v>74</v>
      </c>
      <c r="BQ214" t="s">
        <v>74</v>
      </c>
      <c r="BR214" t="s">
        <v>104</v>
      </c>
      <c r="BS214" t="s">
        <v>4183</v>
      </c>
      <c r="BT214" t="str">
        <f>HYPERLINK("https%3A%2F%2Fwww.webofscience.com%2Fwos%2Fwoscc%2Ffull-record%2FWOS:000286298700006","View Full Record in Web of Science")</f>
        <v>View Full Record in Web of Science</v>
      </c>
    </row>
    <row r="215" spans="1:72" x14ac:dyDescent="0.15">
      <c r="A215" t="s">
        <v>72</v>
      </c>
      <c r="B215" t="s">
        <v>4184</v>
      </c>
      <c r="C215" t="s">
        <v>74</v>
      </c>
      <c r="D215" t="s">
        <v>74</v>
      </c>
      <c r="E215" t="s">
        <v>74</v>
      </c>
      <c r="F215" t="s">
        <v>4185</v>
      </c>
      <c r="G215" t="s">
        <v>74</v>
      </c>
      <c r="H215" t="s">
        <v>74</v>
      </c>
      <c r="I215" t="s">
        <v>4186</v>
      </c>
      <c r="J215" t="s">
        <v>4165</v>
      </c>
      <c r="K215" t="s">
        <v>74</v>
      </c>
      <c r="L215" t="s">
        <v>74</v>
      </c>
      <c r="M215" t="s">
        <v>78</v>
      </c>
      <c r="N215" t="s">
        <v>326</v>
      </c>
      <c r="O215" t="s">
        <v>74</v>
      </c>
      <c r="P215" t="s">
        <v>74</v>
      </c>
      <c r="Q215" t="s">
        <v>74</v>
      </c>
      <c r="R215" t="s">
        <v>74</v>
      </c>
      <c r="S215" t="s">
        <v>74</v>
      </c>
      <c r="T215" t="s">
        <v>74</v>
      </c>
      <c r="U215" t="s">
        <v>4187</v>
      </c>
      <c r="V215" t="s">
        <v>4188</v>
      </c>
      <c r="W215" t="s">
        <v>4189</v>
      </c>
      <c r="X215" t="s">
        <v>4190</v>
      </c>
      <c r="Y215" t="s">
        <v>4191</v>
      </c>
      <c r="Z215" t="s">
        <v>4192</v>
      </c>
      <c r="AA215" t="s">
        <v>4193</v>
      </c>
      <c r="AB215" t="s">
        <v>4194</v>
      </c>
      <c r="AC215" t="s">
        <v>4195</v>
      </c>
      <c r="AD215" t="s">
        <v>4196</v>
      </c>
      <c r="AE215" t="s">
        <v>4197</v>
      </c>
      <c r="AF215" t="s">
        <v>74</v>
      </c>
      <c r="AG215">
        <v>80</v>
      </c>
      <c r="AH215">
        <v>53</v>
      </c>
      <c r="AI215">
        <v>55</v>
      </c>
      <c r="AJ215">
        <v>0</v>
      </c>
      <c r="AK215">
        <v>52</v>
      </c>
      <c r="AL215" t="s">
        <v>264</v>
      </c>
      <c r="AM215" t="s">
        <v>265</v>
      </c>
      <c r="AN215" t="s">
        <v>266</v>
      </c>
      <c r="AO215" t="s">
        <v>4177</v>
      </c>
      <c r="AP215" t="s">
        <v>74</v>
      </c>
      <c r="AQ215" t="s">
        <v>74</v>
      </c>
      <c r="AR215" t="s">
        <v>4179</v>
      </c>
      <c r="AS215" t="s">
        <v>4180</v>
      </c>
      <c r="AT215" t="s">
        <v>2629</v>
      </c>
      <c r="AU215">
        <v>2010</v>
      </c>
      <c r="AV215">
        <v>87</v>
      </c>
      <c r="AW215" t="s">
        <v>3822</v>
      </c>
      <c r="AX215" t="s">
        <v>74</v>
      </c>
      <c r="AY215" t="s">
        <v>74</v>
      </c>
      <c r="AZ215" t="s">
        <v>582</v>
      </c>
      <c r="BA215" t="s">
        <v>74</v>
      </c>
      <c r="BB215">
        <v>127</v>
      </c>
      <c r="BC215">
        <v>143</v>
      </c>
      <c r="BD215" t="s">
        <v>74</v>
      </c>
      <c r="BE215" t="s">
        <v>4198</v>
      </c>
      <c r="BF215" t="str">
        <f>HYPERLINK("http://dx.doi.org/10.1016/j.pocean.2010.09.019","http://dx.doi.org/10.1016/j.pocean.2010.09.019")</f>
        <v>http://dx.doi.org/10.1016/j.pocean.2010.09.019</v>
      </c>
      <c r="BG215" t="s">
        <v>74</v>
      </c>
      <c r="BH215" t="s">
        <v>74</v>
      </c>
      <c r="BI215">
        <v>17</v>
      </c>
      <c r="BJ215" t="s">
        <v>1531</v>
      </c>
      <c r="BK215" t="s">
        <v>100</v>
      </c>
      <c r="BL215" t="s">
        <v>1531</v>
      </c>
      <c r="BM215" t="s">
        <v>4182</v>
      </c>
      <c r="BN215" t="s">
        <v>74</v>
      </c>
      <c r="BO215" t="s">
        <v>74</v>
      </c>
      <c r="BP215" t="s">
        <v>74</v>
      </c>
      <c r="BQ215" t="s">
        <v>74</v>
      </c>
      <c r="BR215" t="s">
        <v>104</v>
      </c>
      <c r="BS215" t="s">
        <v>4199</v>
      </c>
      <c r="BT215" t="str">
        <f>HYPERLINK("https%3A%2F%2Fwww.webofscience.com%2Fwos%2Fwoscc%2Ffull-record%2FWOS:000286298700012","View Full Record in Web of Science")</f>
        <v>View Full Record in Web of Science</v>
      </c>
    </row>
    <row r="216" spans="1:72" x14ac:dyDescent="0.15">
      <c r="A216" t="s">
        <v>72</v>
      </c>
      <c r="B216" t="s">
        <v>4200</v>
      </c>
      <c r="C216" t="s">
        <v>74</v>
      </c>
      <c r="D216" t="s">
        <v>74</v>
      </c>
      <c r="E216" t="s">
        <v>74</v>
      </c>
      <c r="F216" t="s">
        <v>4201</v>
      </c>
      <c r="G216" t="s">
        <v>74</v>
      </c>
      <c r="H216" t="s">
        <v>74</v>
      </c>
      <c r="I216" t="s">
        <v>4202</v>
      </c>
      <c r="J216" t="s">
        <v>4203</v>
      </c>
      <c r="K216" t="s">
        <v>74</v>
      </c>
      <c r="L216" t="s">
        <v>74</v>
      </c>
      <c r="M216" t="s">
        <v>78</v>
      </c>
      <c r="N216" t="s">
        <v>79</v>
      </c>
      <c r="O216" t="s">
        <v>74</v>
      </c>
      <c r="P216" t="s">
        <v>74</v>
      </c>
      <c r="Q216" t="s">
        <v>74</v>
      </c>
      <c r="R216" t="s">
        <v>74</v>
      </c>
      <c r="S216" t="s">
        <v>74</v>
      </c>
      <c r="T216" t="s">
        <v>4204</v>
      </c>
      <c r="U216" t="s">
        <v>4205</v>
      </c>
      <c r="V216" t="s">
        <v>4206</v>
      </c>
      <c r="W216" t="s">
        <v>4207</v>
      </c>
      <c r="X216" t="s">
        <v>4208</v>
      </c>
      <c r="Y216" t="s">
        <v>4209</v>
      </c>
      <c r="Z216" t="s">
        <v>4210</v>
      </c>
      <c r="AA216" t="s">
        <v>4211</v>
      </c>
      <c r="AB216" t="s">
        <v>4212</v>
      </c>
      <c r="AC216" t="s">
        <v>4213</v>
      </c>
      <c r="AD216" t="s">
        <v>4214</v>
      </c>
      <c r="AE216" t="s">
        <v>4215</v>
      </c>
      <c r="AF216" t="s">
        <v>74</v>
      </c>
      <c r="AG216">
        <v>51</v>
      </c>
      <c r="AH216">
        <v>35</v>
      </c>
      <c r="AI216">
        <v>41</v>
      </c>
      <c r="AJ216">
        <v>3</v>
      </c>
      <c r="AK216">
        <v>69</v>
      </c>
      <c r="AL216" t="s">
        <v>4216</v>
      </c>
      <c r="AM216" t="s">
        <v>4217</v>
      </c>
      <c r="AN216" t="s">
        <v>4218</v>
      </c>
      <c r="AO216" t="s">
        <v>4219</v>
      </c>
      <c r="AP216" t="s">
        <v>74</v>
      </c>
      <c r="AQ216" t="s">
        <v>74</v>
      </c>
      <c r="AR216" t="s">
        <v>4203</v>
      </c>
      <c r="AS216" t="s">
        <v>4220</v>
      </c>
      <c r="AT216" t="s">
        <v>2226</v>
      </c>
      <c r="AU216">
        <v>2010</v>
      </c>
      <c r="AV216">
        <v>161</v>
      </c>
      <c r="AW216">
        <v>4</v>
      </c>
      <c r="AX216" t="s">
        <v>74</v>
      </c>
      <c r="AY216" t="s">
        <v>74</v>
      </c>
      <c r="AZ216" t="s">
        <v>74</v>
      </c>
      <c r="BA216" t="s">
        <v>74</v>
      </c>
      <c r="BB216">
        <v>577</v>
      </c>
      <c r="BC216">
        <v>588</v>
      </c>
      <c r="BD216" t="s">
        <v>74</v>
      </c>
      <c r="BE216" t="s">
        <v>4221</v>
      </c>
      <c r="BF216" t="str">
        <f>HYPERLINK("http://dx.doi.org/10.1016/j.protis.2010.04.001","http://dx.doi.org/10.1016/j.protis.2010.04.001")</f>
        <v>http://dx.doi.org/10.1016/j.protis.2010.04.001</v>
      </c>
      <c r="BG216" t="s">
        <v>74</v>
      </c>
      <c r="BH216" t="s">
        <v>74</v>
      </c>
      <c r="BI216">
        <v>12</v>
      </c>
      <c r="BJ216" t="s">
        <v>737</v>
      </c>
      <c r="BK216" t="s">
        <v>100</v>
      </c>
      <c r="BL216" t="s">
        <v>737</v>
      </c>
      <c r="BM216" t="s">
        <v>4222</v>
      </c>
      <c r="BN216">
        <v>20471910</v>
      </c>
      <c r="BO216" t="s">
        <v>74</v>
      </c>
      <c r="BP216" t="s">
        <v>74</v>
      </c>
      <c r="BQ216" t="s">
        <v>74</v>
      </c>
      <c r="BR216" t="s">
        <v>104</v>
      </c>
      <c r="BS216" t="s">
        <v>4223</v>
      </c>
      <c r="BT216" t="str">
        <f>HYPERLINK("https%3A%2F%2Fwww.webofscience.com%2Fwos%2Fwoscc%2Ffull-record%2FWOS:000280895200007","View Full Record in Web of Science")</f>
        <v>View Full Record in Web of Science</v>
      </c>
    </row>
    <row r="217" spans="1:72" x14ac:dyDescent="0.15">
      <c r="A217" t="s">
        <v>72</v>
      </c>
      <c r="B217" t="s">
        <v>4224</v>
      </c>
      <c r="C217" t="s">
        <v>74</v>
      </c>
      <c r="D217" t="s">
        <v>74</v>
      </c>
      <c r="E217" t="s">
        <v>74</v>
      </c>
      <c r="F217" t="s">
        <v>4225</v>
      </c>
      <c r="G217" t="s">
        <v>74</v>
      </c>
      <c r="H217" t="s">
        <v>74</v>
      </c>
      <c r="I217" t="s">
        <v>4226</v>
      </c>
      <c r="J217" t="s">
        <v>4227</v>
      </c>
      <c r="K217" t="s">
        <v>74</v>
      </c>
      <c r="L217" t="s">
        <v>74</v>
      </c>
      <c r="M217" t="s">
        <v>78</v>
      </c>
      <c r="N217" t="s">
        <v>79</v>
      </c>
      <c r="O217" t="s">
        <v>74</v>
      </c>
      <c r="P217" t="s">
        <v>74</v>
      </c>
      <c r="Q217" t="s">
        <v>74</v>
      </c>
      <c r="R217" t="s">
        <v>74</v>
      </c>
      <c r="S217" t="s">
        <v>74</v>
      </c>
      <c r="T217" t="s">
        <v>4228</v>
      </c>
      <c r="U217" t="s">
        <v>4229</v>
      </c>
      <c r="V217" t="s">
        <v>4230</v>
      </c>
      <c r="W217" t="s">
        <v>4231</v>
      </c>
      <c r="X217" t="s">
        <v>4232</v>
      </c>
      <c r="Y217" t="s">
        <v>4233</v>
      </c>
      <c r="Z217" t="s">
        <v>4234</v>
      </c>
      <c r="AA217" t="s">
        <v>4235</v>
      </c>
      <c r="AB217" t="s">
        <v>4236</v>
      </c>
      <c r="AC217" t="s">
        <v>4237</v>
      </c>
      <c r="AD217" t="s">
        <v>4238</v>
      </c>
      <c r="AE217" t="s">
        <v>4239</v>
      </c>
      <c r="AF217" t="s">
        <v>74</v>
      </c>
      <c r="AG217">
        <v>30</v>
      </c>
      <c r="AH217">
        <v>23</v>
      </c>
      <c r="AI217">
        <v>25</v>
      </c>
      <c r="AJ217">
        <v>0</v>
      </c>
      <c r="AK217">
        <v>15</v>
      </c>
      <c r="AL217" t="s">
        <v>923</v>
      </c>
      <c r="AM217" t="s">
        <v>339</v>
      </c>
      <c r="AN217" t="s">
        <v>340</v>
      </c>
      <c r="AO217" t="s">
        <v>4240</v>
      </c>
      <c r="AP217" t="s">
        <v>4241</v>
      </c>
      <c r="AQ217" t="s">
        <v>74</v>
      </c>
      <c r="AR217" t="s">
        <v>4242</v>
      </c>
      <c r="AS217" t="s">
        <v>4243</v>
      </c>
      <c r="AT217" t="s">
        <v>2226</v>
      </c>
      <c r="AU217">
        <v>2010</v>
      </c>
      <c r="AV217">
        <v>136</v>
      </c>
      <c r="AW217">
        <v>652</v>
      </c>
      <c r="AX217" t="s">
        <v>4244</v>
      </c>
      <c r="AY217" t="s">
        <v>74</v>
      </c>
      <c r="AZ217" t="s">
        <v>74</v>
      </c>
      <c r="BA217" t="s">
        <v>74</v>
      </c>
      <c r="BB217">
        <v>1813</v>
      </c>
      <c r="BC217">
        <v>1822</v>
      </c>
      <c r="BD217" t="s">
        <v>74</v>
      </c>
      <c r="BE217" t="s">
        <v>4245</v>
      </c>
      <c r="BF217" t="str">
        <f>HYPERLINK("http://dx.doi.org/10.1002/qj.683","http://dx.doi.org/10.1002/qj.683")</f>
        <v>http://dx.doi.org/10.1002/qj.683</v>
      </c>
      <c r="BG217" t="s">
        <v>74</v>
      </c>
      <c r="BH217" t="s">
        <v>74</v>
      </c>
      <c r="BI217">
        <v>10</v>
      </c>
      <c r="BJ217" t="s">
        <v>319</v>
      </c>
      <c r="BK217" t="s">
        <v>100</v>
      </c>
      <c r="BL217" t="s">
        <v>319</v>
      </c>
      <c r="BM217" t="s">
        <v>4246</v>
      </c>
      <c r="BN217" t="s">
        <v>74</v>
      </c>
      <c r="BO217" t="s">
        <v>1025</v>
      </c>
      <c r="BP217" t="s">
        <v>74</v>
      </c>
      <c r="BQ217" t="s">
        <v>74</v>
      </c>
      <c r="BR217" t="s">
        <v>104</v>
      </c>
      <c r="BS217" t="s">
        <v>4247</v>
      </c>
      <c r="BT217" t="str">
        <f>HYPERLINK("https%3A%2F%2Fwww.webofscience.com%2Fwos%2Fwoscc%2Ffull-record%2FWOS:000284039900013","View Full Record in Web of Science")</f>
        <v>View Full Record in Web of Science</v>
      </c>
    </row>
    <row r="218" spans="1:72" x14ac:dyDescent="0.15">
      <c r="A218" t="s">
        <v>72</v>
      </c>
      <c r="B218" t="s">
        <v>4248</v>
      </c>
      <c r="C218" t="s">
        <v>74</v>
      </c>
      <c r="D218" t="s">
        <v>74</v>
      </c>
      <c r="E218" t="s">
        <v>74</v>
      </c>
      <c r="F218" t="s">
        <v>4249</v>
      </c>
      <c r="G218" t="s">
        <v>74</v>
      </c>
      <c r="H218" t="s">
        <v>74</v>
      </c>
      <c r="I218" t="s">
        <v>4250</v>
      </c>
      <c r="J218" t="s">
        <v>1393</v>
      </c>
      <c r="K218" t="s">
        <v>74</v>
      </c>
      <c r="L218" t="s">
        <v>74</v>
      </c>
      <c r="M218" t="s">
        <v>78</v>
      </c>
      <c r="N218" t="s">
        <v>79</v>
      </c>
      <c r="O218" t="s">
        <v>74</v>
      </c>
      <c r="P218" t="s">
        <v>74</v>
      </c>
      <c r="Q218" t="s">
        <v>74</v>
      </c>
      <c r="R218" t="s">
        <v>74</v>
      </c>
      <c r="S218" t="s">
        <v>74</v>
      </c>
      <c r="T218" t="s">
        <v>74</v>
      </c>
      <c r="U218" t="s">
        <v>4251</v>
      </c>
      <c r="V218" t="s">
        <v>4252</v>
      </c>
      <c r="W218" t="s">
        <v>4253</v>
      </c>
      <c r="X218" t="s">
        <v>4254</v>
      </c>
      <c r="Y218" t="s">
        <v>4255</v>
      </c>
      <c r="Z218" t="s">
        <v>4256</v>
      </c>
      <c r="AA218" t="s">
        <v>4257</v>
      </c>
      <c r="AB218" t="s">
        <v>4258</v>
      </c>
      <c r="AC218" t="s">
        <v>4259</v>
      </c>
      <c r="AD218" t="s">
        <v>4260</v>
      </c>
      <c r="AE218" t="s">
        <v>4261</v>
      </c>
      <c r="AF218" t="s">
        <v>74</v>
      </c>
      <c r="AG218">
        <v>96</v>
      </c>
      <c r="AH218">
        <v>386</v>
      </c>
      <c r="AI218">
        <v>424</v>
      </c>
      <c r="AJ218">
        <v>2</v>
      </c>
      <c r="AK218">
        <v>160</v>
      </c>
      <c r="AL218" t="s">
        <v>264</v>
      </c>
      <c r="AM218" t="s">
        <v>265</v>
      </c>
      <c r="AN218" t="s">
        <v>266</v>
      </c>
      <c r="AO218" t="s">
        <v>1404</v>
      </c>
      <c r="AP218" t="s">
        <v>74</v>
      </c>
      <c r="AQ218" t="s">
        <v>74</v>
      </c>
      <c r="AR218" t="s">
        <v>1405</v>
      </c>
      <c r="AS218" t="s">
        <v>1406</v>
      </c>
      <c r="AT218" t="s">
        <v>2226</v>
      </c>
      <c r="AU218">
        <v>2010</v>
      </c>
      <c r="AV218">
        <v>29</v>
      </c>
      <c r="AW218" t="s">
        <v>4262</v>
      </c>
      <c r="AX218" t="s">
        <v>74</v>
      </c>
      <c r="AY218" t="s">
        <v>74</v>
      </c>
      <c r="AZ218" t="s">
        <v>582</v>
      </c>
      <c r="BA218" t="s">
        <v>74</v>
      </c>
      <c r="BB218">
        <v>2828</v>
      </c>
      <c r="BC218">
        <v>2838</v>
      </c>
      <c r="BD218" t="s">
        <v>74</v>
      </c>
      <c r="BE218" t="s">
        <v>4263</v>
      </c>
      <c r="BF218" t="str">
        <f>HYPERLINK("http://dx.doi.org/10.1016/j.quascirev.2009.10.013","http://dx.doi.org/10.1016/j.quascirev.2009.10.013")</f>
        <v>http://dx.doi.org/10.1016/j.quascirev.2009.10.013</v>
      </c>
      <c r="BG218" t="s">
        <v>74</v>
      </c>
      <c r="BH218" t="s">
        <v>74</v>
      </c>
      <c r="BI218">
        <v>11</v>
      </c>
      <c r="BJ218" t="s">
        <v>1409</v>
      </c>
      <c r="BK218" t="s">
        <v>100</v>
      </c>
      <c r="BL218" t="s">
        <v>1410</v>
      </c>
      <c r="BM218" t="s">
        <v>4264</v>
      </c>
      <c r="BN218" t="s">
        <v>74</v>
      </c>
      <c r="BO218" t="s">
        <v>74</v>
      </c>
      <c r="BP218" t="s">
        <v>74</v>
      </c>
      <c r="BQ218" t="s">
        <v>74</v>
      </c>
      <c r="BR218" t="s">
        <v>104</v>
      </c>
      <c r="BS218" t="s">
        <v>4265</v>
      </c>
      <c r="BT218" t="str">
        <f>HYPERLINK("https%3A%2F%2Fwww.webofscience.com%2Fwos%2Fwoscc%2Ffull-record%2FWOS:000282851600002","View Full Record in Web of Science")</f>
        <v>View Full Record in Web of Science</v>
      </c>
    </row>
    <row r="219" spans="1:72" x14ac:dyDescent="0.15">
      <c r="A219" t="s">
        <v>72</v>
      </c>
      <c r="B219" t="s">
        <v>4266</v>
      </c>
      <c r="C219" t="s">
        <v>74</v>
      </c>
      <c r="D219" t="s">
        <v>74</v>
      </c>
      <c r="E219" t="s">
        <v>74</v>
      </c>
      <c r="F219" t="s">
        <v>4267</v>
      </c>
      <c r="G219" t="s">
        <v>74</v>
      </c>
      <c r="H219" t="s">
        <v>74</v>
      </c>
      <c r="I219" t="s">
        <v>4268</v>
      </c>
      <c r="J219" t="s">
        <v>4269</v>
      </c>
      <c r="K219" t="s">
        <v>74</v>
      </c>
      <c r="L219" t="s">
        <v>74</v>
      </c>
      <c r="M219" t="s">
        <v>78</v>
      </c>
      <c r="N219" t="s">
        <v>79</v>
      </c>
      <c r="O219" t="s">
        <v>74</v>
      </c>
      <c r="P219" t="s">
        <v>74</v>
      </c>
      <c r="Q219" t="s">
        <v>74</v>
      </c>
      <c r="R219" t="s">
        <v>74</v>
      </c>
      <c r="S219" t="s">
        <v>74</v>
      </c>
      <c r="T219" t="s">
        <v>4270</v>
      </c>
      <c r="U219" t="s">
        <v>4271</v>
      </c>
      <c r="V219" t="s">
        <v>4272</v>
      </c>
      <c r="W219" t="s">
        <v>4273</v>
      </c>
      <c r="X219" t="s">
        <v>4274</v>
      </c>
      <c r="Y219" t="s">
        <v>4275</v>
      </c>
      <c r="Z219" t="s">
        <v>4276</v>
      </c>
      <c r="AA219" t="s">
        <v>4277</v>
      </c>
      <c r="AB219" t="s">
        <v>4278</v>
      </c>
      <c r="AC219" t="s">
        <v>4279</v>
      </c>
      <c r="AD219" t="s">
        <v>4279</v>
      </c>
      <c r="AE219" t="s">
        <v>4280</v>
      </c>
      <c r="AF219" t="s">
        <v>74</v>
      </c>
      <c r="AG219">
        <v>105</v>
      </c>
      <c r="AH219">
        <v>202</v>
      </c>
      <c r="AI219">
        <v>212</v>
      </c>
      <c r="AJ219">
        <v>5</v>
      </c>
      <c r="AK219">
        <v>59</v>
      </c>
      <c r="AL219" t="s">
        <v>1038</v>
      </c>
      <c r="AM219" t="s">
        <v>550</v>
      </c>
      <c r="AN219" t="s">
        <v>1039</v>
      </c>
      <c r="AO219" t="s">
        <v>4281</v>
      </c>
      <c r="AP219" t="s">
        <v>4282</v>
      </c>
      <c r="AQ219" t="s">
        <v>74</v>
      </c>
      <c r="AR219" t="s">
        <v>4283</v>
      </c>
      <c r="AS219" t="s">
        <v>4284</v>
      </c>
      <c r="AT219" t="s">
        <v>2226</v>
      </c>
      <c r="AU219">
        <v>2010</v>
      </c>
      <c r="AV219">
        <v>162</v>
      </c>
      <c r="AW219">
        <v>3</v>
      </c>
      <c r="AX219" t="s">
        <v>74</v>
      </c>
      <c r="AY219" t="s">
        <v>74</v>
      </c>
      <c r="AZ219" t="s">
        <v>582</v>
      </c>
      <c r="BA219" t="s">
        <v>74</v>
      </c>
      <c r="BB219">
        <v>403</v>
      </c>
      <c r="BC219">
        <v>415</v>
      </c>
      <c r="BD219" t="s">
        <v>74</v>
      </c>
      <c r="BE219" t="s">
        <v>4285</v>
      </c>
      <c r="BF219" t="str">
        <f>HYPERLINK("http://dx.doi.org/10.1016/j.revpalbo.2009.08.001","http://dx.doi.org/10.1016/j.revpalbo.2009.08.001")</f>
        <v>http://dx.doi.org/10.1016/j.revpalbo.2009.08.001</v>
      </c>
      <c r="BG219" t="s">
        <v>74</v>
      </c>
      <c r="BH219" t="s">
        <v>74</v>
      </c>
      <c r="BI219">
        <v>13</v>
      </c>
      <c r="BJ219" t="s">
        <v>4286</v>
      </c>
      <c r="BK219" t="s">
        <v>100</v>
      </c>
      <c r="BL219" t="s">
        <v>4286</v>
      </c>
      <c r="BM219" t="s">
        <v>4287</v>
      </c>
      <c r="BN219" t="s">
        <v>74</v>
      </c>
      <c r="BO219" t="s">
        <v>74</v>
      </c>
      <c r="BP219" t="s">
        <v>74</v>
      </c>
      <c r="BQ219" t="s">
        <v>74</v>
      </c>
      <c r="BR219" t="s">
        <v>104</v>
      </c>
      <c r="BS219" t="s">
        <v>4288</v>
      </c>
      <c r="BT219" t="str">
        <f>HYPERLINK("https%3A%2F%2Fwww.webofscience.com%2Fwos%2Fwoscc%2Ffull-record%2FWOS:000285658900008","View Full Record in Web of Science")</f>
        <v>View Full Record in Web of Science</v>
      </c>
    </row>
    <row r="220" spans="1:72" x14ac:dyDescent="0.15">
      <c r="A220" t="s">
        <v>72</v>
      </c>
      <c r="B220" t="s">
        <v>4289</v>
      </c>
      <c r="C220" t="s">
        <v>74</v>
      </c>
      <c r="D220" t="s">
        <v>74</v>
      </c>
      <c r="E220" t="s">
        <v>74</v>
      </c>
      <c r="F220" t="s">
        <v>4290</v>
      </c>
      <c r="G220" t="s">
        <v>74</v>
      </c>
      <c r="H220" t="s">
        <v>74</v>
      </c>
      <c r="I220" t="s">
        <v>4291</v>
      </c>
      <c r="J220" t="s">
        <v>4292</v>
      </c>
      <c r="K220" t="s">
        <v>74</v>
      </c>
      <c r="L220" t="s">
        <v>74</v>
      </c>
      <c r="M220" t="s">
        <v>78</v>
      </c>
      <c r="N220" t="s">
        <v>79</v>
      </c>
      <c r="O220" t="s">
        <v>74</v>
      </c>
      <c r="P220" t="s">
        <v>74</v>
      </c>
      <c r="Q220" t="s">
        <v>74</v>
      </c>
      <c r="R220" t="s">
        <v>74</v>
      </c>
      <c r="S220" t="s">
        <v>74</v>
      </c>
      <c r="T220" t="s">
        <v>4293</v>
      </c>
      <c r="U220" t="s">
        <v>74</v>
      </c>
      <c r="V220" t="s">
        <v>4294</v>
      </c>
      <c r="W220" t="s">
        <v>4295</v>
      </c>
      <c r="X220" t="s">
        <v>4296</v>
      </c>
      <c r="Y220" t="s">
        <v>4297</v>
      </c>
      <c r="Z220" t="s">
        <v>4298</v>
      </c>
      <c r="AA220" t="s">
        <v>74</v>
      </c>
      <c r="AB220" t="s">
        <v>74</v>
      </c>
      <c r="AC220" t="s">
        <v>74</v>
      </c>
      <c r="AD220" t="s">
        <v>74</v>
      </c>
      <c r="AE220" t="s">
        <v>74</v>
      </c>
      <c r="AF220" t="s">
        <v>74</v>
      </c>
      <c r="AG220">
        <v>25</v>
      </c>
      <c r="AH220">
        <v>0</v>
      </c>
      <c r="AI220">
        <v>0</v>
      </c>
      <c r="AJ220">
        <v>0</v>
      </c>
      <c r="AK220">
        <v>0</v>
      </c>
      <c r="AL220" t="s">
        <v>4299</v>
      </c>
      <c r="AM220" t="s">
        <v>4300</v>
      </c>
      <c r="AN220" t="s">
        <v>4301</v>
      </c>
      <c r="AO220" t="s">
        <v>4302</v>
      </c>
      <c r="AP220" t="s">
        <v>74</v>
      </c>
      <c r="AQ220" t="s">
        <v>74</v>
      </c>
      <c r="AR220" t="s">
        <v>4303</v>
      </c>
      <c r="AS220" t="s">
        <v>4304</v>
      </c>
      <c r="AT220" t="s">
        <v>2629</v>
      </c>
      <c r="AU220">
        <v>2010</v>
      </c>
      <c r="AV220">
        <v>1</v>
      </c>
      <c r="AW220">
        <v>4</v>
      </c>
      <c r="AX220" t="s">
        <v>74</v>
      </c>
      <c r="AY220" t="s">
        <v>74</v>
      </c>
      <c r="AZ220" t="s">
        <v>74</v>
      </c>
      <c r="BA220" t="s">
        <v>74</v>
      </c>
      <c r="BB220">
        <v>200</v>
      </c>
      <c r="BC220">
        <v>209</v>
      </c>
      <c r="BD220" t="s">
        <v>74</v>
      </c>
      <c r="BE220" t="s">
        <v>74</v>
      </c>
      <c r="BF220" t="s">
        <v>74</v>
      </c>
      <c r="BG220" t="s">
        <v>74</v>
      </c>
      <c r="BH220" t="s">
        <v>74</v>
      </c>
      <c r="BI220">
        <v>10</v>
      </c>
      <c r="BJ220" t="s">
        <v>4305</v>
      </c>
      <c r="BK220" t="s">
        <v>3947</v>
      </c>
      <c r="BL220" t="s">
        <v>4305</v>
      </c>
      <c r="BM220" t="s">
        <v>4306</v>
      </c>
      <c r="BN220" t="s">
        <v>74</v>
      </c>
      <c r="BO220" t="s">
        <v>74</v>
      </c>
      <c r="BP220" t="s">
        <v>74</v>
      </c>
      <c r="BQ220" t="s">
        <v>74</v>
      </c>
      <c r="BR220" t="s">
        <v>104</v>
      </c>
      <c r="BS220" t="s">
        <v>4307</v>
      </c>
      <c r="BT220" t="str">
        <f>HYPERLINK("https%3A%2F%2Fwww.webofscience.com%2Fwos%2Fwoscc%2Ffull-record%2FWOS:000215955300001","View Full Record in Web of Science")</f>
        <v>View Full Record in Web of Science</v>
      </c>
    </row>
    <row r="221" spans="1:72" x14ac:dyDescent="0.15">
      <c r="A221" t="s">
        <v>72</v>
      </c>
      <c r="B221" t="s">
        <v>4308</v>
      </c>
      <c r="C221" t="s">
        <v>74</v>
      </c>
      <c r="D221" t="s">
        <v>74</v>
      </c>
      <c r="E221" t="s">
        <v>74</v>
      </c>
      <c r="F221" t="s">
        <v>4309</v>
      </c>
      <c r="G221" t="s">
        <v>74</v>
      </c>
      <c r="H221" t="s">
        <v>74</v>
      </c>
      <c r="I221" t="s">
        <v>4310</v>
      </c>
      <c r="J221" t="s">
        <v>4292</v>
      </c>
      <c r="K221" t="s">
        <v>74</v>
      </c>
      <c r="L221" t="s">
        <v>74</v>
      </c>
      <c r="M221" t="s">
        <v>4311</v>
      </c>
      <c r="N221" t="s">
        <v>220</v>
      </c>
      <c r="O221" t="s">
        <v>74</v>
      </c>
      <c r="P221" t="s">
        <v>74</v>
      </c>
      <c r="Q221" t="s">
        <v>74</v>
      </c>
      <c r="R221" t="s">
        <v>74</v>
      </c>
      <c r="S221" t="s">
        <v>74</v>
      </c>
      <c r="T221" t="s">
        <v>74</v>
      </c>
      <c r="U221" t="s">
        <v>74</v>
      </c>
      <c r="V221" t="s">
        <v>74</v>
      </c>
      <c r="W221" t="s">
        <v>4312</v>
      </c>
      <c r="X221" t="s">
        <v>74</v>
      </c>
      <c r="Y221" t="s">
        <v>4313</v>
      </c>
      <c r="Z221" t="s">
        <v>4314</v>
      </c>
      <c r="AA221" t="s">
        <v>74</v>
      </c>
      <c r="AB221" t="s">
        <v>74</v>
      </c>
      <c r="AC221" t="s">
        <v>74</v>
      </c>
      <c r="AD221" t="s">
        <v>74</v>
      </c>
      <c r="AE221" t="s">
        <v>74</v>
      </c>
      <c r="AF221" t="s">
        <v>74</v>
      </c>
      <c r="AG221">
        <v>0</v>
      </c>
      <c r="AH221">
        <v>0</v>
      </c>
      <c r="AI221">
        <v>0</v>
      </c>
      <c r="AJ221">
        <v>0</v>
      </c>
      <c r="AK221">
        <v>0</v>
      </c>
      <c r="AL221" t="s">
        <v>4299</v>
      </c>
      <c r="AM221" t="s">
        <v>4300</v>
      </c>
      <c r="AN221" t="s">
        <v>4301</v>
      </c>
      <c r="AO221" t="s">
        <v>4302</v>
      </c>
      <c r="AP221" t="s">
        <v>74</v>
      </c>
      <c r="AQ221" t="s">
        <v>74</v>
      </c>
      <c r="AR221" t="s">
        <v>4303</v>
      </c>
      <c r="AS221" t="s">
        <v>4304</v>
      </c>
      <c r="AT221" t="s">
        <v>2629</v>
      </c>
      <c r="AU221">
        <v>2010</v>
      </c>
      <c r="AV221">
        <v>1</v>
      </c>
      <c r="AW221">
        <v>4</v>
      </c>
      <c r="AX221" t="s">
        <v>74</v>
      </c>
      <c r="AY221" t="s">
        <v>74</v>
      </c>
      <c r="AZ221" t="s">
        <v>74</v>
      </c>
      <c r="BA221" t="s">
        <v>74</v>
      </c>
      <c r="BB221">
        <v>210</v>
      </c>
      <c r="BC221">
        <v>212</v>
      </c>
      <c r="BD221" t="s">
        <v>74</v>
      </c>
      <c r="BE221" t="s">
        <v>74</v>
      </c>
      <c r="BF221" t="s">
        <v>74</v>
      </c>
      <c r="BG221" t="s">
        <v>74</v>
      </c>
      <c r="BH221" t="s">
        <v>74</v>
      </c>
      <c r="BI221">
        <v>3</v>
      </c>
      <c r="BJ221" t="s">
        <v>4305</v>
      </c>
      <c r="BK221" t="s">
        <v>3947</v>
      </c>
      <c r="BL221" t="s">
        <v>4305</v>
      </c>
      <c r="BM221" t="s">
        <v>4306</v>
      </c>
      <c r="BN221" t="s">
        <v>74</v>
      </c>
      <c r="BO221" t="s">
        <v>74</v>
      </c>
      <c r="BP221" t="s">
        <v>74</v>
      </c>
      <c r="BQ221" t="s">
        <v>74</v>
      </c>
      <c r="BR221" t="s">
        <v>104</v>
      </c>
      <c r="BS221" t="s">
        <v>4315</v>
      </c>
      <c r="BT221" t="str">
        <f>HYPERLINK("https%3A%2F%2Fwww.webofscience.com%2Fwos%2Fwoscc%2Ffull-record%2FWOS:000215955300002","View Full Record in Web of Science")</f>
        <v>View Full Record in Web of Science</v>
      </c>
    </row>
    <row r="222" spans="1:72" x14ac:dyDescent="0.15">
      <c r="A222" t="s">
        <v>72</v>
      </c>
      <c r="B222" t="s">
        <v>4316</v>
      </c>
      <c r="C222" t="s">
        <v>74</v>
      </c>
      <c r="D222" t="s">
        <v>74</v>
      </c>
      <c r="E222" t="s">
        <v>74</v>
      </c>
      <c r="F222" t="s">
        <v>4317</v>
      </c>
      <c r="G222" t="s">
        <v>74</v>
      </c>
      <c r="H222" t="s">
        <v>74</v>
      </c>
      <c r="I222" t="s">
        <v>4318</v>
      </c>
      <c r="J222" t="s">
        <v>4292</v>
      </c>
      <c r="K222" t="s">
        <v>74</v>
      </c>
      <c r="L222" t="s">
        <v>74</v>
      </c>
      <c r="M222" t="s">
        <v>78</v>
      </c>
      <c r="N222" t="s">
        <v>79</v>
      </c>
      <c r="O222" t="s">
        <v>74</v>
      </c>
      <c r="P222" t="s">
        <v>74</v>
      </c>
      <c r="Q222" t="s">
        <v>74</v>
      </c>
      <c r="R222" t="s">
        <v>74</v>
      </c>
      <c r="S222" t="s">
        <v>74</v>
      </c>
      <c r="T222" t="s">
        <v>4319</v>
      </c>
      <c r="U222" t="s">
        <v>74</v>
      </c>
      <c r="V222" t="s">
        <v>4320</v>
      </c>
      <c r="W222" t="s">
        <v>4321</v>
      </c>
      <c r="X222" t="s">
        <v>74</v>
      </c>
      <c r="Y222" t="s">
        <v>4322</v>
      </c>
      <c r="Z222" t="s">
        <v>4323</v>
      </c>
      <c r="AA222" t="s">
        <v>74</v>
      </c>
      <c r="AB222" t="s">
        <v>74</v>
      </c>
      <c r="AC222" t="s">
        <v>74</v>
      </c>
      <c r="AD222" t="s">
        <v>74</v>
      </c>
      <c r="AE222" t="s">
        <v>74</v>
      </c>
      <c r="AF222" t="s">
        <v>74</v>
      </c>
      <c r="AG222">
        <v>20</v>
      </c>
      <c r="AH222">
        <v>2</v>
      </c>
      <c r="AI222">
        <v>2</v>
      </c>
      <c r="AJ222">
        <v>0</v>
      </c>
      <c r="AK222">
        <v>1</v>
      </c>
      <c r="AL222" t="s">
        <v>4299</v>
      </c>
      <c r="AM222" t="s">
        <v>4300</v>
      </c>
      <c r="AN222" t="s">
        <v>4301</v>
      </c>
      <c r="AO222" t="s">
        <v>4302</v>
      </c>
      <c r="AP222" t="s">
        <v>74</v>
      </c>
      <c r="AQ222" t="s">
        <v>74</v>
      </c>
      <c r="AR222" t="s">
        <v>4303</v>
      </c>
      <c r="AS222" t="s">
        <v>4304</v>
      </c>
      <c r="AT222" t="s">
        <v>2629</v>
      </c>
      <c r="AU222">
        <v>2010</v>
      </c>
      <c r="AV222">
        <v>1</v>
      </c>
      <c r="AW222">
        <v>4</v>
      </c>
      <c r="AX222" t="s">
        <v>74</v>
      </c>
      <c r="AY222" t="s">
        <v>74</v>
      </c>
      <c r="AZ222" t="s">
        <v>74</v>
      </c>
      <c r="BA222" t="s">
        <v>74</v>
      </c>
      <c r="BB222">
        <v>213</v>
      </c>
      <c r="BC222">
        <v>231</v>
      </c>
      <c r="BD222" t="s">
        <v>74</v>
      </c>
      <c r="BE222" t="s">
        <v>74</v>
      </c>
      <c r="BF222" t="s">
        <v>74</v>
      </c>
      <c r="BG222" t="s">
        <v>74</v>
      </c>
      <c r="BH222" t="s">
        <v>74</v>
      </c>
      <c r="BI222">
        <v>19</v>
      </c>
      <c r="BJ222" t="s">
        <v>4305</v>
      </c>
      <c r="BK222" t="s">
        <v>3947</v>
      </c>
      <c r="BL222" t="s">
        <v>4305</v>
      </c>
      <c r="BM222" t="s">
        <v>4306</v>
      </c>
      <c r="BN222" t="s">
        <v>74</v>
      </c>
      <c r="BO222" t="s">
        <v>74</v>
      </c>
      <c r="BP222" t="s">
        <v>74</v>
      </c>
      <c r="BQ222" t="s">
        <v>74</v>
      </c>
      <c r="BR222" t="s">
        <v>104</v>
      </c>
      <c r="BS222" t="s">
        <v>4324</v>
      </c>
      <c r="BT222" t="str">
        <f>HYPERLINK("https%3A%2F%2Fwww.webofscience.com%2Fwos%2Fwoscc%2Ffull-record%2FWOS:000215955300003","View Full Record in Web of Science")</f>
        <v>View Full Record in Web of Science</v>
      </c>
    </row>
    <row r="223" spans="1:72" x14ac:dyDescent="0.15">
      <c r="A223" t="s">
        <v>72</v>
      </c>
      <c r="B223" t="s">
        <v>4325</v>
      </c>
      <c r="C223" t="s">
        <v>74</v>
      </c>
      <c r="D223" t="s">
        <v>74</v>
      </c>
      <c r="E223" t="s">
        <v>74</v>
      </c>
      <c r="F223" t="s">
        <v>4326</v>
      </c>
      <c r="G223" t="s">
        <v>74</v>
      </c>
      <c r="H223" t="s">
        <v>74</v>
      </c>
      <c r="I223" t="s">
        <v>4327</v>
      </c>
      <c r="J223" t="s">
        <v>4328</v>
      </c>
      <c r="K223" t="s">
        <v>74</v>
      </c>
      <c r="L223" t="s">
        <v>74</v>
      </c>
      <c r="M223" t="s">
        <v>78</v>
      </c>
      <c r="N223" t="s">
        <v>79</v>
      </c>
      <c r="O223" t="s">
        <v>74</v>
      </c>
      <c r="P223" t="s">
        <v>74</v>
      </c>
      <c r="Q223" t="s">
        <v>74</v>
      </c>
      <c r="R223" t="s">
        <v>74</v>
      </c>
      <c r="S223" t="s">
        <v>74</v>
      </c>
      <c r="T223" t="s">
        <v>74</v>
      </c>
      <c r="U223" t="s">
        <v>74</v>
      </c>
      <c r="V223" t="s">
        <v>4329</v>
      </c>
      <c r="W223" t="s">
        <v>4330</v>
      </c>
      <c r="X223" t="s">
        <v>4331</v>
      </c>
      <c r="Y223" t="s">
        <v>4332</v>
      </c>
      <c r="Z223" t="s">
        <v>74</v>
      </c>
      <c r="AA223" t="s">
        <v>4333</v>
      </c>
      <c r="AB223" t="s">
        <v>74</v>
      </c>
      <c r="AC223" t="s">
        <v>4334</v>
      </c>
      <c r="AD223" t="s">
        <v>4335</v>
      </c>
      <c r="AE223" t="s">
        <v>4336</v>
      </c>
      <c r="AF223" t="s">
        <v>74</v>
      </c>
      <c r="AG223">
        <v>19</v>
      </c>
      <c r="AH223">
        <v>0</v>
      </c>
      <c r="AI223">
        <v>0</v>
      </c>
      <c r="AJ223">
        <v>0</v>
      </c>
      <c r="AK223">
        <v>0</v>
      </c>
      <c r="AL223" t="s">
        <v>4337</v>
      </c>
      <c r="AM223" t="s">
        <v>310</v>
      </c>
      <c r="AN223" t="s">
        <v>4338</v>
      </c>
      <c r="AO223" t="s">
        <v>4339</v>
      </c>
      <c r="AP223" t="s">
        <v>74</v>
      </c>
      <c r="AQ223" t="s">
        <v>74</v>
      </c>
      <c r="AR223" t="s">
        <v>4340</v>
      </c>
      <c r="AS223" t="s">
        <v>4341</v>
      </c>
      <c r="AT223" t="s">
        <v>2226</v>
      </c>
      <c r="AU223">
        <v>2010</v>
      </c>
      <c r="AV223">
        <v>35</v>
      </c>
      <c r="AW223">
        <v>10</v>
      </c>
      <c r="AX223" t="s">
        <v>74</v>
      </c>
      <c r="AY223" t="s">
        <v>74</v>
      </c>
      <c r="AZ223" t="s">
        <v>74</v>
      </c>
      <c r="BA223" t="s">
        <v>74</v>
      </c>
      <c r="BB223">
        <v>673</v>
      </c>
      <c r="BC223">
        <v>679</v>
      </c>
      <c r="BD223" t="s">
        <v>74</v>
      </c>
      <c r="BE223" t="s">
        <v>4342</v>
      </c>
      <c r="BF223" t="str">
        <f>HYPERLINK("http://dx.doi.org/10.3103/S1068373910100043","http://dx.doi.org/10.3103/S1068373910100043")</f>
        <v>http://dx.doi.org/10.3103/S1068373910100043</v>
      </c>
      <c r="BG223" t="s">
        <v>74</v>
      </c>
      <c r="BH223" t="s">
        <v>74</v>
      </c>
      <c r="BI223">
        <v>7</v>
      </c>
      <c r="BJ223" t="s">
        <v>319</v>
      </c>
      <c r="BK223" t="s">
        <v>100</v>
      </c>
      <c r="BL223" t="s">
        <v>319</v>
      </c>
      <c r="BM223" t="s">
        <v>4343</v>
      </c>
      <c r="BN223" t="s">
        <v>74</v>
      </c>
      <c r="BO223" t="s">
        <v>74</v>
      </c>
      <c r="BP223" t="s">
        <v>74</v>
      </c>
      <c r="BQ223" t="s">
        <v>74</v>
      </c>
      <c r="BR223" t="s">
        <v>104</v>
      </c>
      <c r="BS223" t="s">
        <v>4344</v>
      </c>
      <c r="BT223" t="str">
        <f>HYPERLINK("https%3A%2F%2Fwww.webofscience.com%2Fwos%2Fwoscc%2Ffull-record%2FWOS:000285357100004","View Full Record in Web of Science")</f>
        <v>View Full Record in Web of Science</v>
      </c>
    </row>
    <row r="224" spans="1:72" x14ac:dyDescent="0.15">
      <c r="A224" t="s">
        <v>72</v>
      </c>
      <c r="B224" t="s">
        <v>4345</v>
      </c>
      <c r="C224" t="s">
        <v>74</v>
      </c>
      <c r="D224" t="s">
        <v>74</v>
      </c>
      <c r="E224" t="s">
        <v>74</v>
      </c>
      <c r="F224" t="s">
        <v>4346</v>
      </c>
      <c r="G224" t="s">
        <v>74</v>
      </c>
      <c r="H224" t="s">
        <v>74</v>
      </c>
      <c r="I224" t="s">
        <v>4347</v>
      </c>
      <c r="J224" t="s">
        <v>4348</v>
      </c>
      <c r="K224" t="s">
        <v>74</v>
      </c>
      <c r="L224" t="s">
        <v>74</v>
      </c>
      <c r="M224" t="s">
        <v>78</v>
      </c>
      <c r="N224" t="s">
        <v>79</v>
      </c>
      <c r="O224" t="s">
        <v>74</v>
      </c>
      <c r="P224" t="s">
        <v>74</v>
      </c>
      <c r="Q224" t="s">
        <v>74</v>
      </c>
      <c r="R224" t="s">
        <v>74</v>
      </c>
      <c r="S224" t="s">
        <v>74</v>
      </c>
      <c r="T224" t="s">
        <v>74</v>
      </c>
      <c r="U224" t="s">
        <v>4349</v>
      </c>
      <c r="V224" t="s">
        <v>4350</v>
      </c>
      <c r="W224" t="s">
        <v>4351</v>
      </c>
      <c r="X224" t="s">
        <v>4352</v>
      </c>
      <c r="Y224" t="s">
        <v>4353</v>
      </c>
      <c r="Z224" t="s">
        <v>4354</v>
      </c>
      <c r="AA224" t="s">
        <v>4355</v>
      </c>
      <c r="AB224" t="s">
        <v>4356</v>
      </c>
      <c r="AC224" t="s">
        <v>4357</v>
      </c>
      <c r="AD224" t="s">
        <v>4358</v>
      </c>
      <c r="AE224" t="s">
        <v>4359</v>
      </c>
      <c r="AF224" t="s">
        <v>74</v>
      </c>
      <c r="AG224">
        <v>65</v>
      </c>
      <c r="AH224">
        <v>63</v>
      </c>
      <c r="AI224">
        <v>75</v>
      </c>
      <c r="AJ224">
        <v>0</v>
      </c>
      <c r="AK224">
        <v>26</v>
      </c>
      <c r="AL224" t="s">
        <v>923</v>
      </c>
      <c r="AM224" t="s">
        <v>339</v>
      </c>
      <c r="AN224" t="s">
        <v>340</v>
      </c>
      <c r="AO224" t="s">
        <v>4360</v>
      </c>
      <c r="AP224" t="s">
        <v>4361</v>
      </c>
      <c r="AQ224" t="s">
        <v>74</v>
      </c>
      <c r="AR224" t="s">
        <v>4362</v>
      </c>
      <c r="AS224" t="s">
        <v>4363</v>
      </c>
      <c r="AT224" t="s">
        <v>2226</v>
      </c>
      <c r="AU224">
        <v>2010</v>
      </c>
      <c r="AV224">
        <v>35</v>
      </c>
      <c r="AW224">
        <v>4</v>
      </c>
      <c r="AX224" t="s">
        <v>74</v>
      </c>
      <c r="AY224" t="s">
        <v>74</v>
      </c>
      <c r="AZ224" t="s">
        <v>74</v>
      </c>
      <c r="BA224" t="s">
        <v>74</v>
      </c>
      <c r="BB224">
        <v>636</v>
      </c>
      <c r="BC224">
        <v>648</v>
      </c>
      <c r="BD224" t="s">
        <v>74</v>
      </c>
      <c r="BE224" t="s">
        <v>4364</v>
      </c>
      <c r="BF224" t="str">
        <f>HYPERLINK("http://dx.doi.org/10.1111/j.1365-3113.2010.00531.x","http://dx.doi.org/10.1111/j.1365-3113.2010.00531.x")</f>
        <v>http://dx.doi.org/10.1111/j.1365-3113.2010.00531.x</v>
      </c>
      <c r="BG224" t="s">
        <v>74</v>
      </c>
      <c r="BH224" t="s">
        <v>74</v>
      </c>
      <c r="BI224">
        <v>13</v>
      </c>
      <c r="BJ224" t="s">
        <v>4365</v>
      </c>
      <c r="BK224" t="s">
        <v>100</v>
      </c>
      <c r="BL224" t="s">
        <v>4365</v>
      </c>
      <c r="BM224" t="s">
        <v>4366</v>
      </c>
      <c r="BN224" t="s">
        <v>74</v>
      </c>
      <c r="BO224" t="s">
        <v>74</v>
      </c>
      <c r="BP224" t="s">
        <v>74</v>
      </c>
      <c r="BQ224" t="s">
        <v>74</v>
      </c>
      <c r="BR224" t="s">
        <v>104</v>
      </c>
      <c r="BS224" t="s">
        <v>4367</v>
      </c>
      <c r="BT224" t="str">
        <f>HYPERLINK("https%3A%2F%2Fwww.webofscience.com%2Fwos%2Fwoscc%2Ffull-record%2FWOS:000281900900004","View Full Record in Web of Science")</f>
        <v>View Full Record in Web of Science</v>
      </c>
    </row>
    <row r="225" spans="1:72" x14ac:dyDescent="0.15">
      <c r="A225" t="s">
        <v>72</v>
      </c>
      <c r="B225" t="s">
        <v>4368</v>
      </c>
      <c r="C225" t="s">
        <v>74</v>
      </c>
      <c r="D225" t="s">
        <v>74</v>
      </c>
      <c r="E225" t="s">
        <v>74</v>
      </c>
      <c r="F225" t="s">
        <v>4369</v>
      </c>
      <c r="G225" t="s">
        <v>74</v>
      </c>
      <c r="H225" t="s">
        <v>74</v>
      </c>
      <c r="I225" t="s">
        <v>4370</v>
      </c>
      <c r="J225" t="s">
        <v>4371</v>
      </c>
      <c r="K225" t="s">
        <v>74</v>
      </c>
      <c r="L225" t="s">
        <v>74</v>
      </c>
      <c r="M225" t="s">
        <v>78</v>
      </c>
      <c r="N225" t="s">
        <v>79</v>
      </c>
      <c r="O225" t="s">
        <v>74</v>
      </c>
      <c r="P225" t="s">
        <v>74</v>
      </c>
      <c r="Q225" t="s">
        <v>74</v>
      </c>
      <c r="R225" t="s">
        <v>74</v>
      </c>
      <c r="S225" t="s">
        <v>74</v>
      </c>
      <c r="T225" t="s">
        <v>74</v>
      </c>
      <c r="U225" t="s">
        <v>4372</v>
      </c>
      <c r="V225" t="s">
        <v>4373</v>
      </c>
      <c r="W225" t="s">
        <v>4374</v>
      </c>
      <c r="X225" t="s">
        <v>4375</v>
      </c>
      <c r="Y225" t="s">
        <v>4376</v>
      </c>
      <c r="Z225" t="s">
        <v>4377</v>
      </c>
      <c r="AA225" t="s">
        <v>74</v>
      </c>
      <c r="AB225" t="s">
        <v>4378</v>
      </c>
      <c r="AC225" t="s">
        <v>74</v>
      </c>
      <c r="AD225" t="s">
        <v>74</v>
      </c>
      <c r="AE225" t="s">
        <v>74</v>
      </c>
      <c r="AF225" t="s">
        <v>74</v>
      </c>
      <c r="AG225">
        <v>28</v>
      </c>
      <c r="AH225">
        <v>14</v>
      </c>
      <c r="AI225">
        <v>15</v>
      </c>
      <c r="AJ225">
        <v>0</v>
      </c>
      <c r="AK225">
        <v>4</v>
      </c>
      <c r="AL225" t="s">
        <v>464</v>
      </c>
      <c r="AM225" t="s">
        <v>576</v>
      </c>
      <c r="AN225" t="s">
        <v>577</v>
      </c>
      <c r="AO225" t="s">
        <v>4379</v>
      </c>
      <c r="AP225" t="s">
        <v>4380</v>
      </c>
      <c r="AQ225" t="s">
        <v>74</v>
      </c>
      <c r="AR225" t="s">
        <v>4381</v>
      </c>
      <c r="AS225" t="s">
        <v>4382</v>
      </c>
      <c r="AT225" t="s">
        <v>2226</v>
      </c>
      <c r="AU225">
        <v>2010</v>
      </c>
      <c r="AV225">
        <v>77</v>
      </c>
      <c r="AW225">
        <v>2</v>
      </c>
      <c r="AX225" t="s">
        <v>74</v>
      </c>
      <c r="AY225" t="s">
        <v>74</v>
      </c>
      <c r="AZ225" t="s">
        <v>74</v>
      </c>
      <c r="BA225" t="s">
        <v>74</v>
      </c>
      <c r="BB225">
        <v>131</v>
      </c>
      <c r="BC225">
        <v>151</v>
      </c>
      <c r="BD225" t="s">
        <v>74</v>
      </c>
      <c r="BE225" t="s">
        <v>4383</v>
      </c>
      <c r="BF225" t="str">
        <f>HYPERLINK("http://dx.doi.org/10.1007/s11230-010-9260-0","http://dx.doi.org/10.1007/s11230-010-9260-0")</f>
        <v>http://dx.doi.org/10.1007/s11230-010-9260-0</v>
      </c>
      <c r="BG225" t="s">
        <v>74</v>
      </c>
      <c r="BH225" t="s">
        <v>74</v>
      </c>
      <c r="BI225">
        <v>21</v>
      </c>
      <c r="BJ225" t="s">
        <v>4384</v>
      </c>
      <c r="BK225" t="s">
        <v>100</v>
      </c>
      <c r="BL225" t="s">
        <v>4384</v>
      </c>
      <c r="BM225" t="s">
        <v>4385</v>
      </c>
      <c r="BN225">
        <v>20852984</v>
      </c>
      <c r="BO225" t="s">
        <v>74</v>
      </c>
      <c r="BP225" t="s">
        <v>74</v>
      </c>
      <c r="BQ225" t="s">
        <v>74</v>
      </c>
      <c r="BR225" t="s">
        <v>104</v>
      </c>
      <c r="BS225" t="s">
        <v>4386</v>
      </c>
      <c r="BT225" t="str">
        <f>HYPERLINK("https%3A%2F%2Fwww.webofscience.com%2Fwos%2Fwoscc%2Ffull-record%2FWOS:000281983300003","View Full Record in Web of Science")</f>
        <v>View Full Record in Web of Science</v>
      </c>
    </row>
    <row r="226" spans="1:72" x14ac:dyDescent="0.15">
      <c r="A226" t="s">
        <v>72</v>
      </c>
      <c r="B226" t="s">
        <v>4387</v>
      </c>
      <c r="C226" t="s">
        <v>74</v>
      </c>
      <c r="D226" t="s">
        <v>74</v>
      </c>
      <c r="E226" t="s">
        <v>74</v>
      </c>
      <c r="F226" t="s">
        <v>4388</v>
      </c>
      <c r="G226" t="s">
        <v>74</v>
      </c>
      <c r="H226" t="s">
        <v>74</v>
      </c>
      <c r="I226" t="s">
        <v>4389</v>
      </c>
      <c r="J226" t="s">
        <v>2211</v>
      </c>
      <c r="K226" t="s">
        <v>74</v>
      </c>
      <c r="L226" t="s">
        <v>74</v>
      </c>
      <c r="M226" t="s">
        <v>78</v>
      </c>
      <c r="N226" t="s">
        <v>79</v>
      </c>
      <c r="O226" t="s">
        <v>74</v>
      </c>
      <c r="P226" t="s">
        <v>74</v>
      </c>
      <c r="Q226" t="s">
        <v>74</v>
      </c>
      <c r="R226" t="s">
        <v>74</v>
      </c>
      <c r="S226" t="s">
        <v>74</v>
      </c>
      <c r="T226" t="s">
        <v>74</v>
      </c>
      <c r="U226" t="s">
        <v>4390</v>
      </c>
      <c r="V226" t="s">
        <v>4391</v>
      </c>
      <c r="W226" t="s">
        <v>4392</v>
      </c>
      <c r="X226" t="s">
        <v>4393</v>
      </c>
      <c r="Y226" t="s">
        <v>4394</v>
      </c>
      <c r="Z226" t="s">
        <v>4395</v>
      </c>
      <c r="AA226" t="s">
        <v>74</v>
      </c>
      <c r="AB226" t="s">
        <v>4396</v>
      </c>
      <c r="AC226" t="s">
        <v>4397</v>
      </c>
      <c r="AD226" t="s">
        <v>4398</v>
      </c>
      <c r="AE226" t="s">
        <v>4399</v>
      </c>
      <c r="AF226" t="s">
        <v>74</v>
      </c>
      <c r="AG226">
        <v>49</v>
      </c>
      <c r="AH226">
        <v>20</v>
      </c>
      <c r="AI226">
        <v>21</v>
      </c>
      <c r="AJ226">
        <v>0</v>
      </c>
      <c r="AK226">
        <v>6</v>
      </c>
      <c r="AL226" t="s">
        <v>119</v>
      </c>
      <c r="AM226" t="s">
        <v>120</v>
      </c>
      <c r="AN226" t="s">
        <v>121</v>
      </c>
      <c r="AO226" t="s">
        <v>74</v>
      </c>
      <c r="AP226" t="s">
        <v>2223</v>
      </c>
      <c r="AQ226" t="s">
        <v>74</v>
      </c>
      <c r="AR226" t="s">
        <v>2224</v>
      </c>
      <c r="AS226" t="s">
        <v>2225</v>
      </c>
      <c r="AT226" t="s">
        <v>2226</v>
      </c>
      <c r="AU226">
        <v>2010</v>
      </c>
      <c r="AV226">
        <v>62</v>
      </c>
      <c r="AW226">
        <v>5</v>
      </c>
      <c r="AX226" t="s">
        <v>74</v>
      </c>
      <c r="AY226" t="s">
        <v>74</v>
      </c>
      <c r="AZ226" t="s">
        <v>74</v>
      </c>
      <c r="BA226" t="s">
        <v>74</v>
      </c>
      <c r="BB226">
        <v>647</v>
      </c>
      <c r="BC226">
        <v>660</v>
      </c>
      <c r="BD226" t="s">
        <v>74</v>
      </c>
      <c r="BE226" t="s">
        <v>4400</v>
      </c>
      <c r="BF226" t="str">
        <f>HYPERLINK("http://dx.doi.org/10.1111/j.1600-0870.2010.00455.x","http://dx.doi.org/10.1111/j.1600-0870.2010.00455.x")</f>
        <v>http://dx.doi.org/10.1111/j.1600-0870.2010.00455.x</v>
      </c>
      <c r="BG226" t="s">
        <v>74</v>
      </c>
      <c r="BH226" t="s">
        <v>74</v>
      </c>
      <c r="BI226">
        <v>14</v>
      </c>
      <c r="BJ226" t="s">
        <v>2228</v>
      </c>
      <c r="BK226" t="s">
        <v>100</v>
      </c>
      <c r="BL226" t="s">
        <v>2228</v>
      </c>
      <c r="BM226" t="s">
        <v>2229</v>
      </c>
      <c r="BN226" t="s">
        <v>74</v>
      </c>
      <c r="BO226" t="s">
        <v>1000</v>
      </c>
      <c r="BP226" t="s">
        <v>74</v>
      </c>
      <c r="BQ226" t="s">
        <v>74</v>
      </c>
      <c r="BR226" t="s">
        <v>104</v>
      </c>
      <c r="BS226" t="s">
        <v>4401</v>
      </c>
      <c r="BT226" t="str">
        <f>HYPERLINK("https%3A%2F%2Fwww.webofscience.com%2Fwos%2Fwoscc%2Ffull-record%2FWOS:000282182300005","View Full Record in Web of Science")</f>
        <v>View Full Record in Web of Science</v>
      </c>
    </row>
    <row r="227" spans="1:72" x14ac:dyDescent="0.15">
      <c r="A227" t="s">
        <v>72</v>
      </c>
      <c r="B227" t="s">
        <v>4402</v>
      </c>
      <c r="C227" t="s">
        <v>74</v>
      </c>
      <c r="D227" t="s">
        <v>74</v>
      </c>
      <c r="E227" t="s">
        <v>74</v>
      </c>
      <c r="F227" t="s">
        <v>4403</v>
      </c>
      <c r="G227" t="s">
        <v>74</v>
      </c>
      <c r="H227" t="s">
        <v>74</v>
      </c>
      <c r="I227" t="s">
        <v>4404</v>
      </c>
      <c r="J227" t="s">
        <v>4405</v>
      </c>
      <c r="K227" t="s">
        <v>74</v>
      </c>
      <c r="L227" t="s">
        <v>74</v>
      </c>
      <c r="M227" t="s">
        <v>78</v>
      </c>
      <c r="N227" t="s">
        <v>79</v>
      </c>
      <c r="O227" t="s">
        <v>74</v>
      </c>
      <c r="P227" t="s">
        <v>74</v>
      </c>
      <c r="Q227" t="s">
        <v>74</v>
      </c>
      <c r="R227" t="s">
        <v>74</v>
      </c>
      <c r="S227" t="s">
        <v>74</v>
      </c>
      <c r="T227" t="s">
        <v>74</v>
      </c>
      <c r="U227" t="s">
        <v>4406</v>
      </c>
      <c r="V227" t="s">
        <v>4407</v>
      </c>
      <c r="W227" t="s">
        <v>4408</v>
      </c>
      <c r="X227" t="s">
        <v>4409</v>
      </c>
      <c r="Y227" t="s">
        <v>4410</v>
      </c>
      <c r="Z227" t="s">
        <v>4411</v>
      </c>
      <c r="AA227" t="s">
        <v>4412</v>
      </c>
      <c r="AB227" t="s">
        <v>4413</v>
      </c>
      <c r="AC227" t="s">
        <v>4414</v>
      </c>
      <c r="AD227" t="s">
        <v>4415</v>
      </c>
      <c r="AE227" t="s">
        <v>4416</v>
      </c>
      <c r="AF227" t="s">
        <v>74</v>
      </c>
      <c r="AG227">
        <v>42</v>
      </c>
      <c r="AH227">
        <v>15</v>
      </c>
      <c r="AI227">
        <v>16</v>
      </c>
      <c r="AJ227">
        <v>0</v>
      </c>
      <c r="AK227">
        <v>11</v>
      </c>
      <c r="AL227" t="s">
        <v>923</v>
      </c>
      <c r="AM227" t="s">
        <v>339</v>
      </c>
      <c r="AN227" t="s">
        <v>340</v>
      </c>
      <c r="AO227" t="s">
        <v>4417</v>
      </c>
      <c r="AP227" t="s">
        <v>4418</v>
      </c>
      <c r="AQ227" t="s">
        <v>74</v>
      </c>
      <c r="AR227" t="s">
        <v>4405</v>
      </c>
      <c r="AS227" t="s">
        <v>4419</v>
      </c>
      <c r="AT227" t="s">
        <v>2226</v>
      </c>
      <c r="AU227">
        <v>2010</v>
      </c>
      <c r="AV227">
        <v>22</v>
      </c>
      <c r="AW227">
        <v>5</v>
      </c>
      <c r="AX227" t="s">
        <v>74</v>
      </c>
      <c r="AY227" t="s">
        <v>74</v>
      </c>
      <c r="AZ227" t="s">
        <v>74</v>
      </c>
      <c r="BA227" t="s">
        <v>74</v>
      </c>
      <c r="BB227">
        <v>361</v>
      </c>
      <c r="BC227">
        <v>368</v>
      </c>
      <c r="BD227" t="s">
        <v>74</v>
      </c>
      <c r="BE227" t="s">
        <v>4420</v>
      </c>
      <c r="BF227" t="str">
        <f>HYPERLINK("http://dx.doi.org/10.1111/j.1365-3121.2010.00958.x","http://dx.doi.org/10.1111/j.1365-3121.2010.00958.x")</f>
        <v>http://dx.doi.org/10.1111/j.1365-3121.2010.00958.x</v>
      </c>
      <c r="BG227" t="s">
        <v>74</v>
      </c>
      <c r="BH227" t="s">
        <v>74</v>
      </c>
      <c r="BI227">
        <v>8</v>
      </c>
      <c r="BJ227" t="s">
        <v>1194</v>
      </c>
      <c r="BK227" t="s">
        <v>100</v>
      </c>
      <c r="BL227" t="s">
        <v>807</v>
      </c>
      <c r="BM227" t="s">
        <v>4421</v>
      </c>
      <c r="BN227" t="s">
        <v>74</v>
      </c>
      <c r="BO227" t="s">
        <v>74</v>
      </c>
      <c r="BP227" t="s">
        <v>74</v>
      </c>
      <c r="BQ227" t="s">
        <v>74</v>
      </c>
      <c r="BR227" t="s">
        <v>104</v>
      </c>
      <c r="BS227" t="s">
        <v>4422</v>
      </c>
      <c r="BT227" t="str">
        <f>HYPERLINK("https%3A%2F%2Fwww.webofscience.com%2Fwos%2Fwoscc%2Ffull-record%2FWOS:000281638400007","View Full Record in Web of Science")</f>
        <v>View Full Record in Web of Science</v>
      </c>
    </row>
    <row r="228" spans="1:72" x14ac:dyDescent="0.15">
      <c r="A228" t="s">
        <v>72</v>
      </c>
      <c r="B228" t="s">
        <v>4423</v>
      </c>
      <c r="C228" t="s">
        <v>74</v>
      </c>
      <c r="D228" t="s">
        <v>74</v>
      </c>
      <c r="E228" t="s">
        <v>74</v>
      </c>
      <c r="F228" t="s">
        <v>4424</v>
      </c>
      <c r="G228" t="s">
        <v>74</v>
      </c>
      <c r="H228" t="s">
        <v>74</v>
      </c>
      <c r="I228" t="s">
        <v>4425</v>
      </c>
      <c r="J228" t="s">
        <v>4426</v>
      </c>
      <c r="K228" t="s">
        <v>74</v>
      </c>
      <c r="L228" t="s">
        <v>74</v>
      </c>
      <c r="M228" t="s">
        <v>4427</v>
      </c>
      <c r="N228" t="s">
        <v>79</v>
      </c>
      <c r="O228" t="s">
        <v>74</v>
      </c>
      <c r="P228" t="s">
        <v>74</v>
      </c>
      <c r="Q228" t="s">
        <v>74</v>
      </c>
      <c r="R228" t="s">
        <v>74</v>
      </c>
      <c r="S228" t="s">
        <v>74</v>
      </c>
      <c r="T228" t="s">
        <v>4428</v>
      </c>
      <c r="U228" t="s">
        <v>74</v>
      </c>
      <c r="V228" t="s">
        <v>4429</v>
      </c>
      <c r="W228" t="s">
        <v>4430</v>
      </c>
      <c r="X228" t="s">
        <v>4431</v>
      </c>
      <c r="Y228" t="s">
        <v>4432</v>
      </c>
      <c r="Z228" t="s">
        <v>4433</v>
      </c>
      <c r="AA228" t="s">
        <v>74</v>
      </c>
      <c r="AB228" t="s">
        <v>74</v>
      </c>
      <c r="AC228" t="s">
        <v>74</v>
      </c>
      <c r="AD228" t="s">
        <v>74</v>
      </c>
      <c r="AE228" t="s">
        <v>74</v>
      </c>
      <c r="AF228" t="s">
        <v>74</v>
      </c>
      <c r="AG228">
        <v>9</v>
      </c>
      <c r="AH228">
        <v>1</v>
      </c>
      <c r="AI228">
        <v>1</v>
      </c>
      <c r="AJ228">
        <v>0</v>
      </c>
      <c r="AK228">
        <v>0</v>
      </c>
      <c r="AL228" t="s">
        <v>4434</v>
      </c>
      <c r="AM228" t="s">
        <v>4435</v>
      </c>
      <c r="AN228" t="s">
        <v>4436</v>
      </c>
      <c r="AO228" t="s">
        <v>4437</v>
      </c>
      <c r="AP228" t="s">
        <v>4438</v>
      </c>
      <c r="AQ228" t="s">
        <v>74</v>
      </c>
      <c r="AR228" t="s">
        <v>4439</v>
      </c>
      <c r="AS228" t="s">
        <v>4440</v>
      </c>
      <c r="AT228" t="s">
        <v>2226</v>
      </c>
      <c r="AU228">
        <v>2010</v>
      </c>
      <c r="AV228" t="s">
        <v>74</v>
      </c>
      <c r="AW228">
        <v>339</v>
      </c>
      <c r="AX228" t="s">
        <v>74</v>
      </c>
      <c r="AY228" t="s">
        <v>74</v>
      </c>
      <c r="AZ228" t="s">
        <v>74</v>
      </c>
      <c r="BA228" t="s">
        <v>74</v>
      </c>
      <c r="BB228">
        <v>205</v>
      </c>
      <c r="BC228" t="s">
        <v>4441</v>
      </c>
      <c r="BD228" t="s">
        <v>74</v>
      </c>
      <c r="BE228" t="s">
        <v>74</v>
      </c>
      <c r="BF228" t="s">
        <v>74</v>
      </c>
      <c r="BG228" t="s">
        <v>74</v>
      </c>
      <c r="BH228" t="s">
        <v>74</v>
      </c>
      <c r="BI228">
        <v>6</v>
      </c>
      <c r="BJ228" t="s">
        <v>444</v>
      </c>
      <c r="BK228" t="s">
        <v>3947</v>
      </c>
      <c r="BL228" t="s">
        <v>445</v>
      </c>
      <c r="BM228" t="s">
        <v>4442</v>
      </c>
      <c r="BN228" t="s">
        <v>74</v>
      </c>
      <c r="BO228" t="s">
        <v>74</v>
      </c>
      <c r="BP228" t="s">
        <v>74</v>
      </c>
      <c r="BQ228" t="s">
        <v>74</v>
      </c>
      <c r="BR228" t="s">
        <v>104</v>
      </c>
      <c r="BS228" t="s">
        <v>4443</v>
      </c>
      <c r="BT228" t="str">
        <f>HYPERLINK("https%3A%2F%2Fwww.webofscience.com%2Fwos%2Fwoscc%2Ffull-record%2FWOS:000421474800043","View Full Record in Web of Science")</f>
        <v>View Full Record in Web of Science</v>
      </c>
    </row>
    <row r="229" spans="1:72" x14ac:dyDescent="0.15">
      <c r="A229" t="s">
        <v>72</v>
      </c>
      <c r="B229" t="s">
        <v>4444</v>
      </c>
      <c r="C229" t="s">
        <v>74</v>
      </c>
      <c r="D229" t="s">
        <v>74</v>
      </c>
      <c r="E229" t="s">
        <v>74</v>
      </c>
      <c r="F229" t="s">
        <v>4445</v>
      </c>
      <c r="G229" t="s">
        <v>74</v>
      </c>
      <c r="H229" t="s">
        <v>74</v>
      </c>
      <c r="I229" t="s">
        <v>4446</v>
      </c>
      <c r="J229" t="s">
        <v>4447</v>
      </c>
      <c r="K229" t="s">
        <v>74</v>
      </c>
      <c r="L229" t="s">
        <v>74</v>
      </c>
      <c r="M229" t="s">
        <v>78</v>
      </c>
      <c r="N229" t="s">
        <v>79</v>
      </c>
      <c r="O229" t="s">
        <v>74</v>
      </c>
      <c r="P229" t="s">
        <v>74</v>
      </c>
      <c r="Q229" t="s">
        <v>74</v>
      </c>
      <c r="R229" t="s">
        <v>74</v>
      </c>
      <c r="S229" t="s">
        <v>74</v>
      </c>
      <c r="T229" t="s">
        <v>4448</v>
      </c>
      <c r="U229" t="s">
        <v>4449</v>
      </c>
      <c r="V229" t="s">
        <v>4450</v>
      </c>
      <c r="W229" t="s">
        <v>4451</v>
      </c>
      <c r="X229" t="s">
        <v>4452</v>
      </c>
      <c r="Y229" t="s">
        <v>4453</v>
      </c>
      <c r="Z229" t="s">
        <v>4454</v>
      </c>
      <c r="AA229" t="s">
        <v>4455</v>
      </c>
      <c r="AB229" t="s">
        <v>4456</v>
      </c>
      <c r="AC229" t="s">
        <v>4457</v>
      </c>
      <c r="AD229" t="s">
        <v>4458</v>
      </c>
      <c r="AE229" t="s">
        <v>4459</v>
      </c>
      <c r="AF229" t="s">
        <v>74</v>
      </c>
      <c r="AG229">
        <v>37</v>
      </c>
      <c r="AH229">
        <v>22</v>
      </c>
      <c r="AI229">
        <v>27</v>
      </c>
      <c r="AJ229">
        <v>6</v>
      </c>
      <c r="AK229">
        <v>66</v>
      </c>
      <c r="AL229" t="s">
        <v>4460</v>
      </c>
      <c r="AM229" t="s">
        <v>4461</v>
      </c>
      <c r="AN229" t="s">
        <v>4462</v>
      </c>
      <c r="AO229" t="s">
        <v>4463</v>
      </c>
      <c r="AP229" t="s">
        <v>74</v>
      </c>
      <c r="AQ229" t="s">
        <v>74</v>
      </c>
      <c r="AR229" t="s">
        <v>4464</v>
      </c>
      <c r="AS229" t="s">
        <v>4465</v>
      </c>
      <c r="AT229" t="s">
        <v>2226</v>
      </c>
      <c r="AU229">
        <v>2010</v>
      </c>
      <c r="AV229">
        <v>27</v>
      </c>
      <c r="AW229">
        <v>5</v>
      </c>
      <c r="AX229" t="s">
        <v>74</v>
      </c>
      <c r="AY229" t="s">
        <v>74</v>
      </c>
      <c r="AZ229" t="s">
        <v>74</v>
      </c>
      <c r="BA229" t="s">
        <v>74</v>
      </c>
      <c r="BB229">
        <v>741</v>
      </c>
      <c r="BC229">
        <v>750</v>
      </c>
      <c r="BD229" t="s">
        <v>74</v>
      </c>
      <c r="BE229" t="s">
        <v>4466</v>
      </c>
      <c r="BF229" t="str">
        <f>HYPERLINK("http://dx.doi.org/10.1590/S1984-46702010000500011","http://dx.doi.org/10.1590/S1984-46702010000500011")</f>
        <v>http://dx.doi.org/10.1590/S1984-46702010000500011</v>
      </c>
      <c r="BG229" t="s">
        <v>74</v>
      </c>
      <c r="BH229" t="s">
        <v>74</v>
      </c>
      <c r="BI229">
        <v>10</v>
      </c>
      <c r="BJ229" t="s">
        <v>492</v>
      </c>
      <c r="BK229" t="s">
        <v>100</v>
      </c>
      <c r="BL229" t="s">
        <v>492</v>
      </c>
      <c r="BM229" t="s">
        <v>4467</v>
      </c>
      <c r="BN229" t="s">
        <v>74</v>
      </c>
      <c r="BO229" t="s">
        <v>4468</v>
      </c>
      <c r="BP229" t="s">
        <v>74</v>
      </c>
      <c r="BQ229" t="s">
        <v>74</v>
      </c>
      <c r="BR229" t="s">
        <v>104</v>
      </c>
      <c r="BS229" t="s">
        <v>4469</v>
      </c>
      <c r="BT229" t="str">
        <f>HYPERLINK("https%3A%2F%2Fwww.webofscience.com%2Fwos%2Fwoscc%2Ffull-record%2FWOS:000285666000011","View Full Record in Web of Science")</f>
        <v>View Full Record in Web of Science</v>
      </c>
    </row>
    <row r="230" spans="1:72" x14ac:dyDescent="0.15">
      <c r="A230" t="s">
        <v>72</v>
      </c>
      <c r="B230" t="s">
        <v>4470</v>
      </c>
      <c r="C230" t="s">
        <v>74</v>
      </c>
      <c r="D230" t="s">
        <v>74</v>
      </c>
      <c r="E230" t="s">
        <v>74</v>
      </c>
      <c r="F230" t="s">
        <v>4471</v>
      </c>
      <c r="G230" t="s">
        <v>74</v>
      </c>
      <c r="H230" t="s">
        <v>74</v>
      </c>
      <c r="I230" t="s">
        <v>4472</v>
      </c>
      <c r="J230" t="s">
        <v>4473</v>
      </c>
      <c r="K230" t="s">
        <v>74</v>
      </c>
      <c r="L230" t="s">
        <v>74</v>
      </c>
      <c r="M230" t="s">
        <v>78</v>
      </c>
      <c r="N230" t="s">
        <v>326</v>
      </c>
      <c r="O230" t="s">
        <v>74</v>
      </c>
      <c r="P230" t="s">
        <v>74</v>
      </c>
      <c r="Q230" t="s">
        <v>74</v>
      </c>
      <c r="R230" t="s">
        <v>74</v>
      </c>
      <c r="S230" t="s">
        <v>74</v>
      </c>
      <c r="T230" t="s">
        <v>4474</v>
      </c>
      <c r="U230" t="s">
        <v>4475</v>
      </c>
      <c r="V230" t="s">
        <v>4476</v>
      </c>
      <c r="W230" t="s">
        <v>4477</v>
      </c>
      <c r="X230" t="s">
        <v>4478</v>
      </c>
      <c r="Y230" t="s">
        <v>4479</v>
      </c>
      <c r="Z230" t="s">
        <v>4480</v>
      </c>
      <c r="AA230" t="s">
        <v>74</v>
      </c>
      <c r="AB230" t="s">
        <v>4481</v>
      </c>
      <c r="AC230" t="s">
        <v>4482</v>
      </c>
      <c r="AD230" t="s">
        <v>4483</v>
      </c>
      <c r="AE230" t="s">
        <v>4484</v>
      </c>
      <c r="AF230" t="s">
        <v>74</v>
      </c>
      <c r="AG230">
        <v>131</v>
      </c>
      <c r="AH230">
        <v>40</v>
      </c>
      <c r="AI230">
        <v>49</v>
      </c>
      <c r="AJ230">
        <v>1</v>
      </c>
      <c r="AK230">
        <v>17</v>
      </c>
      <c r="AL230" t="s">
        <v>648</v>
      </c>
      <c r="AM230" t="s">
        <v>265</v>
      </c>
      <c r="AN230" t="s">
        <v>649</v>
      </c>
      <c r="AO230" t="s">
        <v>4485</v>
      </c>
      <c r="AP230" t="s">
        <v>4486</v>
      </c>
      <c r="AQ230" t="s">
        <v>74</v>
      </c>
      <c r="AR230" t="s">
        <v>4487</v>
      </c>
      <c r="AS230" t="s">
        <v>4488</v>
      </c>
      <c r="AT230" t="s">
        <v>2226</v>
      </c>
      <c r="AU230">
        <v>2010</v>
      </c>
      <c r="AV230">
        <v>160</v>
      </c>
      <c r="AW230">
        <v>2</v>
      </c>
      <c r="AX230" t="s">
        <v>74</v>
      </c>
      <c r="AY230" t="s">
        <v>74</v>
      </c>
      <c r="AZ230" t="s">
        <v>74</v>
      </c>
      <c r="BA230" t="s">
        <v>74</v>
      </c>
      <c r="BB230">
        <v>266</v>
      </c>
      <c r="BC230">
        <v>301</v>
      </c>
      <c r="BD230" t="s">
        <v>74</v>
      </c>
      <c r="BE230" t="s">
        <v>4489</v>
      </c>
      <c r="BF230" t="str">
        <f>HYPERLINK("http://dx.doi.org/10.1111/j.1096-3642.2010.00638.x","http://dx.doi.org/10.1111/j.1096-3642.2010.00638.x")</f>
        <v>http://dx.doi.org/10.1111/j.1096-3642.2010.00638.x</v>
      </c>
      <c r="BG230" t="s">
        <v>74</v>
      </c>
      <c r="BH230" t="s">
        <v>74</v>
      </c>
      <c r="BI230">
        <v>36</v>
      </c>
      <c r="BJ230" t="s">
        <v>492</v>
      </c>
      <c r="BK230" t="s">
        <v>100</v>
      </c>
      <c r="BL230" t="s">
        <v>492</v>
      </c>
      <c r="BM230" t="s">
        <v>4490</v>
      </c>
      <c r="BN230" t="s">
        <v>74</v>
      </c>
      <c r="BO230" t="s">
        <v>394</v>
      </c>
      <c r="BP230" t="s">
        <v>74</v>
      </c>
      <c r="BQ230" t="s">
        <v>74</v>
      </c>
      <c r="BR230" t="s">
        <v>104</v>
      </c>
      <c r="BS230" t="s">
        <v>4491</v>
      </c>
      <c r="BT230" t="str">
        <f>HYPERLINK("https%3A%2F%2Fwww.webofscience.com%2Fwos%2Fwoscc%2Ffull-record%2FWOS:000282321100003","View Full Record in Web of Science")</f>
        <v>View Full Record in Web of Science</v>
      </c>
    </row>
    <row r="231" spans="1:72" x14ac:dyDescent="0.15">
      <c r="A231" t="s">
        <v>72</v>
      </c>
      <c r="B231" t="s">
        <v>4492</v>
      </c>
      <c r="C231" t="s">
        <v>74</v>
      </c>
      <c r="D231" t="s">
        <v>74</v>
      </c>
      <c r="E231" t="s">
        <v>74</v>
      </c>
      <c r="F231" t="s">
        <v>4493</v>
      </c>
      <c r="G231" t="s">
        <v>74</v>
      </c>
      <c r="H231" t="s">
        <v>74</v>
      </c>
      <c r="I231" t="s">
        <v>4494</v>
      </c>
      <c r="J231" t="s">
        <v>4495</v>
      </c>
      <c r="K231" t="s">
        <v>74</v>
      </c>
      <c r="L231" t="s">
        <v>74</v>
      </c>
      <c r="M231" t="s">
        <v>78</v>
      </c>
      <c r="N231" t="s">
        <v>79</v>
      </c>
      <c r="O231" t="s">
        <v>74</v>
      </c>
      <c r="P231" t="s">
        <v>74</v>
      </c>
      <c r="Q231" t="s">
        <v>74</v>
      </c>
      <c r="R231" t="s">
        <v>74</v>
      </c>
      <c r="S231" t="s">
        <v>74</v>
      </c>
      <c r="T231" t="s">
        <v>4496</v>
      </c>
      <c r="U231" t="s">
        <v>4497</v>
      </c>
      <c r="V231" t="s">
        <v>4498</v>
      </c>
      <c r="W231" t="s">
        <v>4499</v>
      </c>
      <c r="X231" t="s">
        <v>4500</v>
      </c>
      <c r="Y231" t="s">
        <v>4501</v>
      </c>
      <c r="Z231" t="s">
        <v>4502</v>
      </c>
      <c r="AA231" t="s">
        <v>4503</v>
      </c>
      <c r="AB231" t="s">
        <v>4504</v>
      </c>
      <c r="AC231" t="s">
        <v>4505</v>
      </c>
      <c r="AD231" t="s">
        <v>4506</v>
      </c>
      <c r="AE231" t="s">
        <v>4507</v>
      </c>
      <c r="AF231" t="s">
        <v>74</v>
      </c>
      <c r="AG231">
        <v>74</v>
      </c>
      <c r="AH231">
        <v>21</v>
      </c>
      <c r="AI231">
        <v>23</v>
      </c>
      <c r="AJ231">
        <v>0</v>
      </c>
      <c r="AK231">
        <v>45</v>
      </c>
      <c r="AL231" t="s">
        <v>1038</v>
      </c>
      <c r="AM231" t="s">
        <v>550</v>
      </c>
      <c r="AN231" t="s">
        <v>1039</v>
      </c>
      <c r="AO231" t="s">
        <v>4508</v>
      </c>
      <c r="AP231" t="s">
        <v>4509</v>
      </c>
      <c r="AQ231" t="s">
        <v>74</v>
      </c>
      <c r="AR231" t="s">
        <v>4510</v>
      </c>
      <c r="AS231" t="s">
        <v>4511</v>
      </c>
      <c r="AT231" t="s">
        <v>4512</v>
      </c>
      <c r="AU231">
        <v>2010</v>
      </c>
      <c r="AV231">
        <v>393</v>
      </c>
      <c r="AW231" t="s">
        <v>4513</v>
      </c>
      <c r="AX231" t="s">
        <v>74</v>
      </c>
      <c r="AY231" t="s">
        <v>74</v>
      </c>
      <c r="AZ231" t="s">
        <v>74</v>
      </c>
      <c r="BA231" t="s">
        <v>74</v>
      </c>
      <c r="BB231">
        <v>158</v>
      </c>
      <c r="BC231">
        <v>167</v>
      </c>
      <c r="BD231" t="s">
        <v>74</v>
      </c>
      <c r="BE231" t="s">
        <v>4514</v>
      </c>
      <c r="BF231" t="str">
        <f>HYPERLINK("http://dx.doi.org/10.1016/j.jembe.2010.07.016","http://dx.doi.org/10.1016/j.jembe.2010.07.016")</f>
        <v>http://dx.doi.org/10.1016/j.jembe.2010.07.016</v>
      </c>
      <c r="BG231" t="s">
        <v>74</v>
      </c>
      <c r="BH231" t="s">
        <v>74</v>
      </c>
      <c r="BI231">
        <v>10</v>
      </c>
      <c r="BJ231" t="s">
        <v>4515</v>
      </c>
      <c r="BK231" t="s">
        <v>100</v>
      </c>
      <c r="BL231" t="s">
        <v>4516</v>
      </c>
      <c r="BM231" t="s">
        <v>4517</v>
      </c>
      <c r="BN231" t="s">
        <v>74</v>
      </c>
      <c r="BO231" t="s">
        <v>74</v>
      </c>
      <c r="BP231" t="s">
        <v>74</v>
      </c>
      <c r="BQ231" t="s">
        <v>74</v>
      </c>
      <c r="BR231" t="s">
        <v>104</v>
      </c>
      <c r="BS231" t="s">
        <v>4518</v>
      </c>
      <c r="BT231" t="str">
        <f>HYPERLINK("https%3A%2F%2Fwww.webofscience.com%2Fwos%2Fwoscc%2Ffull-record%2FWOS:000282396500020","View Full Record in Web of Science")</f>
        <v>View Full Record in Web of Science</v>
      </c>
    </row>
    <row r="232" spans="1:72" x14ac:dyDescent="0.15">
      <c r="A232" t="s">
        <v>72</v>
      </c>
      <c r="B232" t="s">
        <v>4519</v>
      </c>
      <c r="C232" t="s">
        <v>74</v>
      </c>
      <c r="D232" t="s">
        <v>74</v>
      </c>
      <c r="E232" t="s">
        <v>74</v>
      </c>
      <c r="F232" t="s">
        <v>4520</v>
      </c>
      <c r="G232" t="s">
        <v>74</v>
      </c>
      <c r="H232" t="s">
        <v>74</v>
      </c>
      <c r="I232" t="s">
        <v>4521</v>
      </c>
      <c r="J232" t="s">
        <v>4522</v>
      </c>
      <c r="K232" t="s">
        <v>74</v>
      </c>
      <c r="L232" t="s">
        <v>74</v>
      </c>
      <c r="M232" t="s">
        <v>78</v>
      </c>
      <c r="N232" t="s">
        <v>79</v>
      </c>
      <c r="O232" t="s">
        <v>74</v>
      </c>
      <c r="P232" t="s">
        <v>74</v>
      </c>
      <c r="Q232" t="s">
        <v>74</v>
      </c>
      <c r="R232" t="s">
        <v>74</v>
      </c>
      <c r="S232" t="s">
        <v>74</v>
      </c>
      <c r="T232" t="s">
        <v>74</v>
      </c>
      <c r="U232" t="s">
        <v>4523</v>
      </c>
      <c r="V232" t="s">
        <v>4524</v>
      </c>
      <c r="W232" t="s">
        <v>4525</v>
      </c>
      <c r="X232" t="s">
        <v>4526</v>
      </c>
      <c r="Y232" t="s">
        <v>4527</v>
      </c>
      <c r="Z232" t="s">
        <v>4528</v>
      </c>
      <c r="AA232" t="s">
        <v>74</v>
      </c>
      <c r="AB232" t="s">
        <v>4529</v>
      </c>
      <c r="AC232" t="s">
        <v>4530</v>
      </c>
      <c r="AD232" t="s">
        <v>289</v>
      </c>
      <c r="AE232" t="s">
        <v>4531</v>
      </c>
      <c r="AF232" t="s">
        <v>74</v>
      </c>
      <c r="AG232">
        <v>13</v>
      </c>
      <c r="AH232">
        <v>6</v>
      </c>
      <c r="AI232">
        <v>9</v>
      </c>
      <c r="AJ232">
        <v>0</v>
      </c>
      <c r="AK232">
        <v>6</v>
      </c>
      <c r="AL232" t="s">
        <v>1597</v>
      </c>
      <c r="AM232" t="s">
        <v>1598</v>
      </c>
      <c r="AN232" t="s">
        <v>1599</v>
      </c>
      <c r="AO232" t="s">
        <v>4532</v>
      </c>
      <c r="AP232" t="s">
        <v>74</v>
      </c>
      <c r="AQ232" t="s">
        <v>74</v>
      </c>
      <c r="AR232" t="s">
        <v>4533</v>
      </c>
      <c r="AS232" t="s">
        <v>4534</v>
      </c>
      <c r="AT232" t="s">
        <v>4535</v>
      </c>
      <c r="AU232">
        <v>2010</v>
      </c>
      <c r="AV232">
        <v>4</v>
      </c>
      <c r="AW232" t="s">
        <v>74</v>
      </c>
      <c r="AX232" t="s">
        <v>74</v>
      </c>
      <c r="AY232" t="s">
        <v>74</v>
      </c>
      <c r="AZ232" t="s">
        <v>74</v>
      </c>
      <c r="BA232" t="s">
        <v>74</v>
      </c>
      <c r="BB232" t="s">
        <v>74</v>
      </c>
      <c r="BC232" t="s">
        <v>74</v>
      </c>
      <c r="BD232">
        <v>133</v>
      </c>
      <c r="BE232" t="s">
        <v>4536</v>
      </c>
      <c r="BF232" t="str">
        <f>HYPERLINK("http://dx.doi.org/10.1186/1752-0509-4-133","http://dx.doi.org/10.1186/1752-0509-4-133")</f>
        <v>http://dx.doi.org/10.1186/1752-0509-4-133</v>
      </c>
      <c r="BG232" t="s">
        <v>74</v>
      </c>
      <c r="BH232" t="s">
        <v>74</v>
      </c>
      <c r="BI232">
        <v>11</v>
      </c>
      <c r="BJ232" t="s">
        <v>4537</v>
      </c>
      <c r="BK232" t="s">
        <v>100</v>
      </c>
      <c r="BL232" t="s">
        <v>4537</v>
      </c>
      <c r="BM232" t="s">
        <v>4538</v>
      </c>
      <c r="BN232">
        <v>20920245</v>
      </c>
      <c r="BO232" t="s">
        <v>4468</v>
      </c>
      <c r="BP232" t="s">
        <v>74</v>
      </c>
      <c r="BQ232" t="s">
        <v>74</v>
      </c>
      <c r="BR232" t="s">
        <v>104</v>
      </c>
      <c r="BS232" t="s">
        <v>4539</v>
      </c>
      <c r="BT232" t="str">
        <f>HYPERLINK("https%3A%2F%2Fwww.webofscience.com%2Fwos%2Fwoscc%2Ffull-record%2FWOS:000283311700001","View Full Record in Web of Science")</f>
        <v>View Full Record in Web of Science</v>
      </c>
    </row>
    <row r="233" spans="1:72" x14ac:dyDescent="0.15">
      <c r="A233" t="s">
        <v>72</v>
      </c>
      <c r="B233" t="s">
        <v>4540</v>
      </c>
      <c r="C233" t="s">
        <v>74</v>
      </c>
      <c r="D233" t="s">
        <v>74</v>
      </c>
      <c r="E233" t="s">
        <v>74</v>
      </c>
      <c r="F233" t="s">
        <v>4541</v>
      </c>
      <c r="G233" t="s">
        <v>74</v>
      </c>
      <c r="H233" t="s">
        <v>74</v>
      </c>
      <c r="I233" t="s">
        <v>4542</v>
      </c>
      <c r="J233" t="s">
        <v>1538</v>
      </c>
      <c r="K233" t="s">
        <v>74</v>
      </c>
      <c r="L233" t="s">
        <v>74</v>
      </c>
      <c r="M233" t="s">
        <v>78</v>
      </c>
      <c r="N233" t="s">
        <v>79</v>
      </c>
      <c r="O233" t="s">
        <v>74</v>
      </c>
      <c r="P233" t="s">
        <v>74</v>
      </c>
      <c r="Q233" t="s">
        <v>74</v>
      </c>
      <c r="R233" t="s">
        <v>74</v>
      </c>
      <c r="S233" t="s">
        <v>74</v>
      </c>
      <c r="T233" t="s">
        <v>74</v>
      </c>
      <c r="U233" t="s">
        <v>4543</v>
      </c>
      <c r="V233" t="s">
        <v>4544</v>
      </c>
      <c r="W233" t="s">
        <v>4545</v>
      </c>
      <c r="X233" t="s">
        <v>4546</v>
      </c>
      <c r="Y233" t="s">
        <v>4547</v>
      </c>
      <c r="Z233" t="s">
        <v>4548</v>
      </c>
      <c r="AA233" t="s">
        <v>4549</v>
      </c>
      <c r="AB233" t="s">
        <v>4550</v>
      </c>
      <c r="AC233" t="s">
        <v>4551</v>
      </c>
      <c r="AD233" t="s">
        <v>4551</v>
      </c>
      <c r="AE233" t="s">
        <v>4552</v>
      </c>
      <c r="AF233" t="s">
        <v>74</v>
      </c>
      <c r="AG233">
        <v>12</v>
      </c>
      <c r="AH233">
        <v>118</v>
      </c>
      <c r="AI233">
        <v>122</v>
      </c>
      <c r="AJ233">
        <v>1</v>
      </c>
      <c r="AK233">
        <v>39</v>
      </c>
      <c r="AL233" t="s">
        <v>1521</v>
      </c>
      <c r="AM233" t="s">
        <v>1522</v>
      </c>
      <c r="AN233" t="s">
        <v>1523</v>
      </c>
      <c r="AO233" t="s">
        <v>1550</v>
      </c>
      <c r="AP233" t="s">
        <v>74</v>
      </c>
      <c r="AQ233" t="s">
        <v>74</v>
      </c>
      <c r="AR233" t="s">
        <v>1552</v>
      </c>
      <c r="AS233" t="s">
        <v>1553</v>
      </c>
      <c r="AT233" t="s">
        <v>4535</v>
      </c>
      <c r="AU233">
        <v>2010</v>
      </c>
      <c r="AV233">
        <v>37</v>
      </c>
      <c r="AW233" t="s">
        <v>74</v>
      </c>
      <c r="AX233" t="s">
        <v>74</v>
      </c>
      <c r="AY233" t="s">
        <v>74</v>
      </c>
      <c r="AZ233" t="s">
        <v>74</v>
      </c>
      <c r="BA233" t="s">
        <v>74</v>
      </c>
      <c r="BB233" t="s">
        <v>74</v>
      </c>
      <c r="BC233" t="s">
        <v>74</v>
      </c>
      <c r="BD233" t="s">
        <v>4553</v>
      </c>
      <c r="BE233" t="s">
        <v>4554</v>
      </c>
      <c r="BF233" t="str">
        <f>HYPERLINK("http://dx.doi.org/10.1029/2010GL044301","http://dx.doi.org/10.1029/2010GL044301")</f>
        <v>http://dx.doi.org/10.1029/2010GL044301</v>
      </c>
      <c r="BG233" t="s">
        <v>74</v>
      </c>
      <c r="BH233" t="s">
        <v>74</v>
      </c>
      <c r="BI233">
        <v>5</v>
      </c>
      <c r="BJ233" t="s">
        <v>1194</v>
      </c>
      <c r="BK233" t="s">
        <v>100</v>
      </c>
      <c r="BL233" t="s">
        <v>807</v>
      </c>
      <c r="BM233" t="s">
        <v>4555</v>
      </c>
      <c r="BN233" t="s">
        <v>74</v>
      </c>
      <c r="BO233" t="s">
        <v>123</v>
      </c>
      <c r="BP233" t="s">
        <v>74</v>
      </c>
      <c r="BQ233" t="s">
        <v>74</v>
      </c>
      <c r="BR233" t="s">
        <v>104</v>
      </c>
      <c r="BS233" t="s">
        <v>4556</v>
      </c>
      <c r="BT233" t="str">
        <f>HYPERLINK("https%3A%2F%2Fwww.webofscience.com%2Fwos%2Fwoscc%2Ffull-record%2FWOS:000282431900002","View Full Record in Web of Science")</f>
        <v>View Full Record in Web of Science</v>
      </c>
    </row>
    <row r="234" spans="1:72" x14ac:dyDescent="0.15">
      <c r="A234" t="s">
        <v>72</v>
      </c>
      <c r="B234" t="s">
        <v>4557</v>
      </c>
      <c r="C234" t="s">
        <v>74</v>
      </c>
      <c r="D234" t="s">
        <v>74</v>
      </c>
      <c r="E234" t="s">
        <v>74</v>
      </c>
      <c r="F234" t="s">
        <v>4558</v>
      </c>
      <c r="G234" t="s">
        <v>74</v>
      </c>
      <c r="H234" t="s">
        <v>74</v>
      </c>
      <c r="I234" t="s">
        <v>4559</v>
      </c>
      <c r="J234" t="s">
        <v>4560</v>
      </c>
      <c r="K234" t="s">
        <v>74</v>
      </c>
      <c r="L234" t="s">
        <v>74</v>
      </c>
      <c r="M234" t="s">
        <v>78</v>
      </c>
      <c r="N234" t="s">
        <v>79</v>
      </c>
      <c r="O234" t="s">
        <v>74</v>
      </c>
      <c r="P234" t="s">
        <v>74</v>
      </c>
      <c r="Q234" t="s">
        <v>74</v>
      </c>
      <c r="R234" t="s">
        <v>74</v>
      </c>
      <c r="S234" t="s">
        <v>74</v>
      </c>
      <c r="T234" t="s">
        <v>74</v>
      </c>
      <c r="U234" t="s">
        <v>4561</v>
      </c>
      <c r="V234" t="s">
        <v>4562</v>
      </c>
      <c r="W234" t="s">
        <v>4563</v>
      </c>
      <c r="X234" t="s">
        <v>4564</v>
      </c>
      <c r="Y234" t="s">
        <v>4565</v>
      </c>
      <c r="Z234" t="s">
        <v>4566</v>
      </c>
      <c r="AA234" t="s">
        <v>1234</v>
      </c>
      <c r="AB234" t="s">
        <v>4567</v>
      </c>
      <c r="AC234" t="s">
        <v>4568</v>
      </c>
      <c r="AD234" t="s">
        <v>4569</v>
      </c>
      <c r="AE234" t="s">
        <v>4570</v>
      </c>
      <c r="AF234" t="s">
        <v>74</v>
      </c>
      <c r="AG234">
        <v>45</v>
      </c>
      <c r="AH234">
        <v>28</v>
      </c>
      <c r="AI234">
        <v>32</v>
      </c>
      <c r="AJ234">
        <v>0</v>
      </c>
      <c r="AK234">
        <v>36</v>
      </c>
      <c r="AL234" t="s">
        <v>1521</v>
      </c>
      <c r="AM234" t="s">
        <v>1522</v>
      </c>
      <c r="AN234" t="s">
        <v>1523</v>
      </c>
      <c r="AO234" t="s">
        <v>4571</v>
      </c>
      <c r="AP234" t="s">
        <v>4572</v>
      </c>
      <c r="AQ234" t="s">
        <v>74</v>
      </c>
      <c r="AR234" t="s">
        <v>4560</v>
      </c>
      <c r="AS234" t="s">
        <v>4573</v>
      </c>
      <c r="AT234" t="s">
        <v>4535</v>
      </c>
      <c r="AU234">
        <v>2010</v>
      </c>
      <c r="AV234">
        <v>25</v>
      </c>
      <c r="AW234" t="s">
        <v>74</v>
      </c>
      <c r="AX234" t="s">
        <v>74</v>
      </c>
      <c r="AY234" t="s">
        <v>74</v>
      </c>
      <c r="AZ234" t="s">
        <v>74</v>
      </c>
      <c r="BA234" t="s">
        <v>74</v>
      </c>
      <c r="BB234" t="s">
        <v>74</v>
      </c>
      <c r="BC234" t="s">
        <v>74</v>
      </c>
      <c r="BD234" t="s">
        <v>4574</v>
      </c>
      <c r="BE234" t="s">
        <v>4575</v>
      </c>
      <c r="BF234" t="str">
        <f>HYPERLINK("http://dx.doi.org/10.1029/2010PA001980","http://dx.doi.org/10.1029/2010PA001980")</f>
        <v>http://dx.doi.org/10.1029/2010PA001980</v>
      </c>
      <c r="BG234" t="s">
        <v>74</v>
      </c>
      <c r="BH234" t="s">
        <v>74</v>
      </c>
      <c r="BI234">
        <v>12</v>
      </c>
      <c r="BJ234" t="s">
        <v>4576</v>
      </c>
      <c r="BK234" t="s">
        <v>100</v>
      </c>
      <c r="BL234" t="s">
        <v>4577</v>
      </c>
      <c r="BM234" t="s">
        <v>4578</v>
      </c>
      <c r="BN234" t="s">
        <v>74</v>
      </c>
      <c r="BO234" t="s">
        <v>631</v>
      </c>
      <c r="BP234" t="s">
        <v>74</v>
      </c>
      <c r="BQ234" t="s">
        <v>74</v>
      </c>
      <c r="BR234" t="s">
        <v>104</v>
      </c>
      <c r="BS234" t="s">
        <v>4579</v>
      </c>
      <c r="BT234" t="str">
        <f>HYPERLINK("https%3A%2F%2Fwww.webofscience.com%2Fwos%2Fwoscc%2Ffull-record%2FWOS:000282435700001","View Full Record in Web of Science")</f>
        <v>View Full Record in Web of Science</v>
      </c>
    </row>
    <row r="235" spans="1:72" x14ac:dyDescent="0.15">
      <c r="A235" t="s">
        <v>72</v>
      </c>
      <c r="B235" t="s">
        <v>4580</v>
      </c>
      <c r="C235" t="s">
        <v>74</v>
      </c>
      <c r="D235" t="s">
        <v>74</v>
      </c>
      <c r="E235" t="s">
        <v>74</v>
      </c>
      <c r="F235" t="s">
        <v>4581</v>
      </c>
      <c r="G235" t="s">
        <v>74</v>
      </c>
      <c r="H235" t="s">
        <v>74</v>
      </c>
      <c r="I235" t="s">
        <v>4582</v>
      </c>
      <c r="J235" t="s">
        <v>1538</v>
      </c>
      <c r="K235" t="s">
        <v>74</v>
      </c>
      <c r="L235" t="s">
        <v>74</v>
      </c>
      <c r="M235" t="s">
        <v>78</v>
      </c>
      <c r="N235" t="s">
        <v>79</v>
      </c>
      <c r="O235" t="s">
        <v>74</v>
      </c>
      <c r="P235" t="s">
        <v>74</v>
      </c>
      <c r="Q235" t="s">
        <v>74</v>
      </c>
      <c r="R235" t="s">
        <v>74</v>
      </c>
      <c r="S235" t="s">
        <v>74</v>
      </c>
      <c r="T235" t="s">
        <v>74</v>
      </c>
      <c r="U235" t="s">
        <v>4583</v>
      </c>
      <c r="V235" t="s">
        <v>4584</v>
      </c>
      <c r="W235" t="s">
        <v>4585</v>
      </c>
      <c r="X235" t="s">
        <v>4586</v>
      </c>
      <c r="Y235" t="s">
        <v>4587</v>
      </c>
      <c r="Z235" t="s">
        <v>74</v>
      </c>
      <c r="AA235" t="s">
        <v>4588</v>
      </c>
      <c r="AB235" t="s">
        <v>4589</v>
      </c>
      <c r="AC235" t="s">
        <v>4590</v>
      </c>
      <c r="AD235" t="s">
        <v>4591</v>
      </c>
      <c r="AE235" t="s">
        <v>4592</v>
      </c>
      <c r="AF235" t="s">
        <v>74</v>
      </c>
      <c r="AG235">
        <v>21</v>
      </c>
      <c r="AH235">
        <v>66</v>
      </c>
      <c r="AI235">
        <v>71</v>
      </c>
      <c r="AJ235">
        <v>0</v>
      </c>
      <c r="AK235">
        <v>27</v>
      </c>
      <c r="AL235" t="s">
        <v>1521</v>
      </c>
      <c r="AM235" t="s">
        <v>1522</v>
      </c>
      <c r="AN235" t="s">
        <v>1523</v>
      </c>
      <c r="AO235" t="s">
        <v>1550</v>
      </c>
      <c r="AP235" t="s">
        <v>1551</v>
      </c>
      <c r="AQ235" t="s">
        <v>74</v>
      </c>
      <c r="AR235" t="s">
        <v>1552</v>
      </c>
      <c r="AS235" t="s">
        <v>1553</v>
      </c>
      <c r="AT235" t="s">
        <v>4593</v>
      </c>
      <c r="AU235">
        <v>2010</v>
      </c>
      <c r="AV235">
        <v>37</v>
      </c>
      <c r="AW235" t="s">
        <v>74</v>
      </c>
      <c r="AX235" t="s">
        <v>74</v>
      </c>
      <c r="AY235" t="s">
        <v>74</v>
      </c>
      <c r="AZ235" t="s">
        <v>74</v>
      </c>
      <c r="BA235" t="s">
        <v>74</v>
      </c>
      <c r="BB235" t="s">
        <v>74</v>
      </c>
      <c r="BC235" t="s">
        <v>74</v>
      </c>
      <c r="BD235" t="s">
        <v>4594</v>
      </c>
      <c r="BE235" t="s">
        <v>4595</v>
      </c>
      <c r="BF235" t="str">
        <f>HYPERLINK("http://dx.doi.org/10.1029/2010GL044447","http://dx.doi.org/10.1029/2010GL044447")</f>
        <v>http://dx.doi.org/10.1029/2010GL044447</v>
      </c>
      <c r="BG235" t="s">
        <v>74</v>
      </c>
      <c r="BH235" t="s">
        <v>74</v>
      </c>
      <c r="BI235">
        <v>6</v>
      </c>
      <c r="BJ235" t="s">
        <v>1194</v>
      </c>
      <c r="BK235" t="s">
        <v>100</v>
      </c>
      <c r="BL235" t="s">
        <v>807</v>
      </c>
      <c r="BM235" t="s">
        <v>4596</v>
      </c>
      <c r="BN235" t="s">
        <v>74</v>
      </c>
      <c r="BO235" t="s">
        <v>1697</v>
      </c>
      <c r="BP235" t="s">
        <v>74</v>
      </c>
      <c r="BQ235" t="s">
        <v>74</v>
      </c>
      <c r="BR235" t="s">
        <v>104</v>
      </c>
      <c r="BS235" t="s">
        <v>4597</v>
      </c>
      <c r="BT235" t="str">
        <f>HYPERLINK("https%3A%2F%2Fwww.webofscience.com%2Fwos%2Fwoscc%2Ffull-record%2FWOS:000282431300006","View Full Record in Web of Science")</f>
        <v>View Full Record in Web of Science</v>
      </c>
    </row>
    <row r="236" spans="1:72" x14ac:dyDescent="0.15">
      <c r="A236" t="s">
        <v>72</v>
      </c>
      <c r="B236" t="s">
        <v>4598</v>
      </c>
      <c r="C236" t="s">
        <v>74</v>
      </c>
      <c r="D236" t="s">
        <v>74</v>
      </c>
      <c r="E236" t="s">
        <v>74</v>
      </c>
      <c r="F236" t="s">
        <v>4599</v>
      </c>
      <c r="G236" t="s">
        <v>74</v>
      </c>
      <c r="H236" t="s">
        <v>74</v>
      </c>
      <c r="I236" t="s">
        <v>4600</v>
      </c>
      <c r="J236" t="s">
        <v>1702</v>
      </c>
      <c r="K236" t="s">
        <v>74</v>
      </c>
      <c r="L236" t="s">
        <v>74</v>
      </c>
      <c r="M236" t="s">
        <v>78</v>
      </c>
      <c r="N236" t="s">
        <v>79</v>
      </c>
      <c r="O236" t="s">
        <v>74</v>
      </c>
      <c r="P236" t="s">
        <v>74</v>
      </c>
      <c r="Q236" t="s">
        <v>74</v>
      </c>
      <c r="R236" t="s">
        <v>74</v>
      </c>
      <c r="S236" t="s">
        <v>74</v>
      </c>
      <c r="T236" t="s">
        <v>74</v>
      </c>
      <c r="U236" t="s">
        <v>4601</v>
      </c>
      <c r="V236" t="s">
        <v>4602</v>
      </c>
      <c r="W236" t="s">
        <v>4603</v>
      </c>
      <c r="X236" t="s">
        <v>4604</v>
      </c>
      <c r="Y236" t="s">
        <v>4605</v>
      </c>
      <c r="Z236" t="s">
        <v>74</v>
      </c>
      <c r="AA236" t="s">
        <v>4606</v>
      </c>
      <c r="AB236" t="s">
        <v>4607</v>
      </c>
      <c r="AC236" t="s">
        <v>4608</v>
      </c>
      <c r="AD236" t="s">
        <v>4609</v>
      </c>
      <c r="AE236" t="s">
        <v>4610</v>
      </c>
      <c r="AF236" t="s">
        <v>74</v>
      </c>
      <c r="AG236">
        <v>90</v>
      </c>
      <c r="AH236">
        <v>37</v>
      </c>
      <c r="AI236">
        <v>45</v>
      </c>
      <c r="AJ236">
        <v>2</v>
      </c>
      <c r="AK236">
        <v>58</v>
      </c>
      <c r="AL236" t="s">
        <v>1521</v>
      </c>
      <c r="AM236" t="s">
        <v>1522</v>
      </c>
      <c r="AN236" t="s">
        <v>1523</v>
      </c>
      <c r="AO236" t="s">
        <v>1714</v>
      </c>
      <c r="AP236" t="s">
        <v>1715</v>
      </c>
      <c r="AQ236" t="s">
        <v>74</v>
      </c>
      <c r="AR236" t="s">
        <v>1716</v>
      </c>
      <c r="AS236" t="s">
        <v>1717</v>
      </c>
      <c r="AT236" t="s">
        <v>4593</v>
      </c>
      <c r="AU236">
        <v>2010</v>
      </c>
      <c r="AV236">
        <v>115</v>
      </c>
      <c r="AW236" t="s">
        <v>74</v>
      </c>
      <c r="AX236" t="s">
        <v>74</v>
      </c>
      <c r="AY236" t="s">
        <v>74</v>
      </c>
      <c r="AZ236" t="s">
        <v>74</v>
      </c>
      <c r="BA236" t="s">
        <v>74</v>
      </c>
      <c r="BB236" t="s">
        <v>74</v>
      </c>
      <c r="BC236" t="s">
        <v>74</v>
      </c>
      <c r="BD236" t="s">
        <v>4611</v>
      </c>
      <c r="BE236" t="s">
        <v>4612</v>
      </c>
      <c r="BF236" t="str">
        <f>HYPERLINK("http://dx.doi.org/10.1029/2010JD013846","http://dx.doi.org/10.1029/2010JD013846")</f>
        <v>http://dx.doi.org/10.1029/2010JD013846</v>
      </c>
      <c r="BG236" t="s">
        <v>74</v>
      </c>
      <c r="BH236" t="s">
        <v>74</v>
      </c>
      <c r="BI236">
        <v>13</v>
      </c>
      <c r="BJ236" t="s">
        <v>319</v>
      </c>
      <c r="BK236" t="s">
        <v>100</v>
      </c>
      <c r="BL236" t="s">
        <v>319</v>
      </c>
      <c r="BM236" t="s">
        <v>4613</v>
      </c>
      <c r="BN236" t="s">
        <v>74</v>
      </c>
      <c r="BO236" t="s">
        <v>394</v>
      </c>
      <c r="BP236" t="s">
        <v>74</v>
      </c>
      <c r="BQ236" t="s">
        <v>74</v>
      </c>
      <c r="BR236" t="s">
        <v>104</v>
      </c>
      <c r="BS236" t="s">
        <v>4614</v>
      </c>
      <c r="BT236" t="str">
        <f>HYPERLINK("https%3A%2F%2Fwww.webofscience.com%2Fwos%2Fwoscc%2Ffull-record%2FWOS:000282506800007","View Full Record in Web of Science")</f>
        <v>View Full Record in Web of Science</v>
      </c>
    </row>
    <row r="237" spans="1:72" x14ac:dyDescent="0.15">
      <c r="A237" t="s">
        <v>72</v>
      </c>
      <c r="B237" t="s">
        <v>4615</v>
      </c>
      <c r="C237" t="s">
        <v>74</v>
      </c>
      <c r="D237" t="s">
        <v>74</v>
      </c>
      <c r="E237" t="s">
        <v>74</v>
      </c>
      <c r="F237" t="s">
        <v>4616</v>
      </c>
      <c r="G237" t="s">
        <v>74</v>
      </c>
      <c r="H237" t="s">
        <v>74</v>
      </c>
      <c r="I237" t="s">
        <v>4617</v>
      </c>
      <c r="J237" t="s">
        <v>1702</v>
      </c>
      <c r="K237" t="s">
        <v>74</v>
      </c>
      <c r="L237" t="s">
        <v>74</v>
      </c>
      <c r="M237" t="s">
        <v>78</v>
      </c>
      <c r="N237" t="s">
        <v>79</v>
      </c>
      <c r="O237" t="s">
        <v>74</v>
      </c>
      <c r="P237" t="s">
        <v>74</v>
      </c>
      <c r="Q237" t="s">
        <v>74</v>
      </c>
      <c r="R237" t="s">
        <v>74</v>
      </c>
      <c r="S237" t="s">
        <v>74</v>
      </c>
      <c r="T237" t="s">
        <v>74</v>
      </c>
      <c r="U237" t="s">
        <v>4618</v>
      </c>
      <c r="V237" t="s">
        <v>4619</v>
      </c>
      <c r="W237" t="s">
        <v>4620</v>
      </c>
      <c r="X237" t="s">
        <v>4621</v>
      </c>
      <c r="Y237" t="s">
        <v>4622</v>
      </c>
      <c r="Z237" t="s">
        <v>4623</v>
      </c>
      <c r="AA237" t="s">
        <v>4624</v>
      </c>
      <c r="AB237" t="s">
        <v>4625</v>
      </c>
      <c r="AC237" t="s">
        <v>4626</v>
      </c>
      <c r="AD237" t="s">
        <v>307</v>
      </c>
      <c r="AE237" t="s">
        <v>4627</v>
      </c>
      <c r="AF237" t="s">
        <v>74</v>
      </c>
      <c r="AG237">
        <v>29</v>
      </c>
      <c r="AH237">
        <v>42</v>
      </c>
      <c r="AI237">
        <v>49</v>
      </c>
      <c r="AJ237">
        <v>0</v>
      </c>
      <c r="AK237">
        <v>30</v>
      </c>
      <c r="AL237" t="s">
        <v>1521</v>
      </c>
      <c r="AM237" t="s">
        <v>1522</v>
      </c>
      <c r="AN237" t="s">
        <v>1523</v>
      </c>
      <c r="AO237" t="s">
        <v>1714</v>
      </c>
      <c r="AP237" t="s">
        <v>1715</v>
      </c>
      <c r="AQ237" t="s">
        <v>74</v>
      </c>
      <c r="AR237" t="s">
        <v>1716</v>
      </c>
      <c r="AS237" t="s">
        <v>1717</v>
      </c>
      <c r="AT237" t="s">
        <v>4593</v>
      </c>
      <c r="AU237">
        <v>2010</v>
      </c>
      <c r="AV237">
        <v>115</v>
      </c>
      <c r="AW237" t="s">
        <v>74</v>
      </c>
      <c r="AX237" t="s">
        <v>74</v>
      </c>
      <c r="AY237" t="s">
        <v>74</v>
      </c>
      <c r="AZ237" t="s">
        <v>74</v>
      </c>
      <c r="BA237" t="s">
        <v>74</v>
      </c>
      <c r="BB237" t="s">
        <v>74</v>
      </c>
      <c r="BC237" t="s">
        <v>74</v>
      </c>
      <c r="BD237" t="s">
        <v>4628</v>
      </c>
      <c r="BE237" t="s">
        <v>4629</v>
      </c>
      <c r="BF237" t="str">
        <f>HYPERLINK("http://dx.doi.org/10.1029/2009JD012356","http://dx.doi.org/10.1029/2009JD012356")</f>
        <v>http://dx.doi.org/10.1029/2009JD012356</v>
      </c>
      <c r="BG237" t="s">
        <v>74</v>
      </c>
      <c r="BH237" t="s">
        <v>74</v>
      </c>
      <c r="BI237">
        <v>9</v>
      </c>
      <c r="BJ237" t="s">
        <v>319</v>
      </c>
      <c r="BK237" t="s">
        <v>100</v>
      </c>
      <c r="BL237" t="s">
        <v>319</v>
      </c>
      <c r="BM237" t="s">
        <v>4613</v>
      </c>
      <c r="BN237" t="s">
        <v>74</v>
      </c>
      <c r="BO237" t="s">
        <v>394</v>
      </c>
      <c r="BP237" t="s">
        <v>74</v>
      </c>
      <c r="BQ237" t="s">
        <v>74</v>
      </c>
      <c r="BR237" t="s">
        <v>104</v>
      </c>
      <c r="BS237" t="s">
        <v>4630</v>
      </c>
      <c r="BT237" t="str">
        <f>HYPERLINK("https%3A%2F%2Fwww.webofscience.com%2Fwos%2Fwoscc%2Ffull-record%2FWOS:000282506800001","View Full Record in Web of Science")</f>
        <v>View Full Record in Web of Science</v>
      </c>
    </row>
    <row r="238" spans="1:72" x14ac:dyDescent="0.15">
      <c r="A238" t="s">
        <v>72</v>
      </c>
      <c r="B238" t="s">
        <v>4631</v>
      </c>
      <c r="C238" t="s">
        <v>74</v>
      </c>
      <c r="D238" t="s">
        <v>74</v>
      </c>
      <c r="E238" t="s">
        <v>74</v>
      </c>
      <c r="F238" t="s">
        <v>4632</v>
      </c>
      <c r="G238" t="s">
        <v>74</v>
      </c>
      <c r="H238" t="s">
        <v>74</v>
      </c>
      <c r="I238" t="s">
        <v>4633</v>
      </c>
      <c r="J238" t="s">
        <v>4634</v>
      </c>
      <c r="K238" t="s">
        <v>74</v>
      </c>
      <c r="L238" t="s">
        <v>74</v>
      </c>
      <c r="M238" t="s">
        <v>78</v>
      </c>
      <c r="N238" t="s">
        <v>79</v>
      </c>
      <c r="O238" t="s">
        <v>74</v>
      </c>
      <c r="P238" t="s">
        <v>74</v>
      </c>
      <c r="Q238" t="s">
        <v>74</v>
      </c>
      <c r="R238" t="s">
        <v>74</v>
      </c>
      <c r="S238" t="s">
        <v>74</v>
      </c>
      <c r="T238" t="s">
        <v>74</v>
      </c>
      <c r="U238" t="s">
        <v>4635</v>
      </c>
      <c r="V238" t="s">
        <v>4636</v>
      </c>
      <c r="W238" t="s">
        <v>4637</v>
      </c>
      <c r="X238" t="s">
        <v>4638</v>
      </c>
      <c r="Y238" t="s">
        <v>4639</v>
      </c>
      <c r="Z238" t="s">
        <v>4640</v>
      </c>
      <c r="AA238" t="s">
        <v>4641</v>
      </c>
      <c r="AB238" t="s">
        <v>4642</v>
      </c>
      <c r="AC238" t="s">
        <v>4643</v>
      </c>
      <c r="AD238" t="s">
        <v>4644</v>
      </c>
      <c r="AE238" t="s">
        <v>4645</v>
      </c>
      <c r="AF238" t="s">
        <v>74</v>
      </c>
      <c r="AG238">
        <v>47</v>
      </c>
      <c r="AH238">
        <v>6</v>
      </c>
      <c r="AI238">
        <v>6</v>
      </c>
      <c r="AJ238">
        <v>0</v>
      </c>
      <c r="AK238">
        <v>1</v>
      </c>
      <c r="AL238" t="s">
        <v>1521</v>
      </c>
      <c r="AM238" t="s">
        <v>1522</v>
      </c>
      <c r="AN238" t="s">
        <v>1523</v>
      </c>
      <c r="AO238" t="s">
        <v>4646</v>
      </c>
      <c r="AP238" t="s">
        <v>4647</v>
      </c>
      <c r="AQ238" t="s">
        <v>74</v>
      </c>
      <c r="AR238" t="s">
        <v>4648</v>
      </c>
      <c r="AS238" t="s">
        <v>4649</v>
      </c>
      <c r="AT238" t="s">
        <v>4593</v>
      </c>
      <c r="AU238">
        <v>2010</v>
      </c>
      <c r="AV238">
        <v>115</v>
      </c>
      <c r="AW238" t="s">
        <v>74</v>
      </c>
      <c r="AX238" t="s">
        <v>74</v>
      </c>
      <c r="AY238" t="s">
        <v>74</v>
      </c>
      <c r="AZ238" t="s">
        <v>74</v>
      </c>
      <c r="BA238" t="s">
        <v>74</v>
      </c>
      <c r="BB238" t="s">
        <v>74</v>
      </c>
      <c r="BC238" t="s">
        <v>74</v>
      </c>
      <c r="BD238" t="s">
        <v>4650</v>
      </c>
      <c r="BE238" t="s">
        <v>4651</v>
      </c>
      <c r="BF238" t="str">
        <f>HYPERLINK("http://dx.doi.org/10.1029/2009JA015178","http://dx.doi.org/10.1029/2009JA015178")</f>
        <v>http://dx.doi.org/10.1029/2009JA015178</v>
      </c>
      <c r="BG238" t="s">
        <v>74</v>
      </c>
      <c r="BH238" t="s">
        <v>74</v>
      </c>
      <c r="BI238">
        <v>8</v>
      </c>
      <c r="BJ238" t="s">
        <v>1805</v>
      </c>
      <c r="BK238" t="s">
        <v>100</v>
      </c>
      <c r="BL238" t="s">
        <v>1805</v>
      </c>
      <c r="BM238" t="s">
        <v>4652</v>
      </c>
      <c r="BN238" t="s">
        <v>74</v>
      </c>
      <c r="BO238" t="s">
        <v>1025</v>
      </c>
      <c r="BP238" t="s">
        <v>74</v>
      </c>
      <c r="BQ238" t="s">
        <v>74</v>
      </c>
      <c r="BR238" t="s">
        <v>104</v>
      </c>
      <c r="BS238" t="s">
        <v>4653</v>
      </c>
      <c r="BT238" t="str">
        <f>HYPERLINK("https%3A%2F%2Fwww.webofscience.com%2Fwos%2Fwoscc%2Ffull-record%2FWOS:000282513000006","View Full Record in Web of Science")</f>
        <v>View Full Record in Web of Science</v>
      </c>
    </row>
    <row r="239" spans="1:72" x14ac:dyDescent="0.15">
      <c r="A239" t="s">
        <v>72</v>
      </c>
      <c r="B239" t="s">
        <v>4654</v>
      </c>
      <c r="C239" t="s">
        <v>74</v>
      </c>
      <c r="D239" t="s">
        <v>74</v>
      </c>
      <c r="E239" t="s">
        <v>74</v>
      </c>
      <c r="F239" t="s">
        <v>4655</v>
      </c>
      <c r="G239" t="s">
        <v>74</v>
      </c>
      <c r="H239" t="s">
        <v>74</v>
      </c>
      <c r="I239" t="s">
        <v>4656</v>
      </c>
      <c r="J239" t="s">
        <v>4657</v>
      </c>
      <c r="K239" t="s">
        <v>74</v>
      </c>
      <c r="L239" t="s">
        <v>74</v>
      </c>
      <c r="M239" t="s">
        <v>78</v>
      </c>
      <c r="N239" t="s">
        <v>79</v>
      </c>
      <c r="O239" t="s">
        <v>74</v>
      </c>
      <c r="P239" t="s">
        <v>74</v>
      </c>
      <c r="Q239" t="s">
        <v>74</v>
      </c>
      <c r="R239" t="s">
        <v>74</v>
      </c>
      <c r="S239" t="s">
        <v>74</v>
      </c>
      <c r="T239" t="s">
        <v>74</v>
      </c>
      <c r="U239" t="s">
        <v>4658</v>
      </c>
      <c r="V239" t="s">
        <v>4659</v>
      </c>
      <c r="W239" t="s">
        <v>4660</v>
      </c>
      <c r="X239" t="s">
        <v>4661</v>
      </c>
      <c r="Y239" t="s">
        <v>4662</v>
      </c>
      <c r="Z239" t="s">
        <v>4663</v>
      </c>
      <c r="AA239" t="s">
        <v>4664</v>
      </c>
      <c r="AB239" t="s">
        <v>4665</v>
      </c>
      <c r="AC239" t="s">
        <v>4666</v>
      </c>
      <c r="AD239" t="s">
        <v>4667</v>
      </c>
      <c r="AE239" t="s">
        <v>4668</v>
      </c>
      <c r="AF239" t="s">
        <v>74</v>
      </c>
      <c r="AG239">
        <v>84</v>
      </c>
      <c r="AH239">
        <v>199</v>
      </c>
      <c r="AI239">
        <v>224</v>
      </c>
      <c r="AJ239">
        <v>1</v>
      </c>
      <c r="AK239">
        <v>76</v>
      </c>
      <c r="AL239" t="s">
        <v>4669</v>
      </c>
      <c r="AM239" t="s">
        <v>4670</v>
      </c>
      <c r="AN239" t="s">
        <v>4671</v>
      </c>
      <c r="AO239" t="s">
        <v>4672</v>
      </c>
      <c r="AP239" t="s">
        <v>74</v>
      </c>
      <c r="AQ239" t="s">
        <v>74</v>
      </c>
      <c r="AR239" t="s">
        <v>4657</v>
      </c>
      <c r="AS239" t="s">
        <v>4673</v>
      </c>
      <c r="AT239" t="s">
        <v>4593</v>
      </c>
      <c r="AU239">
        <v>2010</v>
      </c>
      <c r="AV239">
        <v>5</v>
      </c>
      <c r="AW239">
        <v>9</v>
      </c>
      <c r="AX239" t="s">
        <v>74</v>
      </c>
      <c r="AY239" t="s">
        <v>74</v>
      </c>
      <c r="AZ239" t="s">
        <v>74</v>
      </c>
      <c r="BA239" t="s">
        <v>74</v>
      </c>
      <c r="BB239" t="s">
        <v>74</v>
      </c>
      <c r="BC239" t="s">
        <v>74</v>
      </c>
      <c r="BD239" t="s">
        <v>4674</v>
      </c>
      <c r="BE239" t="s">
        <v>4675</v>
      </c>
      <c r="BF239" t="str">
        <f>HYPERLINK("http://dx.doi.org/10.1371/journal.pone.0013042","http://dx.doi.org/10.1371/journal.pone.0013042")</f>
        <v>http://dx.doi.org/10.1371/journal.pone.0013042</v>
      </c>
      <c r="BG239" t="s">
        <v>74</v>
      </c>
      <c r="BH239" t="s">
        <v>74</v>
      </c>
      <c r="BI239">
        <v>15</v>
      </c>
      <c r="BJ239" t="s">
        <v>444</v>
      </c>
      <c r="BK239" t="s">
        <v>100</v>
      </c>
      <c r="BL239" t="s">
        <v>445</v>
      </c>
      <c r="BM239" t="s">
        <v>4676</v>
      </c>
      <c r="BN239">
        <v>20927390</v>
      </c>
      <c r="BO239" t="s">
        <v>2721</v>
      </c>
      <c r="BP239" t="s">
        <v>74</v>
      </c>
      <c r="BQ239" t="s">
        <v>74</v>
      </c>
      <c r="BR239" t="s">
        <v>104</v>
      </c>
      <c r="BS239" t="s">
        <v>4677</v>
      </c>
      <c r="BT239" t="str">
        <f>HYPERLINK("https%3A%2F%2Fwww.webofscience.com%2Fwos%2Fwoscc%2Ffull-record%2FWOS:000282210700018","View Full Record in Web of Science")</f>
        <v>View Full Record in Web of Science</v>
      </c>
    </row>
    <row r="240" spans="1:72" x14ac:dyDescent="0.15">
      <c r="A240" t="s">
        <v>72</v>
      </c>
      <c r="B240" t="s">
        <v>4678</v>
      </c>
      <c r="C240" t="s">
        <v>74</v>
      </c>
      <c r="D240" t="s">
        <v>74</v>
      </c>
      <c r="E240" t="s">
        <v>74</v>
      </c>
      <c r="F240" t="s">
        <v>4679</v>
      </c>
      <c r="G240" t="s">
        <v>74</v>
      </c>
      <c r="H240" t="s">
        <v>74</v>
      </c>
      <c r="I240" t="s">
        <v>4680</v>
      </c>
      <c r="J240" t="s">
        <v>4634</v>
      </c>
      <c r="K240" t="s">
        <v>74</v>
      </c>
      <c r="L240" t="s">
        <v>74</v>
      </c>
      <c r="M240" t="s">
        <v>78</v>
      </c>
      <c r="N240" t="s">
        <v>79</v>
      </c>
      <c r="O240" t="s">
        <v>74</v>
      </c>
      <c r="P240" t="s">
        <v>74</v>
      </c>
      <c r="Q240" t="s">
        <v>74</v>
      </c>
      <c r="R240" t="s">
        <v>74</v>
      </c>
      <c r="S240" t="s">
        <v>74</v>
      </c>
      <c r="T240" t="s">
        <v>74</v>
      </c>
      <c r="U240" t="s">
        <v>4681</v>
      </c>
      <c r="V240" t="s">
        <v>4682</v>
      </c>
      <c r="W240" t="s">
        <v>4683</v>
      </c>
      <c r="X240" t="s">
        <v>4684</v>
      </c>
      <c r="Y240" t="s">
        <v>4685</v>
      </c>
      <c r="Z240" t="s">
        <v>4686</v>
      </c>
      <c r="AA240" t="s">
        <v>74</v>
      </c>
      <c r="AB240" t="s">
        <v>4687</v>
      </c>
      <c r="AC240" t="s">
        <v>4688</v>
      </c>
      <c r="AD240" t="s">
        <v>4689</v>
      </c>
      <c r="AE240" t="s">
        <v>4690</v>
      </c>
      <c r="AF240" t="s">
        <v>74</v>
      </c>
      <c r="AG240">
        <v>25</v>
      </c>
      <c r="AH240">
        <v>12</v>
      </c>
      <c r="AI240">
        <v>13</v>
      </c>
      <c r="AJ240">
        <v>0</v>
      </c>
      <c r="AK240">
        <v>6</v>
      </c>
      <c r="AL240" t="s">
        <v>1521</v>
      </c>
      <c r="AM240" t="s">
        <v>1522</v>
      </c>
      <c r="AN240" t="s">
        <v>1523</v>
      </c>
      <c r="AO240" t="s">
        <v>4646</v>
      </c>
      <c r="AP240" t="s">
        <v>4647</v>
      </c>
      <c r="AQ240" t="s">
        <v>74</v>
      </c>
      <c r="AR240" t="s">
        <v>4648</v>
      </c>
      <c r="AS240" t="s">
        <v>4649</v>
      </c>
      <c r="AT240" t="s">
        <v>4691</v>
      </c>
      <c r="AU240">
        <v>2010</v>
      </c>
      <c r="AV240">
        <v>115</v>
      </c>
      <c r="AW240" t="s">
        <v>74</v>
      </c>
      <c r="AX240" t="s">
        <v>74</v>
      </c>
      <c r="AY240" t="s">
        <v>74</v>
      </c>
      <c r="AZ240" t="s">
        <v>74</v>
      </c>
      <c r="BA240" t="s">
        <v>74</v>
      </c>
      <c r="BB240" t="s">
        <v>74</v>
      </c>
      <c r="BC240" t="s">
        <v>74</v>
      </c>
      <c r="BD240" t="s">
        <v>4692</v>
      </c>
      <c r="BE240" t="s">
        <v>4693</v>
      </c>
      <c r="BF240" t="str">
        <f>HYPERLINK("http://dx.doi.org/10.1029/2010JA015474","http://dx.doi.org/10.1029/2010JA015474")</f>
        <v>http://dx.doi.org/10.1029/2010JA015474</v>
      </c>
      <c r="BG240" t="s">
        <v>74</v>
      </c>
      <c r="BH240" t="s">
        <v>74</v>
      </c>
      <c r="BI240">
        <v>10</v>
      </c>
      <c r="BJ240" t="s">
        <v>1805</v>
      </c>
      <c r="BK240" t="s">
        <v>100</v>
      </c>
      <c r="BL240" t="s">
        <v>1805</v>
      </c>
      <c r="BM240" t="s">
        <v>4694</v>
      </c>
      <c r="BN240" t="s">
        <v>74</v>
      </c>
      <c r="BO240" t="s">
        <v>74</v>
      </c>
      <c r="BP240" t="s">
        <v>74</v>
      </c>
      <c r="BQ240" t="s">
        <v>74</v>
      </c>
      <c r="BR240" t="s">
        <v>104</v>
      </c>
      <c r="BS240" t="s">
        <v>4695</v>
      </c>
      <c r="BT240" t="str">
        <f>HYPERLINK("https%3A%2F%2Fwww.webofscience.com%2Fwos%2Fwoscc%2Ffull-record%2FWOS:000282327500007","View Full Record in Web of Science")</f>
        <v>View Full Record in Web of Science</v>
      </c>
    </row>
    <row r="241" spans="1:72" x14ac:dyDescent="0.15">
      <c r="A241" t="s">
        <v>72</v>
      </c>
      <c r="B241" t="s">
        <v>4696</v>
      </c>
      <c r="C241" t="s">
        <v>74</v>
      </c>
      <c r="D241" t="s">
        <v>74</v>
      </c>
      <c r="E241" t="s">
        <v>74</v>
      </c>
      <c r="F241" t="s">
        <v>4697</v>
      </c>
      <c r="G241" t="s">
        <v>74</v>
      </c>
      <c r="H241" t="s">
        <v>74</v>
      </c>
      <c r="I241" t="s">
        <v>4698</v>
      </c>
      <c r="J241" t="s">
        <v>1509</v>
      </c>
      <c r="K241" t="s">
        <v>74</v>
      </c>
      <c r="L241" t="s">
        <v>74</v>
      </c>
      <c r="M241" t="s">
        <v>78</v>
      </c>
      <c r="N241" t="s">
        <v>79</v>
      </c>
      <c r="O241" t="s">
        <v>74</v>
      </c>
      <c r="P241" t="s">
        <v>74</v>
      </c>
      <c r="Q241" t="s">
        <v>74</v>
      </c>
      <c r="R241" t="s">
        <v>74</v>
      </c>
      <c r="S241" t="s">
        <v>74</v>
      </c>
      <c r="T241" t="s">
        <v>74</v>
      </c>
      <c r="U241" t="s">
        <v>4699</v>
      </c>
      <c r="V241" t="s">
        <v>4700</v>
      </c>
      <c r="W241" t="s">
        <v>4701</v>
      </c>
      <c r="X241" t="s">
        <v>4702</v>
      </c>
      <c r="Y241" t="s">
        <v>4703</v>
      </c>
      <c r="Z241" t="s">
        <v>74</v>
      </c>
      <c r="AA241" t="s">
        <v>74</v>
      </c>
      <c r="AB241" t="s">
        <v>4704</v>
      </c>
      <c r="AC241" t="s">
        <v>4705</v>
      </c>
      <c r="AD241" t="s">
        <v>4706</v>
      </c>
      <c r="AE241" t="s">
        <v>4707</v>
      </c>
      <c r="AF241" t="s">
        <v>74</v>
      </c>
      <c r="AG241">
        <v>47</v>
      </c>
      <c r="AH241">
        <v>25</v>
      </c>
      <c r="AI241">
        <v>25</v>
      </c>
      <c r="AJ241">
        <v>0</v>
      </c>
      <c r="AK241">
        <v>7</v>
      </c>
      <c r="AL241" t="s">
        <v>1521</v>
      </c>
      <c r="AM241" t="s">
        <v>1522</v>
      </c>
      <c r="AN241" t="s">
        <v>1523</v>
      </c>
      <c r="AO241" t="s">
        <v>1524</v>
      </c>
      <c r="AP241" t="s">
        <v>1525</v>
      </c>
      <c r="AQ241" t="s">
        <v>74</v>
      </c>
      <c r="AR241" t="s">
        <v>1526</v>
      </c>
      <c r="AS241" t="s">
        <v>1527</v>
      </c>
      <c r="AT241" t="s">
        <v>4708</v>
      </c>
      <c r="AU241">
        <v>2010</v>
      </c>
      <c r="AV241">
        <v>1115</v>
      </c>
      <c r="AW241" t="s">
        <v>74</v>
      </c>
      <c r="AX241" t="s">
        <v>74</v>
      </c>
      <c r="AY241" t="s">
        <v>74</v>
      </c>
      <c r="AZ241" t="s">
        <v>74</v>
      </c>
      <c r="BA241" t="s">
        <v>74</v>
      </c>
      <c r="BB241" t="s">
        <v>74</v>
      </c>
      <c r="BC241" t="s">
        <v>74</v>
      </c>
      <c r="BD241" t="s">
        <v>4709</v>
      </c>
      <c r="BE241" t="s">
        <v>4710</v>
      </c>
      <c r="BF241" t="str">
        <f>HYPERLINK("http://dx.doi.org/10.1029/2010JC006113","http://dx.doi.org/10.1029/2010JC006113")</f>
        <v>http://dx.doi.org/10.1029/2010JC006113</v>
      </c>
      <c r="BG241" t="s">
        <v>74</v>
      </c>
      <c r="BH241" t="s">
        <v>74</v>
      </c>
      <c r="BI241">
        <v>17</v>
      </c>
      <c r="BJ241" t="s">
        <v>1531</v>
      </c>
      <c r="BK241" t="s">
        <v>100</v>
      </c>
      <c r="BL241" t="s">
        <v>1531</v>
      </c>
      <c r="BM241" t="s">
        <v>4711</v>
      </c>
      <c r="BN241" t="s">
        <v>74</v>
      </c>
      <c r="BO241" t="s">
        <v>1025</v>
      </c>
      <c r="BP241" t="s">
        <v>74</v>
      </c>
      <c r="BQ241" t="s">
        <v>74</v>
      </c>
      <c r="BR241" t="s">
        <v>104</v>
      </c>
      <c r="BS241" t="s">
        <v>4712</v>
      </c>
      <c r="BT241" t="str">
        <f>HYPERLINK("https%3A%2F%2Fwww.webofscience.com%2Fwos%2Fwoscc%2Ffull-record%2FWOS:000282325500001","View Full Record in Web of Science")</f>
        <v>View Full Record in Web of Science</v>
      </c>
    </row>
    <row r="242" spans="1:72" x14ac:dyDescent="0.15">
      <c r="A242" t="s">
        <v>72</v>
      </c>
      <c r="B242" t="s">
        <v>4713</v>
      </c>
      <c r="C242" t="s">
        <v>74</v>
      </c>
      <c r="D242" t="s">
        <v>74</v>
      </c>
      <c r="E242" t="s">
        <v>74</v>
      </c>
      <c r="F242" t="s">
        <v>4714</v>
      </c>
      <c r="G242" t="s">
        <v>74</v>
      </c>
      <c r="H242" t="s">
        <v>74</v>
      </c>
      <c r="I242" t="s">
        <v>4715</v>
      </c>
      <c r="J242" t="s">
        <v>4716</v>
      </c>
      <c r="K242" t="s">
        <v>74</v>
      </c>
      <c r="L242" t="s">
        <v>74</v>
      </c>
      <c r="M242" t="s">
        <v>78</v>
      </c>
      <c r="N242" t="s">
        <v>3953</v>
      </c>
      <c r="O242" t="s">
        <v>74</v>
      </c>
      <c r="P242" t="s">
        <v>74</v>
      </c>
      <c r="Q242" t="s">
        <v>74</v>
      </c>
      <c r="R242" t="s">
        <v>74</v>
      </c>
      <c r="S242" t="s">
        <v>74</v>
      </c>
      <c r="T242" t="s">
        <v>74</v>
      </c>
      <c r="U242" t="s">
        <v>74</v>
      </c>
      <c r="V242" t="s">
        <v>74</v>
      </c>
      <c r="W242" t="s">
        <v>74</v>
      </c>
      <c r="X242" t="s">
        <v>74</v>
      </c>
      <c r="Y242" t="s">
        <v>74</v>
      </c>
      <c r="Z242" t="s">
        <v>74</v>
      </c>
      <c r="AA242" t="s">
        <v>74</v>
      </c>
      <c r="AB242" t="s">
        <v>74</v>
      </c>
      <c r="AC242" t="s">
        <v>74</v>
      </c>
      <c r="AD242" t="s">
        <v>74</v>
      </c>
      <c r="AE242" t="s">
        <v>74</v>
      </c>
      <c r="AF242" t="s">
        <v>74</v>
      </c>
      <c r="AG242">
        <v>0</v>
      </c>
      <c r="AH242">
        <v>2</v>
      </c>
      <c r="AI242">
        <v>3</v>
      </c>
      <c r="AJ242">
        <v>1</v>
      </c>
      <c r="AK242">
        <v>11</v>
      </c>
      <c r="AL242" t="s">
        <v>4717</v>
      </c>
      <c r="AM242" t="s">
        <v>1522</v>
      </c>
      <c r="AN242" t="s">
        <v>4718</v>
      </c>
      <c r="AO242" t="s">
        <v>4719</v>
      </c>
      <c r="AP242" t="s">
        <v>74</v>
      </c>
      <c r="AQ242" t="s">
        <v>74</v>
      </c>
      <c r="AR242" t="s">
        <v>4716</v>
      </c>
      <c r="AS242" t="s">
        <v>4720</v>
      </c>
      <c r="AT242" t="s">
        <v>4708</v>
      </c>
      <c r="AU242">
        <v>2010</v>
      </c>
      <c r="AV242">
        <v>329</v>
      </c>
      <c r="AW242">
        <v>5999</v>
      </c>
      <c r="AX242" t="s">
        <v>74</v>
      </c>
      <c r="AY242" t="s">
        <v>74</v>
      </c>
      <c r="AZ242" t="s">
        <v>74</v>
      </c>
      <c r="BA242" t="s">
        <v>74</v>
      </c>
      <c r="BB242">
        <v>1596</v>
      </c>
      <c r="BC242">
        <v>1597</v>
      </c>
      <c r="BD242" t="s">
        <v>74</v>
      </c>
      <c r="BE242" t="s">
        <v>4721</v>
      </c>
      <c r="BF242" t="str">
        <f>HYPERLINK("http://dx.doi.org/10.1126/science.329.5999.1596","http://dx.doi.org/10.1126/science.329.5999.1596")</f>
        <v>http://dx.doi.org/10.1126/science.329.5999.1596</v>
      </c>
      <c r="BG242" t="s">
        <v>74</v>
      </c>
      <c r="BH242" t="s">
        <v>74</v>
      </c>
      <c r="BI242">
        <v>2</v>
      </c>
      <c r="BJ242" t="s">
        <v>444</v>
      </c>
      <c r="BK242" t="s">
        <v>100</v>
      </c>
      <c r="BL242" t="s">
        <v>445</v>
      </c>
      <c r="BM242" t="s">
        <v>4722</v>
      </c>
      <c r="BN242">
        <v>20929825</v>
      </c>
      <c r="BO242" t="s">
        <v>74</v>
      </c>
      <c r="BP242" t="s">
        <v>74</v>
      </c>
      <c r="BQ242" t="s">
        <v>74</v>
      </c>
      <c r="BR242" t="s">
        <v>104</v>
      </c>
      <c r="BS242" t="s">
        <v>4723</v>
      </c>
      <c r="BT242" t="str">
        <f>HYPERLINK("https%3A%2F%2Fwww.webofscience.com%2Fwos%2Fwoscc%2Ffull-record%2FWOS:000282098100012","View Full Record in Web of Science")</f>
        <v>View Full Record in Web of Science</v>
      </c>
    </row>
    <row r="243" spans="1:72" x14ac:dyDescent="0.15">
      <c r="A243" t="s">
        <v>72</v>
      </c>
      <c r="B243" t="s">
        <v>4724</v>
      </c>
      <c r="C243" t="s">
        <v>74</v>
      </c>
      <c r="D243" t="s">
        <v>74</v>
      </c>
      <c r="E243" t="s">
        <v>74</v>
      </c>
      <c r="F243" t="s">
        <v>4725</v>
      </c>
      <c r="G243" t="s">
        <v>74</v>
      </c>
      <c r="H243" t="s">
        <v>74</v>
      </c>
      <c r="I243" t="s">
        <v>4726</v>
      </c>
      <c r="J243" t="s">
        <v>1611</v>
      </c>
      <c r="K243" t="s">
        <v>74</v>
      </c>
      <c r="L243" t="s">
        <v>74</v>
      </c>
      <c r="M243" t="s">
        <v>78</v>
      </c>
      <c r="N243" t="s">
        <v>79</v>
      </c>
      <c r="O243" t="s">
        <v>74</v>
      </c>
      <c r="P243" t="s">
        <v>74</v>
      </c>
      <c r="Q243" t="s">
        <v>74</v>
      </c>
      <c r="R243" t="s">
        <v>74</v>
      </c>
      <c r="S243" t="s">
        <v>74</v>
      </c>
      <c r="T243" t="s">
        <v>74</v>
      </c>
      <c r="U243" t="s">
        <v>4727</v>
      </c>
      <c r="V243" t="s">
        <v>4728</v>
      </c>
      <c r="W243" t="s">
        <v>4729</v>
      </c>
      <c r="X243" t="s">
        <v>4730</v>
      </c>
      <c r="Y243" t="s">
        <v>4731</v>
      </c>
      <c r="Z243" t="s">
        <v>4732</v>
      </c>
      <c r="AA243" t="s">
        <v>4733</v>
      </c>
      <c r="AB243" t="s">
        <v>4734</v>
      </c>
      <c r="AC243" t="s">
        <v>4735</v>
      </c>
      <c r="AD243" t="s">
        <v>4736</v>
      </c>
      <c r="AE243" t="s">
        <v>4737</v>
      </c>
      <c r="AF243" t="s">
        <v>74</v>
      </c>
      <c r="AG243">
        <v>53</v>
      </c>
      <c r="AH243">
        <v>148</v>
      </c>
      <c r="AI243">
        <v>165</v>
      </c>
      <c r="AJ243">
        <v>0</v>
      </c>
      <c r="AK243">
        <v>64</v>
      </c>
      <c r="AL243" t="s">
        <v>1521</v>
      </c>
      <c r="AM243" t="s">
        <v>1522</v>
      </c>
      <c r="AN243" t="s">
        <v>1523</v>
      </c>
      <c r="AO243" t="s">
        <v>1623</v>
      </c>
      <c r="AP243" t="s">
        <v>1624</v>
      </c>
      <c r="AQ243" t="s">
        <v>74</v>
      </c>
      <c r="AR243" t="s">
        <v>1625</v>
      </c>
      <c r="AS243" t="s">
        <v>1626</v>
      </c>
      <c r="AT243" t="s">
        <v>4738</v>
      </c>
      <c r="AU243">
        <v>2010</v>
      </c>
      <c r="AV243">
        <v>24</v>
      </c>
      <c r="AW243" t="s">
        <v>74</v>
      </c>
      <c r="AX243" t="s">
        <v>74</v>
      </c>
      <c r="AY243" t="s">
        <v>74</v>
      </c>
      <c r="AZ243" t="s">
        <v>74</v>
      </c>
      <c r="BA243" t="s">
        <v>74</v>
      </c>
      <c r="BB243" t="s">
        <v>74</v>
      </c>
      <c r="BC243" t="s">
        <v>74</v>
      </c>
      <c r="BD243" t="s">
        <v>4739</v>
      </c>
      <c r="BE243" t="s">
        <v>4740</v>
      </c>
      <c r="BF243" t="str">
        <f>HYPERLINK("http://dx.doi.org/10.1029/2009GB003688","http://dx.doi.org/10.1029/2009GB003688")</f>
        <v>http://dx.doi.org/10.1029/2009GB003688</v>
      </c>
      <c r="BG243" t="s">
        <v>74</v>
      </c>
      <c r="BH243" t="s">
        <v>74</v>
      </c>
      <c r="BI243">
        <v>11</v>
      </c>
      <c r="BJ243" t="s">
        <v>1629</v>
      </c>
      <c r="BK243" t="s">
        <v>100</v>
      </c>
      <c r="BL243" t="s">
        <v>1630</v>
      </c>
      <c r="BM243" t="s">
        <v>4741</v>
      </c>
      <c r="BN243" t="s">
        <v>74</v>
      </c>
      <c r="BO243" t="s">
        <v>74</v>
      </c>
      <c r="BP243" t="s">
        <v>74</v>
      </c>
      <c r="BQ243" t="s">
        <v>74</v>
      </c>
      <c r="BR243" t="s">
        <v>104</v>
      </c>
      <c r="BS243" t="s">
        <v>4742</v>
      </c>
      <c r="BT243" t="str">
        <f>HYPERLINK("https%3A%2F%2Fwww.webofscience.com%2Fwos%2Fwoscc%2Ffull-record%2FWOS:000282320200001","View Full Record in Web of Science")</f>
        <v>View Full Record in Web of Science</v>
      </c>
    </row>
    <row r="244" spans="1:72" x14ac:dyDescent="0.15">
      <c r="A244" t="s">
        <v>72</v>
      </c>
      <c r="B244" t="s">
        <v>4743</v>
      </c>
      <c r="C244" t="s">
        <v>74</v>
      </c>
      <c r="D244" t="s">
        <v>74</v>
      </c>
      <c r="E244" t="s">
        <v>74</v>
      </c>
      <c r="F244" t="s">
        <v>4744</v>
      </c>
      <c r="G244" t="s">
        <v>74</v>
      </c>
      <c r="H244" t="s">
        <v>74</v>
      </c>
      <c r="I244" t="s">
        <v>4745</v>
      </c>
      <c r="J244" t="s">
        <v>4560</v>
      </c>
      <c r="K244" t="s">
        <v>74</v>
      </c>
      <c r="L244" t="s">
        <v>74</v>
      </c>
      <c r="M244" t="s">
        <v>78</v>
      </c>
      <c r="N244" t="s">
        <v>79</v>
      </c>
      <c r="O244" t="s">
        <v>74</v>
      </c>
      <c r="P244" t="s">
        <v>74</v>
      </c>
      <c r="Q244" t="s">
        <v>74</v>
      </c>
      <c r="R244" t="s">
        <v>74</v>
      </c>
      <c r="S244" t="s">
        <v>74</v>
      </c>
      <c r="T244" t="s">
        <v>74</v>
      </c>
      <c r="U244" t="s">
        <v>4746</v>
      </c>
      <c r="V244" t="s">
        <v>4747</v>
      </c>
      <c r="W244" t="s">
        <v>4748</v>
      </c>
      <c r="X244" t="s">
        <v>4749</v>
      </c>
      <c r="Y244" t="s">
        <v>4750</v>
      </c>
      <c r="Z244" t="s">
        <v>74</v>
      </c>
      <c r="AA244" t="s">
        <v>74</v>
      </c>
      <c r="AB244" t="s">
        <v>74</v>
      </c>
      <c r="AC244" t="s">
        <v>4751</v>
      </c>
      <c r="AD244" t="s">
        <v>4752</v>
      </c>
      <c r="AE244" t="s">
        <v>4753</v>
      </c>
      <c r="AF244" t="s">
        <v>74</v>
      </c>
      <c r="AG244">
        <v>106</v>
      </c>
      <c r="AH244">
        <v>9</v>
      </c>
      <c r="AI244">
        <v>9</v>
      </c>
      <c r="AJ244">
        <v>0</v>
      </c>
      <c r="AK244">
        <v>12</v>
      </c>
      <c r="AL244" t="s">
        <v>1521</v>
      </c>
      <c r="AM244" t="s">
        <v>1522</v>
      </c>
      <c r="AN244" t="s">
        <v>1523</v>
      </c>
      <c r="AO244" t="s">
        <v>4571</v>
      </c>
      <c r="AP244" t="s">
        <v>4572</v>
      </c>
      <c r="AQ244" t="s">
        <v>74</v>
      </c>
      <c r="AR244" t="s">
        <v>4560</v>
      </c>
      <c r="AS244" t="s">
        <v>4573</v>
      </c>
      <c r="AT244" t="s">
        <v>4738</v>
      </c>
      <c r="AU244">
        <v>2010</v>
      </c>
      <c r="AV244">
        <v>25</v>
      </c>
      <c r="AW244" t="s">
        <v>74</v>
      </c>
      <c r="AX244" t="s">
        <v>74</v>
      </c>
      <c r="AY244" t="s">
        <v>74</v>
      </c>
      <c r="AZ244" t="s">
        <v>74</v>
      </c>
      <c r="BA244" t="s">
        <v>74</v>
      </c>
      <c r="BB244" t="s">
        <v>74</v>
      </c>
      <c r="BC244" t="s">
        <v>74</v>
      </c>
      <c r="BD244" t="s">
        <v>4754</v>
      </c>
      <c r="BE244" t="s">
        <v>4755</v>
      </c>
      <c r="BF244" t="str">
        <f>HYPERLINK("http://dx.doi.org/10.1029/2009PA001916","http://dx.doi.org/10.1029/2009PA001916")</f>
        <v>http://dx.doi.org/10.1029/2009PA001916</v>
      </c>
      <c r="BG244" t="s">
        <v>74</v>
      </c>
      <c r="BH244" t="s">
        <v>74</v>
      </c>
      <c r="BI244">
        <v>15</v>
      </c>
      <c r="BJ244" t="s">
        <v>4576</v>
      </c>
      <c r="BK244" t="s">
        <v>100</v>
      </c>
      <c r="BL244" t="s">
        <v>4577</v>
      </c>
      <c r="BM244" t="s">
        <v>4756</v>
      </c>
      <c r="BN244" t="s">
        <v>74</v>
      </c>
      <c r="BO244" t="s">
        <v>394</v>
      </c>
      <c r="BP244" t="s">
        <v>74</v>
      </c>
      <c r="BQ244" t="s">
        <v>74</v>
      </c>
      <c r="BR244" t="s">
        <v>104</v>
      </c>
      <c r="BS244" t="s">
        <v>4757</v>
      </c>
      <c r="BT244" t="str">
        <f>HYPERLINK("https%3A%2F%2Fwww.webofscience.com%2Fwos%2Fwoscc%2Ffull-record%2FWOS:000282327800001","View Full Record in Web of Science")</f>
        <v>View Full Record in Web of Science</v>
      </c>
    </row>
    <row r="245" spans="1:72" x14ac:dyDescent="0.15">
      <c r="A245" t="s">
        <v>72</v>
      </c>
      <c r="B245" t="s">
        <v>4758</v>
      </c>
      <c r="C245" t="s">
        <v>74</v>
      </c>
      <c r="D245" t="s">
        <v>74</v>
      </c>
      <c r="E245" t="s">
        <v>74</v>
      </c>
      <c r="F245" t="s">
        <v>4759</v>
      </c>
      <c r="G245" t="s">
        <v>74</v>
      </c>
      <c r="H245" t="s">
        <v>74</v>
      </c>
      <c r="I245" t="s">
        <v>4760</v>
      </c>
      <c r="J245" t="s">
        <v>1538</v>
      </c>
      <c r="K245" t="s">
        <v>74</v>
      </c>
      <c r="L245" t="s">
        <v>74</v>
      </c>
      <c r="M245" t="s">
        <v>78</v>
      </c>
      <c r="N245" t="s">
        <v>79</v>
      </c>
      <c r="O245" t="s">
        <v>74</v>
      </c>
      <c r="P245" t="s">
        <v>74</v>
      </c>
      <c r="Q245" t="s">
        <v>74</v>
      </c>
      <c r="R245" t="s">
        <v>74</v>
      </c>
      <c r="S245" t="s">
        <v>74</v>
      </c>
      <c r="T245" t="s">
        <v>74</v>
      </c>
      <c r="U245" t="s">
        <v>4761</v>
      </c>
      <c r="V245" t="s">
        <v>4762</v>
      </c>
      <c r="W245" t="s">
        <v>4763</v>
      </c>
      <c r="X245" t="s">
        <v>4764</v>
      </c>
      <c r="Y245" t="s">
        <v>4765</v>
      </c>
      <c r="Z245" t="s">
        <v>4766</v>
      </c>
      <c r="AA245" t="s">
        <v>4767</v>
      </c>
      <c r="AB245" t="s">
        <v>4768</v>
      </c>
      <c r="AC245" t="s">
        <v>4769</v>
      </c>
      <c r="AD245" t="s">
        <v>4770</v>
      </c>
      <c r="AE245" t="s">
        <v>4771</v>
      </c>
      <c r="AF245" t="s">
        <v>74</v>
      </c>
      <c r="AG245">
        <v>25</v>
      </c>
      <c r="AH245">
        <v>152</v>
      </c>
      <c r="AI245">
        <v>161</v>
      </c>
      <c r="AJ245">
        <v>2</v>
      </c>
      <c r="AK245">
        <v>56</v>
      </c>
      <c r="AL245" t="s">
        <v>1521</v>
      </c>
      <c r="AM245" t="s">
        <v>1522</v>
      </c>
      <c r="AN245" t="s">
        <v>1523</v>
      </c>
      <c r="AO245" t="s">
        <v>1550</v>
      </c>
      <c r="AP245" t="s">
        <v>1551</v>
      </c>
      <c r="AQ245" t="s">
        <v>74</v>
      </c>
      <c r="AR245" t="s">
        <v>1552</v>
      </c>
      <c r="AS245" t="s">
        <v>1553</v>
      </c>
      <c r="AT245" t="s">
        <v>4772</v>
      </c>
      <c r="AU245">
        <v>2010</v>
      </c>
      <c r="AV245">
        <v>37</v>
      </c>
      <c r="AW245" t="s">
        <v>74</v>
      </c>
      <c r="AX245" t="s">
        <v>74</v>
      </c>
      <c r="AY245" t="s">
        <v>74</v>
      </c>
      <c r="AZ245" t="s">
        <v>74</v>
      </c>
      <c r="BA245" t="s">
        <v>74</v>
      </c>
      <c r="BB245" t="s">
        <v>74</v>
      </c>
      <c r="BC245" t="s">
        <v>74</v>
      </c>
      <c r="BD245" t="s">
        <v>4773</v>
      </c>
      <c r="BE245" t="s">
        <v>4774</v>
      </c>
      <c r="BF245" t="str">
        <f>HYPERLINK("http://dx.doi.org/10.1029/2010GL044222","http://dx.doi.org/10.1029/2010GL044222")</f>
        <v>http://dx.doi.org/10.1029/2010GL044222</v>
      </c>
      <c r="BG245" t="s">
        <v>74</v>
      </c>
      <c r="BH245" t="s">
        <v>74</v>
      </c>
      <c r="BI245">
        <v>5</v>
      </c>
      <c r="BJ245" t="s">
        <v>1194</v>
      </c>
      <c r="BK245" t="s">
        <v>100</v>
      </c>
      <c r="BL245" t="s">
        <v>807</v>
      </c>
      <c r="BM245" t="s">
        <v>4775</v>
      </c>
      <c r="BN245" t="s">
        <v>74</v>
      </c>
      <c r="BO245" t="s">
        <v>74</v>
      </c>
      <c r="BP245" t="s">
        <v>74</v>
      </c>
      <c r="BQ245" t="s">
        <v>74</v>
      </c>
      <c r="BR245" t="s">
        <v>104</v>
      </c>
      <c r="BS245" t="s">
        <v>4776</v>
      </c>
      <c r="BT245" t="str">
        <f>HYPERLINK("https%3A%2F%2Fwww.webofscience.com%2Fwos%2Fwoscc%2Ffull-record%2FWOS:000282318200006","View Full Record in Web of Science")</f>
        <v>View Full Record in Web of Science</v>
      </c>
    </row>
    <row r="246" spans="1:72" x14ac:dyDescent="0.15">
      <c r="A246" t="s">
        <v>72</v>
      </c>
      <c r="B246" t="s">
        <v>4777</v>
      </c>
      <c r="C246" t="s">
        <v>74</v>
      </c>
      <c r="D246" t="s">
        <v>74</v>
      </c>
      <c r="E246" t="s">
        <v>74</v>
      </c>
      <c r="F246" t="s">
        <v>4778</v>
      </c>
      <c r="G246" t="s">
        <v>74</v>
      </c>
      <c r="H246" t="s">
        <v>74</v>
      </c>
      <c r="I246" t="s">
        <v>4779</v>
      </c>
      <c r="J246" t="s">
        <v>4634</v>
      </c>
      <c r="K246" t="s">
        <v>74</v>
      </c>
      <c r="L246" t="s">
        <v>74</v>
      </c>
      <c r="M246" t="s">
        <v>78</v>
      </c>
      <c r="N246" t="s">
        <v>79</v>
      </c>
      <c r="O246" t="s">
        <v>74</v>
      </c>
      <c r="P246" t="s">
        <v>74</v>
      </c>
      <c r="Q246" t="s">
        <v>74</v>
      </c>
      <c r="R246" t="s">
        <v>74</v>
      </c>
      <c r="S246" t="s">
        <v>74</v>
      </c>
      <c r="T246" t="s">
        <v>74</v>
      </c>
      <c r="U246" t="s">
        <v>4780</v>
      </c>
      <c r="V246" t="s">
        <v>4781</v>
      </c>
      <c r="W246" t="s">
        <v>4782</v>
      </c>
      <c r="X246" t="s">
        <v>4783</v>
      </c>
      <c r="Y246" t="s">
        <v>4784</v>
      </c>
      <c r="Z246" t="s">
        <v>4785</v>
      </c>
      <c r="AA246" t="s">
        <v>4786</v>
      </c>
      <c r="AB246" t="s">
        <v>4787</v>
      </c>
      <c r="AC246" t="s">
        <v>4788</v>
      </c>
      <c r="AD246" t="s">
        <v>4789</v>
      </c>
      <c r="AE246" t="s">
        <v>4790</v>
      </c>
      <c r="AF246" t="s">
        <v>74</v>
      </c>
      <c r="AG246">
        <v>20</v>
      </c>
      <c r="AH246">
        <v>18</v>
      </c>
      <c r="AI246">
        <v>18</v>
      </c>
      <c r="AJ246">
        <v>0</v>
      </c>
      <c r="AK246">
        <v>5</v>
      </c>
      <c r="AL246" t="s">
        <v>1521</v>
      </c>
      <c r="AM246" t="s">
        <v>1522</v>
      </c>
      <c r="AN246" t="s">
        <v>1523</v>
      </c>
      <c r="AO246" t="s">
        <v>4646</v>
      </c>
      <c r="AP246" t="s">
        <v>4647</v>
      </c>
      <c r="AQ246" t="s">
        <v>74</v>
      </c>
      <c r="AR246" t="s">
        <v>4648</v>
      </c>
      <c r="AS246" t="s">
        <v>4649</v>
      </c>
      <c r="AT246" t="s">
        <v>4772</v>
      </c>
      <c r="AU246">
        <v>2010</v>
      </c>
      <c r="AV246">
        <v>115</v>
      </c>
      <c r="AW246" t="s">
        <v>74</v>
      </c>
      <c r="AX246" t="s">
        <v>74</v>
      </c>
      <c r="AY246" t="s">
        <v>74</v>
      </c>
      <c r="AZ246" t="s">
        <v>74</v>
      </c>
      <c r="BA246" t="s">
        <v>74</v>
      </c>
      <c r="BB246" t="s">
        <v>74</v>
      </c>
      <c r="BC246" t="s">
        <v>74</v>
      </c>
      <c r="BD246" t="s">
        <v>4791</v>
      </c>
      <c r="BE246" t="s">
        <v>4792</v>
      </c>
      <c r="BF246" t="str">
        <f>HYPERLINK("http://dx.doi.org/10.1029/2009JA014814","http://dx.doi.org/10.1029/2009JA014814")</f>
        <v>http://dx.doi.org/10.1029/2009JA014814</v>
      </c>
      <c r="BG246" t="s">
        <v>74</v>
      </c>
      <c r="BH246" t="s">
        <v>74</v>
      </c>
      <c r="BI246">
        <v>8</v>
      </c>
      <c r="BJ246" t="s">
        <v>1805</v>
      </c>
      <c r="BK246" t="s">
        <v>100</v>
      </c>
      <c r="BL246" t="s">
        <v>1805</v>
      </c>
      <c r="BM246" t="s">
        <v>4793</v>
      </c>
      <c r="BN246" t="s">
        <v>74</v>
      </c>
      <c r="BO246" t="s">
        <v>74</v>
      </c>
      <c r="BP246" t="s">
        <v>74</v>
      </c>
      <c r="BQ246" t="s">
        <v>74</v>
      </c>
      <c r="BR246" t="s">
        <v>104</v>
      </c>
      <c r="BS246" t="s">
        <v>4794</v>
      </c>
      <c r="BT246" t="str">
        <f>HYPERLINK("https%3A%2F%2Fwww.webofscience.com%2Fwos%2Fwoscc%2Ffull-record%2FWOS:000282327100002","View Full Record in Web of Science")</f>
        <v>View Full Record in Web of Science</v>
      </c>
    </row>
    <row r="247" spans="1:72" x14ac:dyDescent="0.15">
      <c r="A247" t="s">
        <v>72</v>
      </c>
      <c r="B247" t="s">
        <v>4795</v>
      </c>
      <c r="C247" t="s">
        <v>74</v>
      </c>
      <c r="D247" t="s">
        <v>74</v>
      </c>
      <c r="E247" t="s">
        <v>74</v>
      </c>
      <c r="F247" t="s">
        <v>4796</v>
      </c>
      <c r="G247" t="s">
        <v>74</v>
      </c>
      <c r="H247" t="s">
        <v>74</v>
      </c>
      <c r="I247" t="s">
        <v>4797</v>
      </c>
      <c r="J247" t="s">
        <v>1562</v>
      </c>
      <c r="K247" t="s">
        <v>74</v>
      </c>
      <c r="L247" t="s">
        <v>74</v>
      </c>
      <c r="M247" t="s">
        <v>78</v>
      </c>
      <c r="N247" t="s">
        <v>79</v>
      </c>
      <c r="O247" t="s">
        <v>74</v>
      </c>
      <c r="P247" t="s">
        <v>74</v>
      </c>
      <c r="Q247" t="s">
        <v>74</v>
      </c>
      <c r="R247" t="s">
        <v>74</v>
      </c>
      <c r="S247" t="s">
        <v>74</v>
      </c>
      <c r="T247" t="s">
        <v>74</v>
      </c>
      <c r="U247" t="s">
        <v>4798</v>
      </c>
      <c r="V247" t="s">
        <v>4799</v>
      </c>
      <c r="W247" t="s">
        <v>4800</v>
      </c>
      <c r="X247" t="s">
        <v>4801</v>
      </c>
      <c r="Y247" t="s">
        <v>4802</v>
      </c>
      <c r="Z247" t="s">
        <v>4803</v>
      </c>
      <c r="AA247" t="s">
        <v>4804</v>
      </c>
      <c r="AB247" t="s">
        <v>4805</v>
      </c>
      <c r="AC247" t="s">
        <v>4806</v>
      </c>
      <c r="AD247" t="s">
        <v>4807</v>
      </c>
      <c r="AE247" t="s">
        <v>4808</v>
      </c>
      <c r="AF247" t="s">
        <v>74</v>
      </c>
      <c r="AG247">
        <v>100</v>
      </c>
      <c r="AH247">
        <v>54</v>
      </c>
      <c r="AI247">
        <v>61</v>
      </c>
      <c r="AJ247">
        <v>0</v>
      </c>
      <c r="AK247">
        <v>26</v>
      </c>
      <c r="AL247" t="s">
        <v>1521</v>
      </c>
      <c r="AM247" t="s">
        <v>1522</v>
      </c>
      <c r="AN247" t="s">
        <v>1523</v>
      </c>
      <c r="AO247" t="s">
        <v>1574</v>
      </c>
      <c r="AP247" t="s">
        <v>1575</v>
      </c>
      <c r="AQ247" t="s">
        <v>74</v>
      </c>
      <c r="AR247" t="s">
        <v>1576</v>
      </c>
      <c r="AS247" t="s">
        <v>1577</v>
      </c>
      <c r="AT247" t="s">
        <v>4809</v>
      </c>
      <c r="AU247">
        <v>2010</v>
      </c>
      <c r="AV247">
        <v>115</v>
      </c>
      <c r="AW247" t="s">
        <v>74</v>
      </c>
      <c r="AX247" t="s">
        <v>74</v>
      </c>
      <c r="AY247" t="s">
        <v>74</v>
      </c>
      <c r="AZ247" t="s">
        <v>74</v>
      </c>
      <c r="BA247" t="s">
        <v>74</v>
      </c>
      <c r="BB247" t="s">
        <v>74</v>
      </c>
      <c r="BC247" t="s">
        <v>74</v>
      </c>
      <c r="BD247" t="s">
        <v>4810</v>
      </c>
      <c r="BE247" t="s">
        <v>4811</v>
      </c>
      <c r="BF247" t="str">
        <f>HYPERLINK("http://dx.doi.org/10.1029/2009JF001430","http://dx.doi.org/10.1029/2009JF001430")</f>
        <v>http://dx.doi.org/10.1029/2009JF001430</v>
      </c>
      <c r="BG247" t="s">
        <v>74</v>
      </c>
      <c r="BH247" t="s">
        <v>74</v>
      </c>
      <c r="BI247">
        <v>12</v>
      </c>
      <c r="BJ247" t="s">
        <v>1194</v>
      </c>
      <c r="BK247" t="s">
        <v>100</v>
      </c>
      <c r="BL247" t="s">
        <v>807</v>
      </c>
      <c r="BM247" t="s">
        <v>4812</v>
      </c>
      <c r="BN247" t="s">
        <v>74</v>
      </c>
      <c r="BO247" t="s">
        <v>394</v>
      </c>
      <c r="BP247" t="s">
        <v>74</v>
      </c>
      <c r="BQ247" t="s">
        <v>74</v>
      </c>
      <c r="BR247" t="s">
        <v>104</v>
      </c>
      <c r="BS247" t="s">
        <v>4813</v>
      </c>
      <c r="BT247" t="str">
        <f>HYPERLINK("https%3A%2F%2Fwww.webofscience.com%2Fwos%2Fwoscc%2Ffull-record%2FWOS:000282322700001","View Full Record in Web of Science")</f>
        <v>View Full Record in Web of Science</v>
      </c>
    </row>
    <row r="248" spans="1:72" x14ac:dyDescent="0.15">
      <c r="A248" t="s">
        <v>72</v>
      </c>
      <c r="B248" t="s">
        <v>4814</v>
      </c>
      <c r="C248" t="s">
        <v>74</v>
      </c>
      <c r="D248" t="s">
        <v>74</v>
      </c>
      <c r="E248" t="s">
        <v>74</v>
      </c>
      <c r="F248" t="s">
        <v>4815</v>
      </c>
      <c r="G248" t="s">
        <v>74</v>
      </c>
      <c r="H248" t="s">
        <v>74</v>
      </c>
      <c r="I248" t="s">
        <v>4816</v>
      </c>
      <c r="J248" t="s">
        <v>4817</v>
      </c>
      <c r="K248" t="s">
        <v>74</v>
      </c>
      <c r="L248" t="s">
        <v>74</v>
      </c>
      <c r="M248" t="s">
        <v>78</v>
      </c>
      <c r="N248" t="s">
        <v>79</v>
      </c>
      <c r="O248" t="s">
        <v>74</v>
      </c>
      <c r="P248" t="s">
        <v>74</v>
      </c>
      <c r="Q248" t="s">
        <v>74</v>
      </c>
      <c r="R248" t="s">
        <v>74</v>
      </c>
      <c r="S248" t="s">
        <v>74</v>
      </c>
      <c r="T248" t="s">
        <v>74</v>
      </c>
      <c r="U248" t="s">
        <v>4818</v>
      </c>
      <c r="V248" t="s">
        <v>4819</v>
      </c>
      <c r="W248" t="s">
        <v>4820</v>
      </c>
      <c r="X248" t="s">
        <v>4821</v>
      </c>
      <c r="Y248" t="s">
        <v>4822</v>
      </c>
      <c r="Z248" t="s">
        <v>4823</v>
      </c>
      <c r="AA248" t="s">
        <v>4824</v>
      </c>
      <c r="AB248" t="s">
        <v>4825</v>
      </c>
      <c r="AC248" t="s">
        <v>4826</v>
      </c>
      <c r="AD248" t="s">
        <v>4827</v>
      </c>
      <c r="AE248" t="s">
        <v>4828</v>
      </c>
      <c r="AF248" t="s">
        <v>74</v>
      </c>
      <c r="AG248">
        <v>124</v>
      </c>
      <c r="AH248">
        <v>56</v>
      </c>
      <c r="AI248">
        <v>64</v>
      </c>
      <c r="AJ248">
        <v>0</v>
      </c>
      <c r="AK248">
        <v>14</v>
      </c>
      <c r="AL248" t="s">
        <v>1521</v>
      </c>
      <c r="AM248" t="s">
        <v>1522</v>
      </c>
      <c r="AN248" t="s">
        <v>1523</v>
      </c>
      <c r="AO248" t="s">
        <v>4829</v>
      </c>
      <c r="AP248" t="s">
        <v>4830</v>
      </c>
      <c r="AQ248" t="s">
        <v>74</v>
      </c>
      <c r="AR248" t="s">
        <v>4831</v>
      </c>
      <c r="AS248" t="s">
        <v>4832</v>
      </c>
      <c r="AT248" t="s">
        <v>4809</v>
      </c>
      <c r="AU248">
        <v>2010</v>
      </c>
      <c r="AV248">
        <v>115</v>
      </c>
      <c r="AW248" t="s">
        <v>74</v>
      </c>
      <c r="AX248" t="s">
        <v>74</v>
      </c>
      <c r="AY248" t="s">
        <v>74</v>
      </c>
      <c r="AZ248" t="s">
        <v>74</v>
      </c>
      <c r="BA248" t="s">
        <v>74</v>
      </c>
      <c r="BB248" t="s">
        <v>74</v>
      </c>
      <c r="BC248" t="s">
        <v>74</v>
      </c>
      <c r="BD248" t="s">
        <v>4833</v>
      </c>
      <c r="BE248" t="s">
        <v>4834</v>
      </c>
      <c r="BF248" t="str">
        <f>HYPERLINK("http://dx.doi.org/10.1029/2009JB006890","http://dx.doi.org/10.1029/2009JB006890")</f>
        <v>http://dx.doi.org/10.1029/2009JB006890</v>
      </c>
      <c r="BG248" t="s">
        <v>74</v>
      </c>
      <c r="BH248" t="s">
        <v>74</v>
      </c>
      <c r="BI248">
        <v>22</v>
      </c>
      <c r="BJ248" t="s">
        <v>558</v>
      </c>
      <c r="BK248" t="s">
        <v>100</v>
      </c>
      <c r="BL248" t="s">
        <v>558</v>
      </c>
      <c r="BM248" t="s">
        <v>4835</v>
      </c>
      <c r="BN248" t="s">
        <v>74</v>
      </c>
      <c r="BO248" t="s">
        <v>394</v>
      </c>
      <c r="BP248" t="s">
        <v>74</v>
      </c>
      <c r="BQ248" t="s">
        <v>74</v>
      </c>
      <c r="BR248" t="s">
        <v>104</v>
      </c>
      <c r="BS248" t="s">
        <v>4836</v>
      </c>
      <c r="BT248" t="str">
        <f>HYPERLINK("https%3A%2F%2Fwww.webofscience.com%2Fwos%2Fwoscc%2Ffull-record%2FWOS:000282326200002","View Full Record in Web of Science")</f>
        <v>View Full Record in Web of Science</v>
      </c>
    </row>
    <row r="249" spans="1:72" x14ac:dyDescent="0.15">
      <c r="A249" t="s">
        <v>72</v>
      </c>
      <c r="B249" t="s">
        <v>4837</v>
      </c>
      <c r="C249" t="s">
        <v>74</v>
      </c>
      <c r="D249" t="s">
        <v>74</v>
      </c>
      <c r="E249" t="s">
        <v>74</v>
      </c>
      <c r="F249" t="s">
        <v>4838</v>
      </c>
      <c r="G249" t="s">
        <v>74</v>
      </c>
      <c r="H249" t="s">
        <v>74</v>
      </c>
      <c r="I249" t="s">
        <v>4839</v>
      </c>
      <c r="J249" t="s">
        <v>4840</v>
      </c>
      <c r="K249" t="s">
        <v>74</v>
      </c>
      <c r="L249" t="s">
        <v>74</v>
      </c>
      <c r="M249" t="s">
        <v>78</v>
      </c>
      <c r="N249" t="s">
        <v>79</v>
      </c>
      <c r="O249" t="s">
        <v>74</v>
      </c>
      <c r="P249" t="s">
        <v>74</v>
      </c>
      <c r="Q249" t="s">
        <v>74</v>
      </c>
      <c r="R249" t="s">
        <v>74</v>
      </c>
      <c r="S249" t="s">
        <v>74</v>
      </c>
      <c r="T249" t="s">
        <v>74</v>
      </c>
      <c r="U249" t="s">
        <v>4841</v>
      </c>
      <c r="V249" t="s">
        <v>4842</v>
      </c>
      <c r="W249" t="s">
        <v>4843</v>
      </c>
      <c r="X249" t="s">
        <v>4844</v>
      </c>
      <c r="Y249" t="s">
        <v>4845</v>
      </c>
      <c r="Z249" t="s">
        <v>4846</v>
      </c>
      <c r="AA249" t="s">
        <v>4847</v>
      </c>
      <c r="AB249" t="s">
        <v>4848</v>
      </c>
      <c r="AC249" t="s">
        <v>4849</v>
      </c>
      <c r="AD249" t="s">
        <v>4850</v>
      </c>
      <c r="AE249" t="s">
        <v>4851</v>
      </c>
      <c r="AF249" t="s">
        <v>74</v>
      </c>
      <c r="AG249">
        <v>20</v>
      </c>
      <c r="AH249">
        <v>30</v>
      </c>
      <c r="AI249">
        <v>31</v>
      </c>
      <c r="AJ249">
        <v>0</v>
      </c>
      <c r="AK249">
        <v>11</v>
      </c>
      <c r="AL249" t="s">
        <v>1597</v>
      </c>
      <c r="AM249" t="s">
        <v>1598</v>
      </c>
      <c r="AN249" t="s">
        <v>1599</v>
      </c>
      <c r="AO249" t="s">
        <v>74</v>
      </c>
      <c r="AP249" t="s">
        <v>4852</v>
      </c>
      <c r="AQ249" t="s">
        <v>74</v>
      </c>
      <c r="AR249" t="s">
        <v>4853</v>
      </c>
      <c r="AS249" t="s">
        <v>4854</v>
      </c>
      <c r="AT249" t="s">
        <v>4809</v>
      </c>
      <c r="AU249">
        <v>2010</v>
      </c>
      <c r="AV249">
        <v>9</v>
      </c>
      <c r="AW249" t="s">
        <v>74</v>
      </c>
      <c r="AX249" t="s">
        <v>74</v>
      </c>
      <c r="AY249" t="s">
        <v>74</v>
      </c>
      <c r="AZ249" t="s">
        <v>74</v>
      </c>
      <c r="BA249" t="s">
        <v>74</v>
      </c>
      <c r="BB249" t="s">
        <v>74</v>
      </c>
      <c r="BC249" t="s">
        <v>74</v>
      </c>
      <c r="BD249">
        <v>72</v>
      </c>
      <c r="BE249" t="s">
        <v>4855</v>
      </c>
      <c r="BF249" t="str">
        <f>HYPERLINK("http://dx.doi.org/10.1186/1475-2859-9-72","http://dx.doi.org/10.1186/1475-2859-9-72")</f>
        <v>http://dx.doi.org/10.1186/1475-2859-9-72</v>
      </c>
      <c r="BG249" t="s">
        <v>74</v>
      </c>
      <c r="BH249" t="s">
        <v>74</v>
      </c>
      <c r="BI249">
        <v>9</v>
      </c>
      <c r="BJ249" t="s">
        <v>370</v>
      </c>
      <c r="BK249" t="s">
        <v>100</v>
      </c>
      <c r="BL249" t="s">
        <v>370</v>
      </c>
      <c r="BM249" t="s">
        <v>4856</v>
      </c>
      <c r="BN249">
        <v>20858251</v>
      </c>
      <c r="BO249" t="s">
        <v>4857</v>
      </c>
      <c r="BP249" t="s">
        <v>74</v>
      </c>
      <c r="BQ249" t="s">
        <v>74</v>
      </c>
      <c r="BR249" t="s">
        <v>104</v>
      </c>
      <c r="BS249" t="s">
        <v>4858</v>
      </c>
      <c r="BT249" t="str">
        <f>HYPERLINK("https%3A%2F%2Fwww.webofscience.com%2Fwos%2Fwoscc%2Ffull-record%2FWOS:000282969300001","View Full Record in Web of Science")</f>
        <v>View Full Record in Web of Science</v>
      </c>
    </row>
    <row r="250" spans="1:72" x14ac:dyDescent="0.15">
      <c r="A250" t="s">
        <v>72</v>
      </c>
      <c r="B250" t="s">
        <v>4859</v>
      </c>
      <c r="C250" t="s">
        <v>74</v>
      </c>
      <c r="D250" t="s">
        <v>74</v>
      </c>
      <c r="E250" t="s">
        <v>74</v>
      </c>
      <c r="F250" t="s">
        <v>4860</v>
      </c>
      <c r="G250" t="s">
        <v>74</v>
      </c>
      <c r="H250" t="s">
        <v>74</v>
      </c>
      <c r="I250" t="s">
        <v>4861</v>
      </c>
      <c r="J250" t="s">
        <v>4657</v>
      </c>
      <c r="K250" t="s">
        <v>74</v>
      </c>
      <c r="L250" t="s">
        <v>74</v>
      </c>
      <c r="M250" t="s">
        <v>78</v>
      </c>
      <c r="N250" t="s">
        <v>79</v>
      </c>
      <c r="O250" t="s">
        <v>74</v>
      </c>
      <c r="P250" t="s">
        <v>74</v>
      </c>
      <c r="Q250" t="s">
        <v>74</v>
      </c>
      <c r="R250" t="s">
        <v>74</v>
      </c>
      <c r="S250" t="s">
        <v>74</v>
      </c>
      <c r="T250" t="s">
        <v>74</v>
      </c>
      <c r="U250" t="s">
        <v>4862</v>
      </c>
      <c r="V250" t="s">
        <v>4863</v>
      </c>
      <c r="W250" t="s">
        <v>4864</v>
      </c>
      <c r="X250" t="s">
        <v>4865</v>
      </c>
      <c r="Y250" t="s">
        <v>4866</v>
      </c>
      <c r="Z250" t="s">
        <v>4867</v>
      </c>
      <c r="AA250" t="s">
        <v>4868</v>
      </c>
      <c r="AB250" t="s">
        <v>4869</v>
      </c>
      <c r="AC250" t="s">
        <v>4870</v>
      </c>
      <c r="AD250" t="s">
        <v>4871</v>
      </c>
      <c r="AE250" t="s">
        <v>4872</v>
      </c>
      <c r="AF250" t="s">
        <v>74</v>
      </c>
      <c r="AG250">
        <v>48</v>
      </c>
      <c r="AH250">
        <v>71</v>
      </c>
      <c r="AI250">
        <v>74</v>
      </c>
      <c r="AJ250">
        <v>3</v>
      </c>
      <c r="AK250">
        <v>26</v>
      </c>
      <c r="AL250" t="s">
        <v>4669</v>
      </c>
      <c r="AM250" t="s">
        <v>4670</v>
      </c>
      <c r="AN250" t="s">
        <v>4671</v>
      </c>
      <c r="AO250" t="s">
        <v>4672</v>
      </c>
      <c r="AP250" t="s">
        <v>74</v>
      </c>
      <c r="AQ250" t="s">
        <v>74</v>
      </c>
      <c r="AR250" t="s">
        <v>4657</v>
      </c>
      <c r="AS250" t="s">
        <v>4673</v>
      </c>
      <c r="AT250" t="s">
        <v>4873</v>
      </c>
      <c r="AU250">
        <v>2010</v>
      </c>
      <c r="AV250">
        <v>5</v>
      </c>
      <c r="AW250">
        <v>9</v>
      </c>
      <c r="AX250" t="s">
        <v>74</v>
      </c>
      <c r="AY250" t="s">
        <v>74</v>
      </c>
      <c r="AZ250" t="s">
        <v>74</v>
      </c>
      <c r="BA250" t="s">
        <v>74</v>
      </c>
      <c r="BB250" t="s">
        <v>74</v>
      </c>
      <c r="BC250" t="s">
        <v>74</v>
      </c>
      <c r="BD250" t="s">
        <v>4874</v>
      </c>
      <c r="BE250" t="s">
        <v>4875</v>
      </c>
      <c r="BF250" t="str">
        <f>HYPERLINK("http://dx.doi.org/10.1371/journal.pone.0012832","http://dx.doi.org/10.1371/journal.pone.0012832")</f>
        <v>http://dx.doi.org/10.1371/journal.pone.0012832</v>
      </c>
      <c r="BG250" t="s">
        <v>74</v>
      </c>
      <c r="BH250" t="s">
        <v>74</v>
      </c>
      <c r="BI250">
        <v>8</v>
      </c>
      <c r="BJ250" t="s">
        <v>444</v>
      </c>
      <c r="BK250" t="s">
        <v>2796</v>
      </c>
      <c r="BL250" t="s">
        <v>445</v>
      </c>
      <c r="BM250" t="s">
        <v>4876</v>
      </c>
      <c r="BN250">
        <v>20877460</v>
      </c>
      <c r="BO250" t="s">
        <v>4877</v>
      </c>
      <c r="BP250" t="s">
        <v>74</v>
      </c>
      <c r="BQ250" t="s">
        <v>74</v>
      </c>
      <c r="BR250" t="s">
        <v>104</v>
      </c>
      <c r="BS250" t="s">
        <v>4878</v>
      </c>
      <c r="BT250" t="str">
        <f>HYPERLINK("https%3A%2F%2Fwww.webofscience.com%2Fwos%2Fwoscc%2Ffull-record%2FWOS:000281960800022","View Full Record in Web of Science")</f>
        <v>View Full Record in Web of Science</v>
      </c>
    </row>
    <row r="251" spans="1:72" x14ac:dyDescent="0.15">
      <c r="A251" t="s">
        <v>72</v>
      </c>
      <c r="B251" t="s">
        <v>4879</v>
      </c>
      <c r="C251" t="s">
        <v>74</v>
      </c>
      <c r="D251" t="s">
        <v>74</v>
      </c>
      <c r="E251" t="s">
        <v>74</v>
      </c>
      <c r="F251" t="s">
        <v>4880</v>
      </c>
      <c r="G251" t="s">
        <v>74</v>
      </c>
      <c r="H251" t="s">
        <v>74</v>
      </c>
      <c r="I251" t="s">
        <v>4881</v>
      </c>
      <c r="J251" t="s">
        <v>4882</v>
      </c>
      <c r="K251" t="s">
        <v>74</v>
      </c>
      <c r="L251" t="s">
        <v>74</v>
      </c>
      <c r="M251" t="s">
        <v>78</v>
      </c>
      <c r="N251" t="s">
        <v>79</v>
      </c>
      <c r="O251" t="s">
        <v>74</v>
      </c>
      <c r="P251" t="s">
        <v>74</v>
      </c>
      <c r="Q251" t="s">
        <v>74</v>
      </c>
      <c r="R251" t="s">
        <v>74</v>
      </c>
      <c r="S251" t="s">
        <v>74</v>
      </c>
      <c r="T251" t="s">
        <v>4883</v>
      </c>
      <c r="U251" t="s">
        <v>4884</v>
      </c>
      <c r="V251" t="s">
        <v>4885</v>
      </c>
      <c r="W251" t="s">
        <v>4886</v>
      </c>
      <c r="X251" t="s">
        <v>4887</v>
      </c>
      <c r="Y251" t="s">
        <v>4888</v>
      </c>
      <c r="Z251" t="s">
        <v>4889</v>
      </c>
      <c r="AA251" t="s">
        <v>4890</v>
      </c>
      <c r="AB251" t="s">
        <v>4891</v>
      </c>
      <c r="AC251" t="s">
        <v>4892</v>
      </c>
      <c r="AD251" t="s">
        <v>4893</v>
      </c>
      <c r="AE251" t="s">
        <v>4894</v>
      </c>
      <c r="AF251" t="s">
        <v>74</v>
      </c>
      <c r="AG251">
        <v>20</v>
      </c>
      <c r="AH251">
        <v>4</v>
      </c>
      <c r="AI251">
        <v>4</v>
      </c>
      <c r="AJ251">
        <v>0</v>
      </c>
      <c r="AK251">
        <v>3</v>
      </c>
      <c r="AL251" t="s">
        <v>4895</v>
      </c>
      <c r="AM251" t="s">
        <v>4896</v>
      </c>
      <c r="AN251" t="s">
        <v>4897</v>
      </c>
      <c r="AO251" t="s">
        <v>4898</v>
      </c>
      <c r="AP251" t="s">
        <v>4899</v>
      </c>
      <c r="AQ251" t="s">
        <v>74</v>
      </c>
      <c r="AR251" t="s">
        <v>4882</v>
      </c>
      <c r="AS251" t="s">
        <v>4900</v>
      </c>
      <c r="AT251" t="s">
        <v>4873</v>
      </c>
      <c r="AU251">
        <v>2010</v>
      </c>
      <c r="AV251" t="s">
        <v>74</v>
      </c>
      <c r="AW251">
        <v>2616</v>
      </c>
      <c r="AX251" t="s">
        <v>74</v>
      </c>
      <c r="AY251" t="s">
        <v>74</v>
      </c>
      <c r="AZ251" t="s">
        <v>74</v>
      </c>
      <c r="BA251" t="s">
        <v>74</v>
      </c>
      <c r="BB251">
        <v>48</v>
      </c>
      <c r="BC251">
        <v>68</v>
      </c>
      <c r="BD251" t="s">
        <v>74</v>
      </c>
      <c r="BE251" t="s">
        <v>74</v>
      </c>
      <c r="BF251" t="s">
        <v>74</v>
      </c>
      <c r="BG251" t="s">
        <v>74</v>
      </c>
      <c r="BH251" t="s">
        <v>74</v>
      </c>
      <c r="BI251">
        <v>21</v>
      </c>
      <c r="BJ251" t="s">
        <v>492</v>
      </c>
      <c r="BK251" t="s">
        <v>100</v>
      </c>
      <c r="BL251" t="s">
        <v>492</v>
      </c>
      <c r="BM251" t="s">
        <v>4901</v>
      </c>
      <c r="BN251" t="s">
        <v>74</v>
      </c>
      <c r="BO251" t="s">
        <v>74</v>
      </c>
      <c r="BP251" t="s">
        <v>74</v>
      </c>
      <c r="BQ251" t="s">
        <v>74</v>
      </c>
      <c r="BR251" t="s">
        <v>104</v>
      </c>
      <c r="BS251" t="s">
        <v>4902</v>
      </c>
      <c r="BT251" t="str">
        <f>HYPERLINK("https%3A%2F%2Fwww.webofscience.com%2Fwos%2Fwoscc%2Ffull-record%2FWOS:000281871700003","View Full Record in Web of Science")</f>
        <v>View Full Record in Web of Science</v>
      </c>
    </row>
    <row r="252" spans="1:72" x14ac:dyDescent="0.15">
      <c r="A252" t="s">
        <v>72</v>
      </c>
      <c r="B252" t="s">
        <v>4903</v>
      </c>
      <c r="C252" t="s">
        <v>74</v>
      </c>
      <c r="D252" t="s">
        <v>74</v>
      </c>
      <c r="E252" t="s">
        <v>74</v>
      </c>
      <c r="F252" t="s">
        <v>4904</v>
      </c>
      <c r="G252" t="s">
        <v>74</v>
      </c>
      <c r="H252" t="s">
        <v>74</v>
      </c>
      <c r="I252" t="s">
        <v>4905</v>
      </c>
      <c r="J252" t="s">
        <v>536</v>
      </c>
      <c r="K252" t="s">
        <v>74</v>
      </c>
      <c r="L252" t="s">
        <v>74</v>
      </c>
      <c r="M252" t="s">
        <v>78</v>
      </c>
      <c r="N252" t="s">
        <v>79</v>
      </c>
      <c r="O252" t="s">
        <v>74</v>
      </c>
      <c r="P252" t="s">
        <v>74</v>
      </c>
      <c r="Q252" t="s">
        <v>74</v>
      </c>
      <c r="R252" t="s">
        <v>74</v>
      </c>
      <c r="S252" t="s">
        <v>74</v>
      </c>
      <c r="T252" t="s">
        <v>4906</v>
      </c>
      <c r="U252" t="s">
        <v>4907</v>
      </c>
      <c r="V252" t="s">
        <v>4908</v>
      </c>
      <c r="W252" t="s">
        <v>4909</v>
      </c>
      <c r="X252" t="s">
        <v>4910</v>
      </c>
      <c r="Y252" t="s">
        <v>4911</v>
      </c>
      <c r="Z252" t="s">
        <v>4912</v>
      </c>
      <c r="AA252" t="s">
        <v>4913</v>
      </c>
      <c r="AB252" t="s">
        <v>4914</v>
      </c>
      <c r="AC252" t="s">
        <v>4915</v>
      </c>
      <c r="AD252" t="s">
        <v>4916</v>
      </c>
      <c r="AE252" t="s">
        <v>4917</v>
      </c>
      <c r="AF252" t="s">
        <v>74</v>
      </c>
      <c r="AG252">
        <v>47</v>
      </c>
      <c r="AH252">
        <v>55</v>
      </c>
      <c r="AI252">
        <v>79</v>
      </c>
      <c r="AJ252">
        <v>2</v>
      </c>
      <c r="AK252">
        <v>56</v>
      </c>
      <c r="AL252" t="s">
        <v>549</v>
      </c>
      <c r="AM252" t="s">
        <v>550</v>
      </c>
      <c r="AN252" t="s">
        <v>551</v>
      </c>
      <c r="AO252" t="s">
        <v>552</v>
      </c>
      <c r="AP252" t="s">
        <v>2999</v>
      </c>
      <c r="AQ252" t="s">
        <v>74</v>
      </c>
      <c r="AR252" t="s">
        <v>553</v>
      </c>
      <c r="AS252" t="s">
        <v>554</v>
      </c>
      <c r="AT252" t="s">
        <v>4918</v>
      </c>
      <c r="AU252">
        <v>2010</v>
      </c>
      <c r="AV252">
        <v>298</v>
      </c>
      <c r="AW252" t="s">
        <v>4513</v>
      </c>
      <c r="AX252" t="s">
        <v>74</v>
      </c>
      <c r="AY252" t="s">
        <v>74</v>
      </c>
      <c r="AZ252" t="s">
        <v>74</v>
      </c>
      <c r="BA252" t="s">
        <v>74</v>
      </c>
      <c r="BB252">
        <v>191</v>
      </c>
      <c r="BC252">
        <v>198</v>
      </c>
      <c r="BD252" t="s">
        <v>74</v>
      </c>
      <c r="BE252" t="s">
        <v>4919</v>
      </c>
      <c r="BF252" t="str">
        <f>HYPERLINK("http://dx.doi.org/10.1016/j.epsl.2010.07.041","http://dx.doi.org/10.1016/j.epsl.2010.07.041")</f>
        <v>http://dx.doi.org/10.1016/j.epsl.2010.07.041</v>
      </c>
      <c r="BG252" t="s">
        <v>74</v>
      </c>
      <c r="BH252" t="s">
        <v>74</v>
      </c>
      <c r="BI252">
        <v>8</v>
      </c>
      <c r="BJ252" t="s">
        <v>558</v>
      </c>
      <c r="BK252" t="s">
        <v>100</v>
      </c>
      <c r="BL252" t="s">
        <v>558</v>
      </c>
      <c r="BM252" t="s">
        <v>4920</v>
      </c>
      <c r="BN252" t="s">
        <v>74</v>
      </c>
      <c r="BO252" t="s">
        <v>74</v>
      </c>
      <c r="BP252" t="s">
        <v>74</v>
      </c>
      <c r="BQ252" t="s">
        <v>74</v>
      </c>
      <c r="BR252" t="s">
        <v>104</v>
      </c>
      <c r="BS252" t="s">
        <v>4921</v>
      </c>
      <c r="BT252" t="str">
        <f>HYPERLINK("https%3A%2F%2Fwww.webofscience.com%2Fwos%2Fwoscc%2Ffull-record%2FWOS:000283979200020","View Full Record in Web of Science")</f>
        <v>View Full Record in Web of Science</v>
      </c>
    </row>
    <row r="253" spans="1:72" x14ac:dyDescent="0.15">
      <c r="A253" t="s">
        <v>72</v>
      </c>
      <c r="B253" t="s">
        <v>4922</v>
      </c>
      <c r="C253" t="s">
        <v>74</v>
      </c>
      <c r="D253" t="s">
        <v>74</v>
      </c>
      <c r="E253" t="s">
        <v>74</v>
      </c>
      <c r="F253" t="s">
        <v>4923</v>
      </c>
      <c r="G253" t="s">
        <v>74</v>
      </c>
      <c r="H253" t="s">
        <v>74</v>
      </c>
      <c r="I253" t="s">
        <v>4924</v>
      </c>
      <c r="J253" t="s">
        <v>4634</v>
      </c>
      <c r="K253" t="s">
        <v>74</v>
      </c>
      <c r="L253" t="s">
        <v>74</v>
      </c>
      <c r="M253" t="s">
        <v>78</v>
      </c>
      <c r="N253" t="s">
        <v>79</v>
      </c>
      <c r="O253" t="s">
        <v>74</v>
      </c>
      <c r="P253" t="s">
        <v>74</v>
      </c>
      <c r="Q253" t="s">
        <v>74</v>
      </c>
      <c r="R253" t="s">
        <v>74</v>
      </c>
      <c r="S253" t="s">
        <v>74</v>
      </c>
      <c r="T253" t="s">
        <v>74</v>
      </c>
      <c r="U253" t="s">
        <v>4925</v>
      </c>
      <c r="V253" t="s">
        <v>4926</v>
      </c>
      <c r="W253" t="s">
        <v>4927</v>
      </c>
      <c r="X253" t="s">
        <v>4928</v>
      </c>
      <c r="Y253" t="s">
        <v>4929</v>
      </c>
      <c r="Z253" t="s">
        <v>4930</v>
      </c>
      <c r="AA253" t="s">
        <v>4931</v>
      </c>
      <c r="AB253" t="s">
        <v>4932</v>
      </c>
      <c r="AC253" t="s">
        <v>4933</v>
      </c>
      <c r="AD253" t="s">
        <v>4934</v>
      </c>
      <c r="AE253" t="s">
        <v>4935</v>
      </c>
      <c r="AF253" t="s">
        <v>74</v>
      </c>
      <c r="AG253">
        <v>20</v>
      </c>
      <c r="AH253">
        <v>21</v>
      </c>
      <c r="AI253">
        <v>21</v>
      </c>
      <c r="AJ253">
        <v>0</v>
      </c>
      <c r="AK253">
        <v>4</v>
      </c>
      <c r="AL253" t="s">
        <v>1521</v>
      </c>
      <c r="AM253" t="s">
        <v>1522</v>
      </c>
      <c r="AN253" t="s">
        <v>1523</v>
      </c>
      <c r="AO253" t="s">
        <v>4646</v>
      </c>
      <c r="AP253" t="s">
        <v>4647</v>
      </c>
      <c r="AQ253" t="s">
        <v>74</v>
      </c>
      <c r="AR253" t="s">
        <v>4648</v>
      </c>
      <c r="AS253" t="s">
        <v>4649</v>
      </c>
      <c r="AT253" t="s">
        <v>4918</v>
      </c>
      <c r="AU253">
        <v>2010</v>
      </c>
      <c r="AV253">
        <v>115</v>
      </c>
      <c r="AW253" t="s">
        <v>74</v>
      </c>
      <c r="AX253" t="s">
        <v>74</v>
      </c>
      <c r="AY253" t="s">
        <v>74</v>
      </c>
      <c r="AZ253" t="s">
        <v>74</v>
      </c>
      <c r="BA253" t="s">
        <v>74</v>
      </c>
      <c r="BB253" t="s">
        <v>74</v>
      </c>
      <c r="BC253" t="s">
        <v>74</v>
      </c>
      <c r="BD253" t="s">
        <v>4936</v>
      </c>
      <c r="BE253" t="s">
        <v>4937</v>
      </c>
      <c r="BF253" t="str">
        <f>HYPERLINK("http://dx.doi.org/10.1029/2010JA015369","http://dx.doi.org/10.1029/2010JA015369")</f>
        <v>http://dx.doi.org/10.1029/2010JA015369</v>
      </c>
      <c r="BG253" t="s">
        <v>74</v>
      </c>
      <c r="BH253" t="s">
        <v>74</v>
      </c>
      <c r="BI253">
        <v>10</v>
      </c>
      <c r="BJ253" t="s">
        <v>1805</v>
      </c>
      <c r="BK253" t="s">
        <v>100</v>
      </c>
      <c r="BL253" t="s">
        <v>1805</v>
      </c>
      <c r="BM253" t="s">
        <v>4938</v>
      </c>
      <c r="BN253" t="s">
        <v>74</v>
      </c>
      <c r="BO253" t="s">
        <v>394</v>
      </c>
      <c r="BP253" t="s">
        <v>74</v>
      </c>
      <c r="BQ253" t="s">
        <v>74</v>
      </c>
      <c r="BR253" t="s">
        <v>104</v>
      </c>
      <c r="BS253" t="s">
        <v>4939</v>
      </c>
      <c r="BT253" t="str">
        <f>HYPERLINK("https%3A%2F%2Fwww.webofscience.com%2Fwos%2Fwoscc%2Ffull-record%2FWOS:000282017100001","View Full Record in Web of Science")</f>
        <v>View Full Record in Web of Science</v>
      </c>
    </row>
    <row r="254" spans="1:72" x14ac:dyDescent="0.15">
      <c r="A254" t="s">
        <v>72</v>
      </c>
      <c r="B254" t="s">
        <v>4940</v>
      </c>
      <c r="C254" t="s">
        <v>74</v>
      </c>
      <c r="D254" t="s">
        <v>74</v>
      </c>
      <c r="E254" t="s">
        <v>74</v>
      </c>
      <c r="F254" t="s">
        <v>4941</v>
      </c>
      <c r="G254" t="s">
        <v>74</v>
      </c>
      <c r="H254" t="s">
        <v>74</v>
      </c>
      <c r="I254" t="s">
        <v>4942</v>
      </c>
      <c r="J254" t="s">
        <v>4943</v>
      </c>
      <c r="K254" t="s">
        <v>74</v>
      </c>
      <c r="L254" t="s">
        <v>74</v>
      </c>
      <c r="M254" t="s">
        <v>78</v>
      </c>
      <c r="N254" t="s">
        <v>79</v>
      </c>
      <c r="O254" t="s">
        <v>74</v>
      </c>
      <c r="P254" t="s">
        <v>74</v>
      </c>
      <c r="Q254" t="s">
        <v>74</v>
      </c>
      <c r="R254" t="s">
        <v>74</v>
      </c>
      <c r="S254" t="s">
        <v>74</v>
      </c>
      <c r="T254" t="s">
        <v>4944</v>
      </c>
      <c r="U254" t="s">
        <v>4945</v>
      </c>
      <c r="V254" t="s">
        <v>4946</v>
      </c>
      <c r="W254" t="s">
        <v>4947</v>
      </c>
      <c r="X254" t="s">
        <v>4948</v>
      </c>
      <c r="Y254" t="s">
        <v>4949</v>
      </c>
      <c r="Z254" t="s">
        <v>4950</v>
      </c>
      <c r="AA254" t="s">
        <v>4951</v>
      </c>
      <c r="AB254" t="s">
        <v>4952</v>
      </c>
      <c r="AC254" t="s">
        <v>4953</v>
      </c>
      <c r="AD254" t="s">
        <v>4954</v>
      </c>
      <c r="AE254" t="s">
        <v>4955</v>
      </c>
      <c r="AF254" t="s">
        <v>74</v>
      </c>
      <c r="AG254">
        <v>69</v>
      </c>
      <c r="AH254">
        <v>45</v>
      </c>
      <c r="AI254">
        <v>46</v>
      </c>
      <c r="AJ254">
        <v>1</v>
      </c>
      <c r="AK254">
        <v>18</v>
      </c>
      <c r="AL254" t="s">
        <v>1038</v>
      </c>
      <c r="AM254" t="s">
        <v>550</v>
      </c>
      <c r="AN254" t="s">
        <v>1039</v>
      </c>
      <c r="AO254" t="s">
        <v>4956</v>
      </c>
      <c r="AP254" t="s">
        <v>4957</v>
      </c>
      <c r="AQ254" t="s">
        <v>74</v>
      </c>
      <c r="AR254" t="s">
        <v>4958</v>
      </c>
      <c r="AS254" t="s">
        <v>4959</v>
      </c>
      <c r="AT254" t="s">
        <v>4918</v>
      </c>
      <c r="AU254">
        <v>2010</v>
      </c>
      <c r="AV254">
        <v>275</v>
      </c>
      <c r="AW254" t="s">
        <v>3822</v>
      </c>
      <c r="AX254" t="s">
        <v>74</v>
      </c>
      <c r="AY254" t="s">
        <v>74</v>
      </c>
      <c r="AZ254" t="s">
        <v>74</v>
      </c>
      <c r="BA254" t="s">
        <v>74</v>
      </c>
      <c r="BB254">
        <v>110</v>
      </c>
      <c r="BC254">
        <v>126</v>
      </c>
      <c r="BD254" t="s">
        <v>74</v>
      </c>
      <c r="BE254" t="s">
        <v>4960</v>
      </c>
      <c r="BF254" t="str">
        <f>HYPERLINK("http://dx.doi.org/10.1016/j.margeo.2010.05.001","http://dx.doi.org/10.1016/j.margeo.2010.05.001")</f>
        <v>http://dx.doi.org/10.1016/j.margeo.2010.05.001</v>
      </c>
      <c r="BG254" t="s">
        <v>74</v>
      </c>
      <c r="BH254" t="s">
        <v>74</v>
      </c>
      <c r="BI254">
        <v>17</v>
      </c>
      <c r="BJ254" t="s">
        <v>4961</v>
      </c>
      <c r="BK254" t="s">
        <v>100</v>
      </c>
      <c r="BL254" t="s">
        <v>4962</v>
      </c>
      <c r="BM254" t="s">
        <v>4963</v>
      </c>
      <c r="BN254" t="s">
        <v>74</v>
      </c>
      <c r="BO254" t="s">
        <v>1025</v>
      </c>
      <c r="BP254" t="s">
        <v>74</v>
      </c>
      <c r="BQ254" t="s">
        <v>74</v>
      </c>
      <c r="BR254" t="s">
        <v>104</v>
      </c>
      <c r="BS254" t="s">
        <v>4964</v>
      </c>
      <c r="BT254" t="str">
        <f>HYPERLINK("https%3A%2F%2Fwww.webofscience.com%2Fwos%2Fwoscc%2Ffull-record%2FWOS:000281217300008","View Full Record in Web of Science")</f>
        <v>View Full Record in Web of Science</v>
      </c>
    </row>
    <row r="255" spans="1:72" x14ac:dyDescent="0.15">
      <c r="A255" t="s">
        <v>72</v>
      </c>
      <c r="B255" t="s">
        <v>4965</v>
      </c>
      <c r="C255" t="s">
        <v>74</v>
      </c>
      <c r="D255" t="s">
        <v>74</v>
      </c>
      <c r="E255" t="s">
        <v>74</v>
      </c>
      <c r="F255" t="s">
        <v>4966</v>
      </c>
      <c r="G255" t="s">
        <v>74</v>
      </c>
      <c r="H255" t="s">
        <v>74</v>
      </c>
      <c r="I255" t="s">
        <v>4967</v>
      </c>
      <c r="J255" t="s">
        <v>4943</v>
      </c>
      <c r="K255" t="s">
        <v>74</v>
      </c>
      <c r="L255" t="s">
        <v>74</v>
      </c>
      <c r="M255" t="s">
        <v>78</v>
      </c>
      <c r="N255" t="s">
        <v>79</v>
      </c>
      <c r="O255" t="s">
        <v>74</v>
      </c>
      <c r="P255" t="s">
        <v>74</v>
      </c>
      <c r="Q255" t="s">
        <v>74</v>
      </c>
      <c r="R255" t="s">
        <v>74</v>
      </c>
      <c r="S255" t="s">
        <v>74</v>
      </c>
      <c r="T255" t="s">
        <v>4968</v>
      </c>
      <c r="U255" t="s">
        <v>4969</v>
      </c>
      <c r="V255" t="s">
        <v>4970</v>
      </c>
      <c r="W255" t="s">
        <v>4971</v>
      </c>
      <c r="X255" t="s">
        <v>3694</v>
      </c>
      <c r="Y255" t="s">
        <v>4972</v>
      </c>
      <c r="Z255" t="s">
        <v>4973</v>
      </c>
      <c r="AA255" t="s">
        <v>4974</v>
      </c>
      <c r="AB255" t="s">
        <v>74</v>
      </c>
      <c r="AC255" t="s">
        <v>4975</v>
      </c>
      <c r="AD255" t="s">
        <v>4975</v>
      </c>
      <c r="AE255" t="s">
        <v>4976</v>
      </c>
      <c r="AF255" t="s">
        <v>74</v>
      </c>
      <c r="AG255">
        <v>20</v>
      </c>
      <c r="AH255">
        <v>28</v>
      </c>
      <c r="AI255">
        <v>34</v>
      </c>
      <c r="AJ255">
        <v>1</v>
      </c>
      <c r="AK255">
        <v>12</v>
      </c>
      <c r="AL255" t="s">
        <v>549</v>
      </c>
      <c r="AM255" t="s">
        <v>550</v>
      </c>
      <c r="AN255" t="s">
        <v>551</v>
      </c>
      <c r="AO255" t="s">
        <v>4956</v>
      </c>
      <c r="AP255" t="s">
        <v>74</v>
      </c>
      <c r="AQ255" t="s">
        <v>74</v>
      </c>
      <c r="AR255" t="s">
        <v>4958</v>
      </c>
      <c r="AS255" t="s">
        <v>4959</v>
      </c>
      <c r="AT255" t="s">
        <v>4918</v>
      </c>
      <c r="AU255">
        <v>2010</v>
      </c>
      <c r="AV255">
        <v>275</v>
      </c>
      <c r="AW255" t="s">
        <v>3822</v>
      </c>
      <c r="AX255" t="s">
        <v>74</v>
      </c>
      <c r="AY255" t="s">
        <v>74</v>
      </c>
      <c r="AZ255" t="s">
        <v>74</v>
      </c>
      <c r="BA255" t="s">
        <v>74</v>
      </c>
      <c r="BB255">
        <v>278</v>
      </c>
      <c r="BC255">
        <v>282</v>
      </c>
      <c r="BD255" t="s">
        <v>74</v>
      </c>
      <c r="BE255" t="s">
        <v>4977</v>
      </c>
      <c r="BF255" t="str">
        <f>HYPERLINK("http://dx.doi.org/10.1016/j.margeo.2010.05.004","http://dx.doi.org/10.1016/j.margeo.2010.05.004")</f>
        <v>http://dx.doi.org/10.1016/j.margeo.2010.05.004</v>
      </c>
      <c r="BG255" t="s">
        <v>74</v>
      </c>
      <c r="BH255" t="s">
        <v>74</v>
      </c>
      <c r="BI255">
        <v>5</v>
      </c>
      <c r="BJ255" t="s">
        <v>4961</v>
      </c>
      <c r="BK255" t="s">
        <v>100</v>
      </c>
      <c r="BL255" t="s">
        <v>4962</v>
      </c>
      <c r="BM255" t="s">
        <v>4963</v>
      </c>
      <c r="BN255" t="s">
        <v>74</v>
      </c>
      <c r="BO255" t="s">
        <v>134</v>
      </c>
      <c r="BP255" t="s">
        <v>74</v>
      </c>
      <c r="BQ255" t="s">
        <v>74</v>
      </c>
      <c r="BR255" t="s">
        <v>104</v>
      </c>
      <c r="BS255" t="s">
        <v>4978</v>
      </c>
      <c r="BT255" t="str">
        <f>HYPERLINK("https%3A%2F%2Fwww.webofscience.com%2Fwos%2Fwoscc%2Ffull-record%2FWOS:000281217300021","View Full Record in Web of Science")</f>
        <v>View Full Record in Web of Science</v>
      </c>
    </row>
    <row r="256" spans="1:72" x14ac:dyDescent="0.15">
      <c r="A256" t="s">
        <v>72</v>
      </c>
      <c r="B256" t="s">
        <v>4979</v>
      </c>
      <c r="C256" t="s">
        <v>74</v>
      </c>
      <c r="D256" t="s">
        <v>74</v>
      </c>
      <c r="E256" t="s">
        <v>74</v>
      </c>
      <c r="F256" t="s">
        <v>4980</v>
      </c>
      <c r="G256" t="s">
        <v>74</v>
      </c>
      <c r="H256" t="s">
        <v>74</v>
      </c>
      <c r="I256" t="s">
        <v>4981</v>
      </c>
      <c r="J256" t="s">
        <v>4982</v>
      </c>
      <c r="K256" t="s">
        <v>74</v>
      </c>
      <c r="L256" t="s">
        <v>74</v>
      </c>
      <c r="M256" t="s">
        <v>78</v>
      </c>
      <c r="N256" t="s">
        <v>79</v>
      </c>
      <c r="O256" t="s">
        <v>74</v>
      </c>
      <c r="P256" t="s">
        <v>74</v>
      </c>
      <c r="Q256" t="s">
        <v>74</v>
      </c>
      <c r="R256" t="s">
        <v>74</v>
      </c>
      <c r="S256" t="s">
        <v>74</v>
      </c>
      <c r="T256" t="s">
        <v>4983</v>
      </c>
      <c r="U256" t="s">
        <v>4984</v>
      </c>
      <c r="V256" t="s">
        <v>4985</v>
      </c>
      <c r="W256" t="s">
        <v>4986</v>
      </c>
      <c r="X256" t="s">
        <v>4987</v>
      </c>
      <c r="Y256" t="s">
        <v>4988</v>
      </c>
      <c r="Z256" t="s">
        <v>4989</v>
      </c>
      <c r="AA256" t="s">
        <v>4990</v>
      </c>
      <c r="AB256" t="s">
        <v>4991</v>
      </c>
      <c r="AC256" t="s">
        <v>4992</v>
      </c>
      <c r="AD256" t="s">
        <v>4993</v>
      </c>
      <c r="AE256" t="s">
        <v>4994</v>
      </c>
      <c r="AF256" t="s">
        <v>74</v>
      </c>
      <c r="AG256">
        <v>43</v>
      </c>
      <c r="AH256">
        <v>30</v>
      </c>
      <c r="AI256">
        <v>31</v>
      </c>
      <c r="AJ256">
        <v>0</v>
      </c>
      <c r="AK256">
        <v>13</v>
      </c>
      <c r="AL256" t="s">
        <v>1038</v>
      </c>
      <c r="AM256" t="s">
        <v>550</v>
      </c>
      <c r="AN256" t="s">
        <v>1039</v>
      </c>
      <c r="AO256" t="s">
        <v>4995</v>
      </c>
      <c r="AP256" t="s">
        <v>4996</v>
      </c>
      <c r="AQ256" t="s">
        <v>74</v>
      </c>
      <c r="AR256" t="s">
        <v>4997</v>
      </c>
      <c r="AS256" t="s">
        <v>4998</v>
      </c>
      <c r="AT256" t="s">
        <v>4918</v>
      </c>
      <c r="AU256">
        <v>2010</v>
      </c>
      <c r="AV256">
        <v>408</v>
      </c>
      <c r="AW256">
        <v>20</v>
      </c>
      <c r="AX256" t="s">
        <v>74</v>
      </c>
      <c r="AY256" t="s">
        <v>74</v>
      </c>
      <c r="AZ256" t="s">
        <v>74</v>
      </c>
      <c r="BA256" t="s">
        <v>74</v>
      </c>
      <c r="BB256">
        <v>4665</v>
      </c>
      <c r="BC256">
        <v>4671</v>
      </c>
      <c r="BD256" t="s">
        <v>74</v>
      </c>
      <c r="BE256" t="s">
        <v>4999</v>
      </c>
      <c r="BF256" t="str">
        <f>HYPERLINK("http://dx.doi.org/10.1016/j.scitotenv.2010.07.012","http://dx.doi.org/10.1016/j.scitotenv.2010.07.012")</f>
        <v>http://dx.doi.org/10.1016/j.scitotenv.2010.07.012</v>
      </c>
      <c r="BG256" t="s">
        <v>74</v>
      </c>
      <c r="BH256" t="s">
        <v>74</v>
      </c>
      <c r="BI256">
        <v>7</v>
      </c>
      <c r="BJ256" t="s">
        <v>3562</v>
      </c>
      <c r="BK256" t="s">
        <v>100</v>
      </c>
      <c r="BL256" t="s">
        <v>2797</v>
      </c>
      <c r="BM256" t="s">
        <v>5000</v>
      </c>
      <c r="BN256">
        <v>20656326</v>
      </c>
      <c r="BO256" t="s">
        <v>74</v>
      </c>
      <c r="BP256" t="s">
        <v>74</v>
      </c>
      <c r="BQ256" t="s">
        <v>74</v>
      </c>
      <c r="BR256" t="s">
        <v>104</v>
      </c>
      <c r="BS256" t="s">
        <v>5001</v>
      </c>
      <c r="BT256" t="str">
        <f>HYPERLINK("https%3A%2F%2Fwww.webofscience.com%2Fwos%2Fwoscc%2Ffull-record%2FWOS:000281931500046","View Full Record in Web of Science")</f>
        <v>View Full Record in Web of Science</v>
      </c>
    </row>
    <row r="257" spans="1:72" x14ac:dyDescent="0.15">
      <c r="A257" t="s">
        <v>72</v>
      </c>
      <c r="B257" t="s">
        <v>5002</v>
      </c>
      <c r="C257" t="s">
        <v>74</v>
      </c>
      <c r="D257" t="s">
        <v>74</v>
      </c>
      <c r="E257" t="s">
        <v>74</v>
      </c>
      <c r="F257" t="s">
        <v>5003</v>
      </c>
      <c r="G257" t="s">
        <v>74</v>
      </c>
      <c r="H257" t="s">
        <v>74</v>
      </c>
      <c r="I257" t="s">
        <v>5004</v>
      </c>
      <c r="J257" t="s">
        <v>5005</v>
      </c>
      <c r="K257" t="s">
        <v>74</v>
      </c>
      <c r="L257" t="s">
        <v>74</v>
      </c>
      <c r="M257" t="s">
        <v>78</v>
      </c>
      <c r="N257" t="s">
        <v>79</v>
      </c>
      <c r="O257" t="s">
        <v>74</v>
      </c>
      <c r="P257" t="s">
        <v>74</v>
      </c>
      <c r="Q257" t="s">
        <v>74</v>
      </c>
      <c r="R257" t="s">
        <v>74</v>
      </c>
      <c r="S257" t="s">
        <v>74</v>
      </c>
      <c r="T257" t="s">
        <v>5006</v>
      </c>
      <c r="U257" t="s">
        <v>5007</v>
      </c>
      <c r="V257" t="s">
        <v>5008</v>
      </c>
      <c r="W257" t="s">
        <v>5009</v>
      </c>
      <c r="X257" t="s">
        <v>5010</v>
      </c>
      <c r="Y257" t="s">
        <v>5011</v>
      </c>
      <c r="Z257" t="s">
        <v>5012</v>
      </c>
      <c r="AA257" t="s">
        <v>5013</v>
      </c>
      <c r="AB257" t="s">
        <v>5014</v>
      </c>
      <c r="AC257" t="s">
        <v>5015</v>
      </c>
      <c r="AD257" t="s">
        <v>5016</v>
      </c>
      <c r="AE257" t="s">
        <v>5017</v>
      </c>
      <c r="AF257" t="s">
        <v>74</v>
      </c>
      <c r="AG257">
        <v>36</v>
      </c>
      <c r="AH257">
        <v>11</v>
      </c>
      <c r="AI257">
        <v>13</v>
      </c>
      <c r="AJ257">
        <v>1</v>
      </c>
      <c r="AK257">
        <v>28</v>
      </c>
      <c r="AL257" t="s">
        <v>549</v>
      </c>
      <c r="AM257" t="s">
        <v>550</v>
      </c>
      <c r="AN257" t="s">
        <v>551</v>
      </c>
      <c r="AO257" t="s">
        <v>5018</v>
      </c>
      <c r="AP257" t="s">
        <v>74</v>
      </c>
      <c r="AQ257" t="s">
        <v>74</v>
      </c>
      <c r="AR257" t="s">
        <v>5005</v>
      </c>
      <c r="AS257" t="s">
        <v>5019</v>
      </c>
      <c r="AT257" t="s">
        <v>4918</v>
      </c>
      <c r="AU257">
        <v>2010</v>
      </c>
      <c r="AV257">
        <v>82</v>
      </c>
      <c r="AW257">
        <v>4</v>
      </c>
      <c r="AX257" t="s">
        <v>74</v>
      </c>
      <c r="AY257" t="s">
        <v>74</v>
      </c>
      <c r="AZ257" t="s">
        <v>74</v>
      </c>
      <c r="BA257" t="s">
        <v>74</v>
      </c>
      <c r="BB257">
        <v>1505</v>
      </c>
      <c r="BC257">
        <v>1510</v>
      </c>
      <c r="BD257" t="s">
        <v>74</v>
      </c>
      <c r="BE257" t="s">
        <v>5020</v>
      </c>
      <c r="BF257" t="str">
        <f>HYPERLINK("http://dx.doi.org/10.1016/j.talanta.2010.07.032","http://dx.doi.org/10.1016/j.talanta.2010.07.032")</f>
        <v>http://dx.doi.org/10.1016/j.talanta.2010.07.032</v>
      </c>
      <c r="BG257" t="s">
        <v>74</v>
      </c>
      <c r="BH257" t="s">
        <v>74</v>
      </c>
      <c r="BI257">
        <v>6</v>
      </c>
      <c r="BJ257" t="s">
        <v>391</v>
      </c>
      <c r="BK257" t="s">
        <v>100</v>
      </c>
      <c r="BL257" t="s">
        <v>392</v>
      </c>
      <c r="BM257" t="s">
        <v>5021</v>
      </c>
      <c r="BN257">
        <v>20801364</v>
      </c>
      <c r="BO257" t="s">
        <v>74</v>
      </c>
      <c r="BP257" t="s">
        <v>74</v>
      </c>
      <c r="BQ257" t="s">
        <v>74</v>
      </c>
      <c r="BR257" t="s">
        <v>104</v>
      </c>
      <c r="BS257" t="s">
        <v>5022</v>
      </c>
      <c r="BT257" t="str">
        <f>HYPERLINK("https%3A%2F%2Fwww.webofscience.com%2Fwos%2Fwoscc%2Ffull-record%2FWOS:000282480500063","View Full Record in Web of Science")</f>
        <v>View Full Record in Web of Science</v>
      </c>
    </row>
    <row r="258" spans="1:72" x14ac:dyDescent="0.15">
      <c r="A258" t="s">
        <v>72</v>
      </c>
      <c r="B258" t="s">
        <v>5023</v>
      </c>
      <c r="C258" t="s">
        <v>74</v>
      </c>
      <c r="D258" t="s">
        <v>74</v>
      </c>
      <c r="E258" t="s">
        <v>74</v>
      </c>
      <c r="F258" t="s">
        <v>5024</v>
      </c>
      <c r="G258" t="s">
        <v>74</v>
      </c>
      <c r="H258" t="s">
        <v>74</v>
      </c>
      <c r="I258" t="s">
        <v>5025</v>
      </c>
      <c r="J258" t="s">
        <v>4634</v>
      </c>
      <c r="K258" t="s">
        <v>74</v>
      </c>
      <c r="L258" t="s">
        <v>74</v>
      </c>
      <c r="M258" t="s">
        <v>78</v>
      </c>
      <c r="N258" t="s">
        <v>79</v>
      </c>
      <c r="O258" t="s">
        <v>74</v>
      </c>
      <c r="P258" t="s">
        <v>74</v>
      </c>
      <c r="Q258" t="s">
        <v>74</v>
      </c>
      <c r="R258" t="s">
        <v>74</v>
      </c>
      <c r="S258" t="s">
        <v>74</v>
      </c>
      <c r="T258" t="s">
        <v>74</v>
      </c>
      <c r="U258" t="s">
        <v>5026</v>
      </c>
      <c r="V258" t="s">
        <v>5027</v>
      </c>
      <c r="W258" t="s">
        <v>5028</v>
      </c>
      <c r="X258" t="s">
        <v>5029</v>
      </c>
      <c r="Y258" t="s">
        <v>5030</v>
      </c>
      <c r="Z258" t="s">
        <v>5031</v>
      </c>
      <c r="AA258" t="s">
        <v>74</v>
      </c>
      <c r="AB258" t="s">
        <v>74</v>
      </c>
      <c r="AC258" t="s">
        <v>5032</v>
      </c>
      <c r="AD258" t="s">
        <v>5033</v>
      </c>
      <c r="AE258" t="s">
        <v>5034</v>
      </c>
      <c r="AF258" t="s">
        <v>74</v>
      </c>
      <c r="AG258">
        <v>43</v>
      </c>
      <c r="AH258">
        <v>48</v>
      </c>
      <c r="AI258">
        <v>51</v>
      </c>
      <c r="AJ258">
        <v>0</v>
      </c>
      <c r="AK258">
        <v>1</v>
      </c>
      <c r="AL258" t="s">
        <v>1521</v>
      </c>
      <c r="AM258" t="s">
        <v>1522</v>
      </c>
      <c r="AN258" t="s">
        <v>1523</v>
      </c>
      <c r="AO258" t="s">
        <v>4646</v>
      </c>
      <c r="AP258" t="s">
        <v>4647</v>
      </c>
      <c r="AQ258" t="s">
        <v>74</v>
      </c>
      <c r="AR258" t="s">
        <v>4648</v>
      </c>
      <c r="AS258" t="s">
        <v>4649</v>
      </c>
      <c r="AT258" t="s">
        <v>5035</v>
      </c>
      <c r="AU258">
        <v>2010</v>
      </c>
      <c r="AV258">
        <v>115</v>
      </c>
      <c r="AW258" t="s">
        <v>74</v>
      </c>
      <c r="AX258" t="s">
        <v>74</v>
      </c>
      <c r="AY258" t="s">
        <v>74</v>
      </c>
      <c r="AZ258" t="s">
        <v>74</v>
      </c>
      <c r="BA258" t="s">
        <v>74</v>
      </c>
      <c r="BB258" t="s">
        <v>74</v>
      </c>
      <c r="BC258" t="s">
        <v>74</v>
      </c>
      <c r="BD258" t="s">
        <v>5036</v>
      </c>
      <c r="BE258" t="s">
        <v>5037</v>
      </c>
      <c r="BF258" t="str">
        <f>HYPERLINK("http://dx.doi.org/10.1029/2010JA015323","http://dx.doi.org/10.1029/2010JA015323")</f>
        <v>http://dx.doi.org/10.1029/2010JA015323</v>
      </c>
      <c r="BG258" t="s">
        <v>74</v>
      </c>
      <c r="BH258" t="s">
        <v>74</v>
      </c>
      <c r="BI258">
        <v>14</v>
      </c>
      <c r="BJ258" t="s">
        <v>1805</v>
      </c>
      <c r="BK258" t="s">
        <v>100</v>
      </c>
      <c r="BL258" t="s">
        <v>1805</v>
      </c>
      <c r="BM258" t="s">
        <v>5038</v>
      </c>
      <c r="BN258" t="s">
        <v>74</v>
      </c>
      <c r="BO258" t="s">
        <v>631</v>
      </c>
      <c r="BP258" t="s">
        <v>74</v>
      </c>
      <c r="BQ258" t="s">
        <v>74</v>
      </c>
      <c r="BR258" t="s">
        <v>104</v>
      </c>
      <c r="BS258" t="s">
        <v>5039</v>
      </c>
      <c r="BT258" t="str">
        <f>HYPERLINK("https%3A%2F%2Fwww.webofscience.com%2Fwos%2Fwoscc%2Ffull-record%2FWOS:000282016900006","View Full Record in Web of Science")</f>
        <v>View Full Record in Web of Science</v>
      </c>
    </row>
    <row r="259" spans="1:72" x14ac:dyDescent="0.15">
      <c r="A259" t="s">
        <v>72</v>
      </c>
      <c r="B259" t="s">
        <v>5040</v>
      </c>
      <c r="C259" t="s">
        <v>74</v>
      </c>
      <c r="D259" t="s">
        <v>74</v>
      </c>
      <c r="E259" t="s">
        <v>74</v>
      </c>
      <c r="F259" t="s">
        <v>5041</v>
      </c>
      <c r="G259" t="s">
        <v>74</v>
      </c>
      <c r="H259" t="s">
        <v>74</v>
      </c>
      <c r="I259" t="s">
        <v>5042</v>
      </c>
      <c r="J259" t="s">
        <v>1509</v>
      </c>
      <c r="K259" t="s">
        <v>74</v>
      </c>
      <c r="L259" t="s">
        <v>74</v>
      </c>
      <c r="M259" t="s">
        <v>78</v>
      </c>
      <c r="N259" t="s">
        <v>79</v>
      </c>
      <c r="O259" t="s">
        <v>74</v>
      </c>
      <c r="P259" t="s">
        <v>74</v>
      </c>
      <c r="Q259" t="s">
        <v>74</v>
      </c>
      <c r="R259" t="s">
        <v>74</v>
      </c>
      <c r="S259" t="s">
        <v>74</v>
      </c>
      <c r="T259" t="s">
        <v>74</v>
      </c>
      <c r="U259" t="s">
        <v>5043</v>
      </c>
      <c r="V259" t="s">
        <v>5044</v>
      </c>
      <c r="W259" t="s">
        <v>5045</v>
      </c>
      <c r="X259" t="s">
        <v>5046</v>
      </c>
      <c r="Y259" t="s">
        <v>5047</v>
      </c>
      <c r="Z259" t="s">
        <v>5048</v>
      </c>
      <c r="AA259" t="s">
        <v>5049</v>
      </c>
      <c r="AB259" t="s">
        <v>5050</v>
      </c>
      <c r="AC259" t="s">
        <v>5051</v>
      </c>
      <c r="AD259" t="s">
        <v>5052</v>
      </c>
      <c r="AE259" t="s">
        <v>5053</v>
      </c>
      <c r="AF259" t="s">
        <v>74</v>
      </c>
      <c r="AG259">
        <v>38</v>
      </c>
      <c r="AH259">
        <v>28</v>
      </c>
      <c r="AI259">
        <v>28</v>
      </c>
      <c r="AJ259">
        <v>0</v>
      </c>
      <c r="AK259">
        <v>4</v>
      </c>
      <c r="AL259" t="s">
        <v>1521</v>
      </c>
      <c r="AM259" t="s">
        <v>1522</v>
      </c>
      <c r="AN259" t="s">
        <v>1523</v>
      </c>
      <c r="AO259" t="s">
        <v>74</v>
      </c>
      <c r="AP259" t="s">
        <v>1525</v>
      </c>
      <c r="AQ259" t="s">
        <v>74</v>
      </c>
      <c r="AR259" t="s">
        <v>1526</v>
      </c>
      <c r="AS259" t="s">
        <v>1527</v>
      </c>
      <c r="AT259" t="s">
        <v>5054</v>
      </c>
      <c r="AU259">
        <v>2010</v>
      </c>
      <c r="AV259">
        <v>115</v>
      </c>
      <c r="AW259" t="s">
        <v>74</v>
      </c>
      <c r="AX259" t="s">
        <v>74</v>
      </c>
      <c r="AY259" t="s">
        <v>74</v>
      </c>
      <c r="AZ259" t="s">
        <v>74</v>
      </c>
      <c r="BA259" t="s">
        <v>74</v>
      </c>
      <c r="BB259" t="s">
        <v>74</v>
      </c>
      <c r="BC259" t="s">
        <v>74</v>
      </c>
      <c r="BD259" t="s">
        <v>5055</v>
      </c>
      <c r="BE259" t="s">
        <v>5056</v>
      </c>
      <c r="BF259" t="str">
        <f>HYPERLINK("http://dx.doi.org/10.1029/2010JC006161","http://dx.doi.org/10.1029/2010JC006161")</f>
        <v>http://dx.doi.org/10.1029/2010JC006161</v>
      </c>
      <c r="BG259" t="s">
        <v>74</v>
      </c>
      <c r="BH259" t="s">
        <v>74</v>
      </c>
      <c r="BI259">
        <v>15</v>
      </c>
      <c r="BJ259" t="s">
        <v>1531</v>
      </c>
      <c r="BK259" t="s">
        <v>100</v>
      </c>
      <c r="BL259" t="s">
        <v>1531</v>
      </c>
      <c r="BM259" t="s">
        <v>5057</v>
      </c>
      <c r="BN259" t="s">
        <v>74</v>
      </c>
      <c r="BO259" t="s">
        <v>1987</v>
      </c>
      <c r="BP259" t="s">
        <v>74</v>
      </c>
      <c r="BQ259" t="s">
        <v>74</v>
      </c>
      <c r="BR259" t="s">
        <v>104</v>
      </c>
      <c r="BS259" t="s">
        <v>5058</v>
      </c>
      <c r="BT259" t="str">
        <f>HYPERLINK("https%3A%2F%2Fwww.webofscience.com%2Fwos%2Fwoscc%2Ffull-record%2FWOS:000281756700001","View Full Record in Web of Science")</f>
        <v>View Full Record in Web of Science</v>
      </c>
    </row>
    <row r="260" spans="1:72" x14ac:dyDescent="0.15">
      <c r="A260" t="s">
        <v>72</v>
      </c>
      <c r="B260" t="s">
        <v>5059</v>
      </c>
      <c r="C260" t="s">
        <v>74</v>
      </c>
      <c r="D260" t="s">
        <v>74</v>
      </c>
      <c r="E260" t="s">
        <v>74</v>
      </c>
      <c r="F260" t="s">
        <v>5060</v>
      </c>
      <c r="G260" t="s">
        <v>74</v>
      </c>
      <c r="H260" t="s">
        <v>74</v>
      </c>
      <c r="I260" t="s">
        <v>5061</v>
      </c>
      <c r="J260" t="s">
        <v>1538</v>
      </c>
      <c r="K260" t="s">
        <v>74</v>
      </c>
      <c r="L260" t="s">
        <v>74</v>
      </c>
      <c r="M260" t="s">
        <v>78</v>
      </c>
      <c r="N260" t="s">
        <v>79</v>
      </c>
      <c r="O260" t="s">
        <v>74</v>
      </c>
      <c r="P260" t="s">
        <v>74</v>
      </c>
      <c r="Q260" t="s">
        <v>74</v>
      </c>
      <c r="R260" t="s">
        <v>74</v>
      </c>
      <c r="S260" t="s">
        <v>74</v>
      </c>
      <c r="T260" t="s">
        <v>74</v>
      </c>
      <c r="U260" t="s">
        <v>5062</v>
      </c>
      <c r="V260" t="s">
        <v>5063</v>
      </c>
      <c r="W260" t="s">
        <v>5064</v>
      </c>
      <c r="X260" t="s">
        <v>5065</v>
      </c>
      <c r="Y260" t="s">
        <v>5066</v>
      </c>
      <c r="Z260" t="s">
        <v>5067</v>
      </c>
      <c r="AA260" t="s">
        <v>5068</v>
      </c>
      <c r="AB260" t="s">
        <v>5069</v>
      </c>
      <c r="AC260" t="s">
        <v>5070</v>
      </c>
      <c r="AD260" t="s">
        <v>1402</v>
      </c>
      <c r="AE260" t="s">
        <v>5071</v>
      </c>
      <c r="AF260" t="s">
        <v>74</v>
      </c>
      <c r="AG260">
        <v>22</v>
      </c>
      <c r="AH260">
        <v>25</v>
      </c>
      <c r="AI260">
        <v>27</v>
      </c>
      <c r="AJ260">
        <v>0</v>
      </c>
      <c r="AK260">
        <v>7</v>
      </c>
      <c r="AL260" t="s">
        <v>1521</v>
      </c>
      <c r="AM260" t="s">
        <v>1522</v>
      </c>
      <c r="AN260" t="s">
        <v>1523</v>
      </c>
      <c r="AO260" t="s">
        <v>1550</v>
      </c>
      <c r="AP260" t="s">
        <v>74</v>
      </c>
      <c r="AQ260" t="s">
        <v>74</v>
      </c>
      <c r="AR260" t="s">
        <v>1552</v>
      </c>
      <c r="AS260" t="s">
        <v>1553</v>
      </c>
      <c r="AT260" t="s">
        <v>5072</v>
      </c>
      <c r="AU260">
        <v>2010</v>
      </c>
      <c r="AV260">
        <v>37</v>
      </c>
      <c r="AW260" t="s">
        <v>74</v>
      </c>
      <c r="AX260" t="s">
        <v>74</v>
      </c>
      <c r="AY260" t="s">
        <v>74</v>
      </c>
      <c r="AZ260" t="s">
        <v>74</v>
      </c>
      <c r="BA260" t="s">
        <v>74</v>
      </c>
      <c r="BB260" t="s">
        <v>74</v>
      </c>
      <c r="BC260" t="s">
        <v>74</v>
      </c>
      <c r="BD260" t="s">
        <v>5073</v>
      </c>
      <c r="BE260" t="s">
        <v>5074</v>
      </c>
      <c r="BF260" t="str">
        <f>HYPERLINK("http://dx.doi.org/10.1029/2010GL044347","http://dx.doi.org/10.1029/2010GL044347")</f>
        <v>http://dx.doi.org/10.1029/2010GL044347</v>
      </c>
      <c r="BG260" t="s">
        <v>74</v>
      </c>
      <c r="BH260" t="s">
        <v>74</v>
      </c>
      <c r="BI260">
        <v>5</v>
      </c>
      <c r="BJ260" t="s">
        <v>1194</v>
      </c>
      <c r="BK260" t="s">
        <v>100</v>
      </c>
      <c r="BL260" t="s">
        <v>807</v>
      </c>
      <c r="BM260" t="s">
        <v>5075</v>
      </c>
      <c r="BN260" t="s">
        <v>74</v>
      </c>
      <c r="BO260" t="s">
        <v>74</v>
      </c>
      <c r="BP260" t="s">
        <v>74</v>
      </c>
      <c r="BQ260" t="s">
        <v>74</v>
      </c>
      <c r="BR260" t="s">
        <v>104</v>
      </c>
      <c r="BS260" t="s">
        <v>5076</v>
      </c>
      <c r="BT260" t="str">
        <f>HYPERLINK("https%3A%2F%2Fwww.webofscience.com%2Fwos%2Fwoscc%2Ffull-record%2FWOS:000281754700001","View Full Record in Web of Science")</f>
        <v>View Full Record in Web of Science</v>
      </c>
    </row>
    <row r="261" spans="1:72" x14ac:dyDescent="0.15">
      <c r="A261" t="s">
        <v>72</v>
      </c>
      <c r="B261" t="s">
        <v>5077</v>
      </c>
      <c r="C261" t="s">
        <v>74</v>
      </c>
      <c r="D261" t="s">
        <v>74</v>
      </c>
      <c r="E261" t="s">
        <v>74</v>
      </c>
      <c r="F261" t="s">
        <v>5078</v>
      </c>
      <c r="G261" t="s">
        <v>74</v>
      </c>
      <c r="H261" t="s">
        <v>74</v>
      </c>
      <c r="I261" t="s">
        <v>5079</v>
      </c>
      <c r="J261" t="s">
        <v>1762</v>
      </c>
      <c r="K261" t="s">
        <v>74</v>
      </c>
      <c r="L261" t="s">
        <v>74</v>
      </c>
      <c r="M261" t="s">
        <v>78</v>
      </c>
      <c r="N261" t="s">
        <v>239</v>
      </c>
      <c r="O261" t="s">
        <v>74</v>
      </c>
      <c r="P261" t="s">
        <v>74</v>
      </c>
      <c r="Q261" t="s">
        <v>74</v>
      </c>
      <c r="R261" t="s">
        <v>74</v>
      </c>
      <c r="S261" t="s">
        <v>74</v>
      </c>
      <c r="T261" t="s">
        <v>74</v>
      </c>
      <c r="U261" t="s">
        <v>74</v>
      </c>
      <c r="V261" t="s">
        <v>74</v>
      </c>
      <c r="W261" t="s">
        <v>74</v>
      </c>
      <c r="X261" t="s">
        <v>74</v>
      </c>
      <c r="Y261" t="s">
        <v>74</v>
      </c>
      <c r="Z261" t="s">
        <v>74</v>
      </c>
      <c r="AA261" t="s">
        <v>74</v>
      </c>
      <c r="AB261" t="s">
        <v>74</v>
      </c>
      <c r="AC261" t="s">
        <v>74</v>
      </c>
      <c r="AD261" t="s">
        <v>74</v>
      </c>
      <c r="AE261" t="s">
        <v>74</v>
      </c>
      <c r="AF261" t="s">
        <v>74</v>
      </c>
      <c r="AG261">
        <v>1</v>
      </c>
      <c r="AH261">
        <v>0</v>
      </c>
      <c r="AI261">
        <v>0</v>
      </c>
      <c r="AJ261">
        <v>0</v>
      </c>
      <c r="AK261">
        <v>8</v>
      </c>
      <c r="AL261" t="s">
        <v>1774</v>
      </c>
      <c r="AM261" t="s">
        <v>1598</v>
      </c>
      <c r="AN261" t="s">
        <v>1775</v>
      </c>
      <c r="AO261" t="s">
        <v>1776</v>
      </c>
      <c r="AP261" t="s">
        <v>74</v>
      </c>
      <c r="AQ261" t="s">
        <v>74</v>
      </c>
      <c r="AR261" t="s">
        <v>1762</v>
      </c>
      <c r="AS261" t="s">
        <v>1777</v>
      </c>
      <c r="AT261" t="s">
        <v>5072</v>
      </c>
      <c r="AU261">
        <v>2010</v>
      </c>
      <c r="AV261">
        <v>467</v>
      </c>
      <c r="AW261">
        <v>7312</v>
      </c>
      <c r="AX261" t="s">
        <v>74</v>
      </c>
      <c r="AY261" t="s">
        <v>74</v>
      </c>
      <c r="AZ261" t="s">
        <v>74</v>
      </c>
      <c r="BA261" t="s">
        <v>74</v>
      </c>
      <c r="BB261">
        <v>145</v>
      </c>
      <c r="BC261">
        <v>145</v>
      </c>
      <c r="BD261" t="s">
        <v>74</v>
      </c>
      <c r="BE261" t="s">
        <v>5080</v>
      </c>
      <c r="BF261" t="str">
        <f>HYPERLINK("http://dx.doi.org/10.1038/467145b","http://dx.doi.org/10.1038/467145b")</f>
        <v>http://dx.doi.org/10.1038/467145b</v>
      </c>
      <c r="BG261" t="s">
        <v>74</v>
      </c>
      <c r="BH261" t="s">
        <v>74</v>
      </c>
      <c r="BI261">
        <v>1</v>
      </c>
      <c r="BJ261" t="s">
        <v>444</v>
      </c>
      <c r="BK261" t="s">
        <v>100</v>
      </c>
      <c r="BL261" t="s">
        <v>445</v>
      </c>
      <c r="BM261" t="s">
        <v>5081</v>
      </c>
      <c r="BN261" t="s">
        <v>74</v>
      </c>
      <c r="BO261" t="s">
        <v>394</v>
      </c>
      <c r="BP261" t="s">
        <v>74</v>
      </c>
      <c r="BQ261" t="s">
        <v>74</v>
      </c>
      <c r="BR261" t="s">
        <v>104</v>
      </c>
      <c r="BS261" t="s">
        <v>5082</v>
      </c>
      <c r="BT261" t="str">
        <f>HYPERLINK("https%3A%2F%2Fwww.webofscience.com%2Fwos%2Fwoscc%2Ffull-record%2FWOS:000281616300010","View Full Record in Web of Science")</f>
        <v>View Full Record in Web of Science</v>
      </c>
    </row>
    <row r="262" spans="1:72" x14ac:dyDescent="0.15">
      <c r="A262" t="s">
        <v>72</v>
      </c>
      <c r="B262" t="s">
        <v>5083</v>
      </c>
      <c r="C262" t="s">
        <v>74</v>
      </c>
      <c r="D262" t="s">
        <v>74</v>
      </c>
      <c r="E262" t="s">
        <v>74</v>
      </c>
      <c r="F262" t="s">
        <v>5084</v>
      </c>
      <c r="G262" t="s">
        <v>74</v>
      </c>
      <c r="H262" t="s">
        <v>74</v>
      </c>
      <c r="I262" t="s">
        <v>5085</v>
      </c>
      <c r="J262" t="s">
        <v>1762</v>
      </c>
      <c r="K262" t="s">
        <v>74</v>
      </c>
      <c r="L262" t="s">
        <v>74</v>
      </c>
      <c r="M262" t="s">
        <v>78</v>
      </c>
      <c r="N262" t="s">
        <v>79</v>
      </c>
      <c r="O262" t="s">
        <v>74</v>
      </c>
      <c r="P262" t="s">
        <v>74</v>
      </c>
      <c r="Q262" t="s">
        <v>74</v>
      </c>
      <c r="R262" t="s">
        <v>74</v>
      </c>
      <c r="S262" t="s">
        <v>74</v>
      </c>
      <c r="T262" t="s">
        <v>74</v>
      </c>
      <c r="U262" t="s">
        <v>5086</v>
      </c>
      <c r="V262" t="s">
        <v>5087</v>
      </c>
      <c r="W262" t="s">
        <v>5088</v>
      </c>
      <c r="X262" t="s">
        <v>5089</v>
      </c>
      <c r="Y262" t="s">
        <v>5090</v>
      </c>
      <c r="Z262" t="s">
        <v>5091</v>
      </c>
      <c r="AA262" t="s">
        <v>3975</v>
      </c>
      <c r="AB262" t="s">
        <v>3976</v>
      </c>
      <c r="AC262" t="s">
        <v>5092</v>
      </c>
      <c r="AD262" t="s">
        <v>5093</v>
      </c>
      <c r="AE262" t="s">
        <v>5094</v>
      </c>
      <c r="AF262" t="s">
        <v>74</v>
      </c>
      <c r="AG262">
        <v>30</v>
      </c>
      <c r="AH262">
        <v>133</v>
      </c>
      <c r="AI262">
        <v>148</v>
      </c>
      <c r="AJ262">
        <v>1</v>
      </c>
      <c r="AK262">
        <v>76</v>
      </c>
      <c r="AL262" t="s">
        <v>1774</v>
      </c>
      <c r="AM262" t="s">
        <v>1598</v>
      </c>
      <c r="AN262" t="s">
        <v>1775</v>
      </c>
      <c r="AO262" t="s">
        <v>1776</v>
      </c>
      <c r="AP262" t="s">
        <v>74</v>
      </c>
      <c r="AQ262" t="s">
        <v>74</v>
      </c>
      <c r="AR262" t="s">
        <v>1762</v>
      </c>
      <c r="AS262" t="s">
        <v>1777</v>
      </c>
      <c r="AT262" t="s">
        <v>5072</v>
      </c>
      <c r="AU262">
        <v>2010</v>
      </c>
      <c r="AV262">
        <v>467</v>
      </c>
      <c r="AW262">
        <v>7312</v>
      </c>
      <c r="AX262" t="s">
        <v>74</v>
      </c>
      <c r="AY262" t="s">
        <v>74</v>
      </c>
      <c r="AZ262" t="s">
        <v>74</v>
      </c>
      <c r="BA262" t="s">
        <v>74</v>
      </c>
      <c r="BB262">
        <v>194</v>
      </c>
      <c r="BC262">
        <v>197</v>
      </c>
      <c r="BD262" t="s">
        <v>74</v>
      </c>
      <c r="BE262" t="s">
        <v>5095</v>
      </c>
      <c r="BF262" t="str">
        <f>HYPERLINK("http://dx.doi.org/10.1038/nature09313","http://dx.doi.org/10.1038/nature09313")</f>
        <v>http://dx.doi.org/10.1038/nature09313</v>
      </c>
      <c r="BG262" t="s">
        <v>74</v>
      </c>
      <c r="BH262" t="s">
        <v>74</v>
      </c>
      <c r="BI262">
        <v>4</v>
      </c>
      <c r="BJ262" t="s">
        <v>444</v>
      </c>
      <c r="BK262" t="s">
        <v>100</v>
      </c>
      <c r="BL262" t="s">
        <v>445</v>
      </c>
      <c r="BM262" t="s">
        <v>5081</v>
      </c>
      <c r="BN262">
        <v>20829791</v>
      </c>
      <c r="BO262" t="s">
        <v>74</v>
      </c>
      <c r="BP262" t="s">
        <v>74</v>
      </c>
      <c r="BQ262" t="s">
        <v>74</v>
      </c>
      <c r="BR262" t="s">
        <v>104</v>
      </c>
      <c r="BS262" t="s">
        <v>5096</v>
      </c>
      <c r="BT262" t="str">
        <f>HYPERLINK("https%3A%2F%2Fwww.webofscience.com%2Fwos%2Fwoscc%2Ffull-record%2FWOS:000281616300031","View Full Record in Web of Science")</f>
        <v>View Full Record in Web of Science</v>
      </c>
    </row>
    <row r="263" spans="1:72" x14ac:dyDescent="0.15">
      <c r="A263" t="s">
        <v>72</v>
      </c>
      <c r="B263" t="s">
        <v>5097</v>
      </c>
      <c r="C263" t="s">
        <v>74</v>
      </c>
      <c r="D263" t="s">
        <v>74</v>
      </c>
      <c r="E263" t="s">
        <v>74</v>
      </c>
      <c r="F263" t="s">
        <v>5098</v>
      </c>
      <c r="G263" t="s">
        <v>74</v>
      </c>
      <c r="H263" t="s">
        <v>74</v>
      </c>
      <c r="I263" t="s">
        <v>5099</v>
      </c>
      <c r="J263" t="s">
        <v>1509</v>
      </c>
      <c r="K263" t="s">
        <v>74</v>
      </c>
      <c r="L263" t="s">
        <v>74</v>
      </c>
      <c r="M263" t="s">
        <v>78</v>
      </c>
      <c r="N263" t="s">
        <v>79</v>
      </c>
      <c r="O263" t="s">
        <v>74</v>
      </c>
      <c r="P263" t="s">
        <v>74</v>
      </c>
      <c r="Q263" t="s">
        <v>74</v>
      </c>
      <c r="R263" t="s">
        <v>74</v>
      </c>
      <c r="S263" t="s">
        <v>74</v>
      </c>
      <c r="T263" t="s">
        <v>74</v>
      </c>
      <c r="U263" t="s">
        <v>5100</v>
      </c>
      <c r="V263" t="s">
        <v>5101</v>
      </c>
      <c r="W263" t="s">
        <v>5102</v>
      </c>
      <c r="X263" t="s">
        <v>5103</v>
      </c>
      <c r="Y263" t="s">
        <v>5104</v>
      </c>
      <c r="Z263" t="s">
        <v>5105</v>
      </c>
      <c r="AA263" t="s">
        <v>5106</v>
      </c>
      <c r="AB263" t="s">
        <v>5107</v>
      </c>
      <c r="AC263" t="s">
        <v>5108</v>
      </c>
      <c r="AD263" t="s">
        <v>5109</v>
      </c>
      <c r="AE263" t="s">
        <v>5110</v>
      </c>
      <c r="AF263" t="s">
        <v>74</v>
      </c>
      <c r="AG263">
        <v>57</v>
      </c>
      <c r="AH263">
        <v>24</v>
      </c>
      <c r="AI263">
        <v>27</v>
      </c>
      <c r="AJ263">
        <v>1</v>
      </c>
      <c r="AK263">
        <v>48</v>
      </c>
      <c r="AL263" t="s">
        <v>1521</v>
      </c>
      <c r="AM263" t="s">
        <v>1522</v>
      </c>
      <c r="AN263" t="s">
        <v>1523</v>
      </c>
      <c r="AO263" t="s">
        <v>1524</v>
      </c>
      <c r="AP263" t="s">
        <v>1525</v>
      </c>
      <c r="AQ263" t="s">
        <v>74</v>
      </c>
      <c r="AR263" t="s">
        <v>1526</v>
      </c>
      <c r="AS263" t="s">
        <v>1527</v>
      </c>
      <c r="AT263" t="s">
        <v>5111</v>
      </c>
      <c r="AU263">
        <v>2010</v>
      </c>
      <c r="AV263">
        <v>115</v>
      </c>
      <c r="AW263" t="s">
        <v>74</v>
      </c>
      <c r="AX263" t="s">
        <v>74</v>
      </c>
      <c r="AY263" t="s">
        <v>74</v>
      </c>
      <c r="AZ263" t="s">
        <v>74</v>
      </c>
      <c r="BA263" t="s">
        <v>74</v>
      </c>
      <c r="BB263" t="s">
        <v>74</v>
      </c>
      <c r="BC263" t="s">
        <v>74</v>
      </c>
      <c r="BD263" t="s">
        <v>5112</v>
      </c>
      <c r="BE263" t="s">
        <v>5113</v>
      </c>
      <c r="BF263" t="str">
        <f>HYPERLINK("http://dx.doi.org/10.1029/2009JC005661","http://dx.doi.org/10.1029/2009JC005661")</f>
        <v>http://dx.doi.org/10.1029/2009JC005661</v>
      </c>
      <c r="BG263" t="s">
        <v>74</v>
      </c>
      <c r="BH263" t="s">
        <v>74</v>
      </c>
      <c r="BI263">
        <v>14</v>
      </c>
      <c r="BJ263" t="s">
        <v>1531</v>
      </c>
      <c r="BK263" t="s">
        <v>100</v>
      </c>
      <c r="BL263" t="s">
        <v>1531</v>
      </c>
      <c r="BM263" t="s">
        <v>5114</v>
      </c>
      <c r="BN263" t="s">
        <v>74</v>
      </c>
      <c r="BO263" t="s">
        <v>394</v>
      </c>
      <c r="BP263" t="s">
        <v>74</v>
      </c>
      <c r="BQ263" t="s">
        <v>74</v>
      </c>
      <c r="BR263" t="s">
        <v>104</v>
      </c>
      <c r="BS263" t="s">
        <v>5115</v>
      </c>
      <c r="BT263" t="str">
        <f>HYPERLINK("https%3A%2F%2Fwww.webofscience.com%2Fwos%2Fwoscc%2Ffull-record%2FWOS:000281632700002","View Full Record in Web of Science")</f>
        <v>View Full Record in Web of Science</v>
      </c>
    </row>
    <row r="264" spans="1:72" x14ac:dyDescent="0.15">
      <c r="A264" t="s">
        <v>72</v>
      </c>
      <c r="B264" t="s">
        <v>5116</v>
      </c>
      <c r="C264" t="s">
        <v>74</v>
      </c>
      <c r="D264" t="s">
        <v>74</v>
      </c>
      <c r="E264" t="s">
        <v>74</v>
      </c>
      <c r="F264" t="s">
        <v>5117</v>
      </c>
      <c r="G264" t="s">
        <v>74</v>
      </c>
      <c r="H264" t="s">
        <v>74</v>
      </c>
      <c r="I264" t="s">
        <v>5118</v>
      </c>
      <c r="J264" t="s">
        <v>1702</v>
      </c>
      <c r="K264" t="s">
        <v>74</v>
      </c>
      <c r="L264" t="s">
        <v>74</v>
      </c>
      <c r="M264" t="s">
        <v>78</v>
      </c>
      <c r="N264" t="s">
        <v>79</v>
      </c>
      <c r="O264" t="s">
        <v>74</v>
      </c>
      <c r="P264" t="s">
        <v>74</v>
      </c>
      <c r="Q264" t="s">
        <v>74</v>
      </c>
      <c r="R264" t="s">
        <v>74</v>
      </c>
      <c r="S264" t="s">
        <v>74</v>
      </c>
      <c r="T264" t="s">
        <v>74</v>
      </c>
      <c r="U264" t="s">
        <v>5119</v>
      </c>
      <c r="V264" t="s">
        <v>5120</v>
      </c>
      <c r="W264" t="s">
        <v>5121</v>
      </c>
      <c r="X264" t="s">
        <v>5122</v>
      </c>
      <c r="Y264" t="s">
        <v>5123</v>
      </c>
      <c r="Z264" t="s">
        <v>5124</v>
      </c>
      <c r="AA264" t="s">
        <v>5125</v>
      </c>
      <c r="AB264" t="s">
        <v>5126</v>
      </c>
      <c r="AC264" t="s">
        <v>5127</v>
      </c>
      <c r="AD264" t="s">
        <v>5127</v>
      </c>
      <c r="AE264" t="s">
        <v>5128</v>
      </c>
      <c r="AF264" t="s">
        <v>74</v>
      </c>
      <c r="AG264">
        <v>36</v>
      </c>
      <c r="AH264">
        <v>13</v>
      </c>
      <c r="AI264">
        <v>13</v>
      </c>
      <c r="AJ264">
        <v>0</v>
      </c>
      <c r="AK264">
        <v>4</v>
      </c>
      <c r="AL264" t="s">
        <v>1521</v>
      </c>
      <c r="AM264" t="s">
        <v>1522</v>
      </c>
      <c r="AN264" t="s">
        <v>1523</v>
      </c>
      <c r="AO264" t="s">
        <v>1714</v>
      </c>
      <c r="AP264" t="s">
        <v>74</v>
      </c>
      <c r="AQ264" t="s">
        <v>74</v>
      </c>
      <c r="AR264" t="s">
        <v>1716</v>
      </c>
      <c r="AS264" t="s">
        <v>1717</v>
      </c>
      <c r="AT264" t="s">
        <v>5129</v>
      </c>
      <c r="AU264">
        <v>2010</v>
      </c>
      <c r="AV264">
        <v>115</v>
      </c>
      <c r="AW264" t="s">
        <v>74</v>
      </c>
      <c r="AX264" t="s">
        <v>74</v>
      </c>
      <c r="AY264" t="s">
        <v>74</v>
      </c>
      <c r="AZ264" t="s">
        <v>74</v>
      </c>
      <c r="BA264" t="s">
        <v>74</v>
      </c>
      <c r="BB264" t="s">
        <v>74</v>
      </c>
      <c r="BC264" t="s">
        <v>74</v>
      </c>
      <c r="BD264" t="s">
        <v>5130</v>
      </c>
      <c r="BE264" t="s">
        <v>5131</v>
      </c>
      <c r="BF264" t="str">
        <f>HYPERLINK("http://dx.doi.org/10.1029/2009JD013481","http://dx.doi.org/10.1029/2009JD013481")</f>
        <v>http://dx.doi.org/10.1029/2009JD013481</v>
      </c>
      <c r="BG264" t="s">
        <v>74</v>
      </c>
      <c r="BH264" t="s">
        <v>74</v>
      </c>
      <c r="BI264">
        <v>15</v>
      </c>
      <c r="BJ264" t="s">
        <v>319</v>
      </c>
      <c r="BK264" t="s">
        <v>100</v>
      </c>
      <c r="BL264" t="s">
        <v>319</v>
      </c>
      <c r="BM264" t="s">
        <v>5132</v>
      </c>
      <c r="BN264" t="s">
        <v>74</v>
      </c>
      <c r="BO264" t="s">
        <v>74</v>
      </c>
      <c r="BP264" t="s">
        <v>74</v>
      </c>
      <c r="BQ264" t="s">
        <v>74</v>
      </c>
      <c r="BR264" t="s">
        <v>104</v>
      </c>
      <c r="BS264" t="s">
        <v>5133</v>
      </c>
      <c r="BT264" t="str">
        <f>HYPERLINK("https%3A%2F%2Fwww.webofscience.com%2Fwos%2Fwoscc%2Ffull-record%2FWOS:000281574000005","View Full Record in Web of Science")</f>
        <v>View Full Record in Web of Science</v>
      </c>
    </row>
    <row r="265" spans="1:72" x14ac:dyDescent="0.15">
      <c r="A265" t="s">
        <v>72</v>
      </c>
      <c r="B265" t="s">
        <v>5134</v>
      </c>
      <c r="C265" t="s">
        <v>74</v>
      </c>
      <c r="D265" t="s">
        <v>74</v>
      </c>
      <c r="E265" t="s">
        <v>74</v>
      </c>
      <c r="F265" t="s">
        <v>5135</v>
      </c>
      <c r="G265" t="s">
        <v>74</v>
      </c>
      <c r="H265" t="s">
        <v>74</v>
      </c>
      <c r="I265" t="s">
        <v>5136</v>
      </c>
      <c r="J265" t="s">
        <v>4560</v>
      </c>
      <c r="K265" t="s">
        <v>74</v>
      </c>
      <c r="L265" t="s">
        <v>74</v>
      </c>
      <c r="M265" t="s">
        <v>78</v>
      </c>
      <c r="N265" t="s">
        <v>79</v>
      </c>
      <c r="O265" t="s">
        <v>74</v>
      </c>
      <c r="P265" t="s">
        <v>74</v>
      </c>
      <c r="Q265" t="s">
        <v>74</v>
      </c>
      <c r="R265" t="s">
        <v>74</v>
      </c>
      <c r="S265" t="s">
        <v>74</v>
      </c>
      <c r="T265" t="s">
        <v>74</v>
      </c>
      <c r="U265" t="s">
        <v>5137</v>
      </c>
      <c r="V265" t="s">
        <v>5138</v>
      </c>
      <c r="W265" t="s">
        <v>5139</v>
      </c>
      <c r="X265" t="s">
        <v>5140</v>
      </c>
      <c r="Y265" t="s">
        <v>5141</v>
      </c>
      <c r="Z265" t="s">
        <v>5142</v>
      </c>
      <c r="AA265" t="s">
        <v>5143</v>
      </c>
      <c r="AB265" t="s">
        <v>5144</v>
      </c>
      <c r="AC265" t="s">
        <v>5145</v>
      </c>
      <c r="AD265" t="s">
        <v>5146</v>
      </c>
      <c r="AE265" t="s">
        <v>5147</v>
      </c>
      <c r="AF265" t="s">
        <v>74</v>
      </c>
      <c r="AG265">
        <v>101</v>
      </c>
      <c r="AH265">
        <v>22</v>
      </c>
      <c r="AI265">
        <v>28</v>
      </c>
      <c r="AJ265">
        <v>1</v>
      </c>
      <c r="AK265">
        <v>17</v>
      </c>
      <c r="AL265" t="s">
        <v>1521</v>
      </c>
      <c r="AM265" t="s">
        <v>1522</v>
      </c>
      <c r="AN265" t="s">
        <v>1523</v>
      </c>
      <c r="AO265" t="s">
        <v>4571</v>
      </c>
      <c r="AP265" t="s">
        <v>4572</v>
      </c>
      <c r="AQ265" t="s">
        <v>74</v>
      </c>
      <c r="AR265" t="s">
        <v>4560</v>
      </c>
      <c r="AS265" t="s">
        <v>4573</v>
      </c>
      <c r="AT265" t="s">
        <v>5129</v>
      </c>
      <c r="AU265">
        <v>2010</v>
      </c>
      <c r="AV265">
        <v>25</v>
      </c>
      <c r="AW265" t="s">
        <v>74</v>
      </c>
      <c r="AX265" t="s">
        <v>74</v>
      </c>
      <c r="AY265" t="s">
        <v>74</v>
      </c>
      <c r="AZ265" t="s">
        <v>74</v>
      </c>
      <c r="BA265" t="s">
        <v>74</v>
      </c>
      <c r="BB265" t="s">
        <v>74</v>
      </c>
      <c r="BC265" t="s">
        <v>74</v>
      </c>
      <c r="BD265" t="s">
        <v>5148</v>
      </c>
      <c r="BE265" t="s">
        <v>5149</v>
      </c>
      <c r="BF265" t="str">
        <f>HYPERLINK("http://dx.doi.org/10.1029/2010PA001932","http://dx.doi.org/10.1029/2010PA001932")</f>
        <v>http://dx.doi.org/10.1029/2010PA001932</v>
      </c>
      <c r="BG265" t="s">
        <v>74</v>
      </c>
      <c r="BH265" t="s">
        <v>74</v>
      </c>
      <c r="BI265">
        <v>15</v>
      </c>
      <c r="BJ265" t="s">
        <v>4576</v>
      </c>
      <c r="BK265" t="s">
        <v>100</v>
      </c>
      <c r="BL265" t="s">
        <v>4577</v>
      </c>
      <c r="BM265" t="s">
        <v>5150</v>
      </c>
      <c r="BN265" t="s">
        <v>74</v>
      </c>
      <c r="BO265" t="s">
        <v>74</v>
      </c>
      <c r="BP265" t="s">
        <v>74</v>
      </c>
      <c r="BQ265" t="s">
        <v>74</v>
      </c>
      <c r="BR265" t="s">
        <v>104</v>
      </c>
      <c r="BS265" t="s">
        <v>5151</v>
      </c>
      <c r="BT265" t="str">
        <f>HYPERLINK("https%3A%2F%2Fwww.webofscience.com%2Fwos%2Fwoscc%2Ffull-record%2FWOS:000281633900001","View Full Record in Web of Science")</f>
        <v>View Full Record in Web of Science</v>
      </c>
    </row>
    <row r="266" spans="1:72" x14ac:dyDescent="0.15">
      <c r="A266" t="s">
        <v>72</v>
      </c>
      <c r="B266" t="s">
        <v>5152</v>
      </c>
      <c r="C266" t="s">
        <v>74</v>
      </c>
      <c r="D266" t="s">
        <v>74</v>
      </c>
      <c r="E266" t="s">
        <v>74</v>
      </c>
      <c r="F266" t="s">
        <v>5153</v>
      </c>
      <c r="G266" t="s">
        <v>74</v>
      </c>
      <c r="H266" t="s">
        <v>74</v>
      </c>
      <c r="I266" t="s">
        <v>5154</v>
      </c>
      <c r="J266" t="s">
        <v>4716</v>
      </c>
      <c r="K266" t="s">
        <v>74</v>
      </c>
      <c r="L266" t="s">
        <v>74</v>
      </c>
      <c r="M266" t="s">
        <v>78</v>
      </c>
      <c r="N266" t="s">
        <v>5155</v>
      </c>
      <c r="O266" t="s">
        <v>74</v>
      </c>
      <c r="P266" t="s">
        <v>74</v>
      </c>
      <c r="Q266" t="s">
        <v>74</v>
      </c>
      <c r="R266" t="s">
        <v>74</v>
      </c>
      <c r="S266" t="s">
        <v>74</v>
      </c>
      <c r="T266" t="s">
        <v>74</v>
      </c>
      <c r="U266" t="s">
        <v>74</v>
      </c>
      <c r="V266" t="s">
        <v>74</v>
      </c>
      <c r="W266" t="s">
        <v>5156</v>
      </c>
      <c r="X266" t="s">
        <v>5157</v>
      </c>
      <c r="Y266" t="s">
        <v>5158</v>
      </c>
      <c r="Z266" t="s">
        <v>5159</v>
      </c>
      <c r="AA266" t="s">
        <v>5160</v>
      </c>
      <c r="AB266" t="s">
        <v>5161</v>
      </c>
      <c r="AC266" t="s">
        <v>74</v>
      </c>
      <c r="AD266" t="s">
        <v>74</v>
      </c>
      <c r="AE266" t="s">
        <v>74</v>
      </c>
      <c r="AF266" t="s">
        <v>74</v>
      </c>
      <c r="AG266">
        <v>6</v>
      </c>
      <c r="AH266">
        <v>5</v>
      </c>
      <c r="AI266">
        <v>7</v>
      </c>
      <c r="AJ266">
        <v>1</v>
      </c>
      <c r="AK266">
        <v>35</v>
      </c>
      <c r="AL266" t="s">
        <v>4717</v>
      </c>
      <c r="AM266" t="s">
        <v>1522</v>
      </c>
      <c r="AN266" t="s">
        <v>4718</v>
      </c>
      <c r="AO266" t="s">
        <v>4719</v>
      </c>
      <c r="AP266" t="s">
        <v>5162</v>
      </c>
      <c r="AQ266" t="s">
        <v>74</v>
      </c>
      <c r="AR266" t="s">
        <v>4716</v>
      </c>
      <c r="AS266" t="s">
        <v>4720</v>
      </c>
      <c r="AT266" t="s">
        <v>5129</v>
      </c>
      <c r="AU266">
        <v>2010</v>
      </c>
      <c r="AV266">
        <v>329</v>
      </c>
      <c r="AW266">
        <v>5996</v>
      </c>
      <c r="AX266" t="s">
        <v>74</v>
      </c>
      <c r="AY266" t="s">
        <v>74</v>
      </c>
      <c r="AZ266" t="s">
        <v>74</v>
      </c>
      <c r="BA266" t="s">
        <v>74</v>
      </c>
      <c r="BB266">
        <v>1146</v>
      </c>
      <c r="BC266">
        <v>1147</v>
      </c>
      <c r="BD266" t="s">
        <v>74</v>
      </c>
      <c r="BE266" t="s">
        <v>5163</v>
      </c>
      <c r="BF266" t="str">
        <f>HYPERLINK("http://dx.doi.org/10.1126/science.329.5996.1146-b","http://dx.doi.org/10.1126/science.329.5996.1146-b")</f>
        <v>http://dx.doi.org/10.1126/science.329.5996.1146-b</v>
      </c>
      <c r="BG266" t="s">
        <v>74</v>
      </c>
      <c r="BH266" t="s">
        <v>74</v>
      </c>
      <c r="BI266">
        <v>2</v>
      </c>
      <c r="BJ266" t="s">
        <v>444</v>
      </c>
      <c r="BK266" t="s">
        <v>100</v>
      </c>
      <c r="BL266" t="s">
        <v>445</v>
      </c>
      <c r="BM266" t="s">
        <v>5164</v>
      </c>
      <c r="BN266">
        <v>20813934</v>
      </c>
      <c r="BO266" t="s">
        <v>74</v>
      </c>
      <c r="BP266" t="s">
        <v>74</v>
      </c>
      <c r="BQ266" t="s">
        <v>74</v>
      </c>
      <c r="BR266" t="s">
        <v>104</v>
      </c>
      <c r="BS266" t="s">
        <v>5165</v>
      </c>
      <c r="BT266" t="str">
        <f>HYPERLINK("https%3A%2F%2Fwww.webofscience.com%2Fwos%2Fwoscc%2Ffull-record%2FWOS:000281485600011","View Full Record in Web of Science")</f>
        <v>View Full Record in Web of Science</v>
      </c>
    </row>
    <row r="267" spans="1:72" x14ac:dyDescent="0.15">
      <c r="A267" t="s">
        <v>72</v>
      </c>
      <c r="B267" t="s">
        <v>5166</v>
      </c>
      <c r="C267" t="s">
        <v>74</v>
      </c>
      <c r="D267" t="s">
        <v>74</v>
      </c>
      <c r="E267" t="s">
        <v>74</v>
      </c>
      <c r="F267" t="s">
        <v>5167</v>
      </c>
      <c r="G267" t="s">
        <v>74</v>
      </c>
      <c r="H267" t="s">
        <v>74</v>
      </c>
      <c r="I267" t="s">
        <v>5168</v>
      </c>
      <c r="J267" t="s">
        <v>4634</v>
      </c>
      <c r="K267" t="s">
        <v>74</v>
      </c>
      <c r="L267" t="s">
        <v>74</v>
      </c>
      <c r="M267" t="s">
        <v>78</v>
      </c>
      <c r="N267" t="s">
        <v>220</v>
      </c>
      <c r="O267" t="s">
        <v>74</v>
      </c>
      <c r="P267" t="s">
        <v>74</v>
      </c>
      <c r="Q267" t="s">
        <v>74</v>
      </c>
      <c r="R267" t="s">
        <v>74</v>
      </c>
      <c r="S267" t="s">
        <v>74</v>
      </c>
      <c r="T267" t="s">
        <v>74</v>
      </c>
      <c r="U267" t="s">
        <v>74</v>
      </c>
      <c r="V267" t="s">
        <v>5169</v>
      </c>
      <c r="W267" t="s">
        <v>5170</v>
      </c>
      <c r="X267" t="s">
        <v>5171</v>
      </c>
      <c r="Y267" t="s">
        <v>5172</v>
      </c>
      <c r="Z267" t="s">
        <v>5173</v>
      </c>
      <c r="AA267" t="s">
        <v>5174</v>
      </c>
      <c r="AB267" t="s">
        <v>5175</v>
      </c>
      <c r="AC267" t="s">
        <v>2016</v>
      </c>
      <c r="AD267" t="s">
        <v>337</v>
      </c>
      <c r="AE267" t="s">
        <v>74</v>
      </c>
      <c r="AF267" t="s">
        <v>74</v>
      </c>
      <c r="AG267">
        <v>2</v>
      </c>
      <c r="AH267">
        <v>13</v>
      </c>
      <c r="AI267">
        <v>13</v>
      </c>
      <c r="AJ267">
        <v>0</v>
      </c>
      <c r="AK267">
        <v>10</v>
      </c>
      <c r="AL267" t="s">
        <v>1521</v>
      </c>
      <c r="AM267" t="s">
        <v>1522</v>
      </c>
      <c r="AN267" t="s">
        <v>1523</v>
      </c>
      <c r="AO267" t="s">
        <v>4646</v>
      </c>
      <c r="AP267" t="s">
        <v>4647</v>
      </c>
      <c r="AQ267" t="s">
        <v>74</v>
      </c>
      <c r="AR267" t="s">
        <v>4648</v>
      </c>
      <c r="AS267" t="s">
        <v>4649</v>
      </c>
      <c r="AT267" t="s">
        <v>5176</v>
      </c>
      <c r="AU267">
        <v>2010</v>
      </c>
      <c r="AV267">
        <v>115</v>
      </c>
      <c r="AW267" t="s">
        <v>74</v>
      </c>
      <c r="AX267" t="s">
        <v>74</v>
      </c>
      <c r="AY267" t="s">
        <v>74</v>
      </c>
      <c r="AZ267" t="s">
        <v>74</v>
      </c>
      <c r="BA267" t="s">
        <v>74</v>
      </c>
      <c r="BB267" t="s">
        <v>74</v>
      </c>
      <c r="BC267" t="s">
        <v>74</v>
      </c>
      <c r="BD267" t="s">
        <v>5177</v>
      </c>
      <c r="BE267" t="s">
        <v>5178</v>
      </c>
      <c r="BF267" t="str">
        <f>HYPERLINK("http://dx.doi.org/10.1029/2010JA015870","http://dx.doi.org/10.1029/2010JA015870")</f>
        <v>http://dx.doi.org/10.1029/2010JA015870</v>
      </c>
      <c r="BG267" t="s">
        <v>74</v>
      </c>
      <c r="BH267" t="s">
        <v>74</v>
      </c>
      <c r="BI267">
        <v>1</v>
      </c>
      <c r="BJ267" t="s">
        <v>1805</v>
      </c>
      <c r="BK267" t="s">
        <v>100</v>
      </c>
      <c r="BL267" t="s">
        <v>1805</v>
      </c>
      <c r="BM267" t="s">
        <v>5179</v>
      </c>
      <c r="BN267" t="s">
        <v>74</v>
      </c>
      <c r="BO267" t="s">
        <v>5180</v>
      </c>
      <c r="BP267" t="s">
        <v>74</v>
      </c>
      <c r="BQ267" t="s">
        <v>74</v>
      </c>
      <c r="BR267" t="s">
        <v>104</v>
      </c>
      <c r="BS267" t="s">
        <v>5181</v>
      </c>
      <c r="BT267" t="str">
        <f>HYPERLINK("https%3A%2F%2Fwww.webofscience.com%2Fwos%2Fwoscc%2Ffull-record%2FWOS:000281633600007","View Full Record in Web of Science")</f>
        <v>View Full Record in Web of Science</v>
      </c>
    </row>
    <row r="268" spans="1:72" x14ac:dyDescent="0.15">
      <c r="A268" t="s">
        <v>72</v>
      </c>
      <c r="B268" t="s">
        <v>5077</v>
      </c>
      <c r="C268" t="s">
        <v>74</v>
      </c>
      <c r="D268" t="s">
        <v>74</v>
      </c>
      <c r="E268" t="s">
        <v>74</v>
      </c>
      <c r="F268" t="s">
        <v>5078</v>
      </c>
      <c r="G268" t="s">
        <v>74</v>
      </c>
      <c r="H268" t="s">
        <v>74</v>
      </c>
      <c r="I268" t="s">
        <v>5182</v>
      </c>
      <c r="J268" t="s">
        <v>1762</v>
      </c>
      <c r="K268" t="s">
        <v>74</v>
      </c>
      <c r="L268" t="s">
        <v>74</v>
      </c>
      <c r="M268" t="s">
        <v>78</v>
      </c>
      <c r="N268" t="s">
        <v>3953</v>
      </c>
      <c r="O268" t="s">
        <v>74</v>
      </c>
      <c r="P268" t="s">
        <v>74</v>
      </c>
      <c r="Q268" t="s">
        <v>74</v>
      </c>
      <c r="R268" t="s">
        <v>74</v>
      </c>
      <c r="S268" t="s">
        <v>74</v>
      </c>
      <c r="T268" t="s">
        <v>74</v>
      </c>
      <c r="U268" t="s">
        <v>74</v>
      </c>
      <c r="V268" t="s">
        <v>74</v>
      </c>
      <c r="W268" t="s">
        <v>74</v>
      </c>
      <c r="X268" t="s">
        <v>74</v>
      </c>
      <c r="Y268" t="s">
        <v>74</v>
      </c>
      <c r="Z268" t="s">
        <v>74</v>
      </c>
      <c r="AA268" t="s">
        <v>74</v>
      </c>
      <c r="AB268" t="s">
        <v>74</v>
      </c>
      <c r="AC268" t="s">
        <v>74</v>
      </c>
      <c r="AD268" t="s">
        <v>74</v>
      </c>
      <c r="AE268" t="s">
        <v>74</v>
      </c>
      <c r="AF268" t="s">
        <v>74</v>
      </c>
      <c r="AG268">
        <v>0</v>
      </c>
      <c r="AH268">
        <v>26</v>
      </c>
      <c r="AI268">
        <v>28</v>
      </c>
      <c r="AJ268">
        <v>0</v>
      </c>
      <c r="AK268">
        <v>19</v>
      </c>
      <c r="AL268" t="s">
        <v>1774</v>
      </c>
      <c r="AM268" t="s">
        <v>1598</v>
      </c>
      <c r="AN268" t="s">
        <v>1775</v>
      </c>
      <c r="AO268" t="s">
        <v>1776</v>
      </c>
      <c r="AP268" t="s">
        <v>74</v>
      </c>
      <c r="AQ268" t="s">
        <v>74</v>
      </c>
      <c r="AR268" t="s">
        <v>1762</v>
      </c>
      <c r="AS268" t="s">
        <v>1777</v>
      </c>
      <c r="AT268" t="s">
        <v>5176</v>
      </c>
      <c r="AU268">
        <v>2010</v>
      </c>
      <c r="AV268">
        <v>467</v>
      </c>
      <c r="AW268">
        <v>7311</v>
      </c>
      <c r="AX268" t="s">
        <v>74</v>
      </c>
      <c r="AY268" t="s">
        <v>74</v>
      </c>
      <c r="AZ268" t="s">
        <v>74</v>
      </c>
      <c r="BA268" t="s">
        <v>74</v>
      </c>
      <c r="BB268">
        <v>15</v>
      </c>
      <c r="BC268">
        <v>15</v>
      </c>
      <c r="BD268" t="s">
        <v>74</v>
      </c>
      <c r="BE268" t="s">
        <v>5183</v>
      </c>
      <c r="BF268" t="str">
        <f>HYPERLINK("http://dx.doi.org/10.1038/467015a","http://dx.doi.org/10.1038/467015a")</f>
        <v>http://dx.doi.org/10.1038/467015a</v>
      </c>
      <c r="BG268" t="s">
        <v>74</v>
      </c>
      <c r="BH268" t="s">
        <v>74</v>
      </c>
      <c r="BI268">
        <v>1</v>
      </c>
      <c r="BJ268" t="s">
        <v>444</v>
      </c>
      <c r="BK268" t="s">
        <v>100</v>
      </c>
      <c r="BL268" t="s">
        <v>445</v>
      </c>
      <c r="BM268" t="s">
        <v>5184</v>
      </c>
      <c r="BN268">
        <v>20811427</v>
      </c>
      <c r="BO268" t="s">
        <v>394</v>
      </c>
      <c r="BP268" t="s">
        <v>74</v>
      </c>
      <c r="BQ268" t="s">
        <v>74</v>
      </c>
      <c r="BR268" t="s">
        <v>104</v>
      </c>
      <c r="BS268" t="s">
        <v>5185</v>
      </c>
      <c r="BT268" t="str">
        <f>HYPERLINK("https%3A%2F%2Fwww.webofscience.com%2Fwos%2Fwoscc%2Ffull-record%2FWOS:000281461200006","View Full Record in Web of Science")</f>
        <v>View Full Record in Web of Science</v>
      </c>
    </row>
    <row r="269" spans="1:72" x14ac:dyDescent="0.15">
      <c r="A269" t="s">
        <v>72</v>
      </c>
      <c r="B269" t="s">
        <v>5186</v>
      </c>
      <c r="C269" t="s">
        <v>74</v>
      </c>
      <c r="D269" t="s">
        <v>74</v>
      </c>
      <c r="E269" t="s">
        <v>74</v>
      </c>
      <c r="F269" t="s">
        <v>5187</v>
      </c>
      <c r="G269" t="s">
        <v>74</v>
      </c>
      <c r="H269" t="s">
        <v>74</v>
      </c>
      <c r="I269" t="s">
        <v>5188</v>
      </c>
      <c r="J269" t="s">
        <v>5189</v>
      </c>
      <c r="K269" t="s">
        <v>74</v>
      </c>
      <c r="L269" t="s">
        <v>74</v>
      </c>
      <c r="M269" t="s">
        <v>78</v>
      </c>
      <c r="N269" t="s">
        <v>5190</v>
      </c>
      <c r="O269" t="s">
        <v>74</v>
      </c>
      <c r="P269" t="s">
        <v>74</v>
      </c>
      <c r="Q269" t="s">
        <v>74</v>
      </c>
      <c r="R269" t="s">
        <v>74</v>
      </c>
      <c r="S269" t="s">
        <v>74</v>
      </c>
      <c r="T269" t="s">
        <v>5191</v>
      </c>
      <c r="U269" t="s">
        <v>5192</v>
      </c>
      <c r="V269" t="s">
        <v>5193</v>
      </c>
      <c r="W269" t="s">
        <v>5194</v>
      </c>
      <c r="X269" t="s">
        <v>5195</v>
      </c>
      <c r="Y269" t="s">
        <v>5196</v>
      </c>
      <c r="Z269" t="s">
        <v>5197</v>
      </c>
      <c r="AA269" t="s">
        <v>5198</v>
      </c>
      <c r="AB269" t="s">
        <v>74</v>
      </c>
      <c r="AC269" t="s">
        <v>5199</v>
      </c>
      <c r="AD269" t="s">
        <v>5200</v>
      </c>
      <c r="AE269" t="s">
        <v>5201</v>
      </c>
      <c r="AF269" t="s">
        <v>74</v>
      </c>
      <c r="AG269">
        <v>123</v>
      </c>
      <c r="AH269">
        <v>1</v>
      </c>
      <c r="AI269">
        <v>1</v>
      </c>
      <c r="AJ269">
        <v>0</v>
      </c>
      <c r="AK269">
        <v>19</v>
      </c>
      <c r="AL269" t="s">
        <v>1038</v>
      </c>
      <c r="AM269" t="s">
        <v>550</v>
      </c>
      <c r="AN269" t="s">
        <v>1039</v>
      </c>
      <c r="AO269" t="s">
        <v>5202</v>
      </c>
      <c r="AP269" t="s">
        <v>5203</v>
      </c>
      <c r="AQ269" t="s">
        <v>74</v>
      </c>
      <c r="AR269" t="s">
        <v>5204</v>
      </c>
      <c r="AS269" t="s">
        <v>5205</v>
      </c>
      <c r="AT269" t="s">
        <v>5206</v>
      </c>
      <c r="AU269">
        <v>2010</v>
      </c>
      <c r="AV269">
        <v>11</v>
      </c>
      <c r="AW269" t="s">
        <v>5207</v>
      </c>
      <c r="AX269" t="s">
        <v>74</v>
      </c>
      <c r="AY269" t="s">
        <v>74</v>
      </c>
      <c r="AZ269" t="s">
        <v>74</v>
      </c>
      <c r="BA269" t="s">
        <v>74</v>
      </c>
      <c r="BB269">
        <v>93</v>
      </c>
      <c r="BC269">
        <v>100</v>
      </c>
      <c r="BD269" t="s">
        <v>74</v>
      </c>
      <c r="BE269" t="s">
        <v>5208</v>
      </c>
      <c r="BF269" t="str">
        <f>HYPERLINK("http://dx.doi.org/10.1016/j.jphotochemrev.2010.07.001","http://dx.doi.org/10.1016/j.jphotochemrev.2010.07.001")</f>
        <v>http://dx.doi.org/10.1016/j.jphotochemrev.2010.07.001</v>
      </c>
      <c r="BG269" t="s">
        <v>74</v>
      </c>
      <c r="BH269" t="s">
        <v>74</v>
      </c>
      <c r="BI269">
        <v>8</v>
      </c>
      <c r="BJ269" t="s">
        <v>5209</v>
      </c>
      <c r="BK269" t="s">
        <v>100</v>
      </c>
      <c r="BL269" t="s">
        <v>392</v>
      </c>
      <c r="BM269" t="s">
        <v>5210</v>
      </c>
      <c r="BN269" t="s">
        <v>74</v>
      </c>
      <c r="BO269" t="s">
        <v>394</v>
      </c>
      <c r="BP269" t="s">
        <v>74</v>
      </c>
      <c r="BQ269" t="s">
        <v>74</v>
      </c>
      <c r="BR269" t="s">
        <v>104</v>
      </c>
      <c r="BS269" t="s">
        <v>5211</v>
      </c>
      <c r="BT269" t="str">
        <f>HYPERLINK("https%3A%2F%2Fwww.webofscience.com%2Fwos%2Fwoscc%2Ffull-record%2FWOS:000288726300004","View Full Record in Web of Science")</f>
        <v>View Full Record in Web of Science</v>
      </c>
    </row>
    <row r="270" spans="1:72" x14ac:dyDescent="0.15">
      <c r="A270" t="s">
        <v>72</v>
      </c>
      <c r="B270" t="s">
        <v>5212</v>
      </c>
      <c r="C270" t="s">
        <v>74</v>
      </c>
      <c r="D270" t="s">
        <v>74</v>
      </c>
      <c r="E270" t="s">
        <v>74</v>
      </c>
      <c r="F270" t="s">
        <v>5213</v>
      </c>
      <c r="G270" t="s">
        <v>74</v>
      </c>
      <c r="H270" t="s">
        <v>74</v>
      </c>
      <c r="I270" t="s">
        <v>5214</v>
      </c>
      <c r="J270" t="s">
        <v>5215</v>
      </c>
      <c r="K270" t="s">
        <v>74</v>
      </c>
      <c r="L270" t="s">
        <v>74</v>
      </c>
      <c r="M270" t="s">
        <v>78</v>
      </c>
      <c r="N270" t="s">
        <v>79</v>
      </c>
      <c r="O270" t="s">
        <v>74</v>
      </c>
      <c r="P270" t="s">
        <v>74</v>
      </c>
      <c r="Q270" t="s">
        <v>74</v>
      </c>
      <c r="R270" t="s">
        <v>74</v>
      </c>
      <c r="S270" t="s">
        <v>74</v>
      </c>
      <c r="T270" t="s">
        <v>5216</v>
      </c>
      <c r="U270" t="s">
        <v>5217</v>
      </c>
      <c r="V270" t="s">
        <v>5218</v>
      </c>
      <c r="W270" t="s">
        <v>5219</v>
      </c>
      <c r="X270" t="s">
        <v>5220</v>
      </c>
      <c r="Y270" t="s">
        <v>5221</v>
      </c>
      <c r="Z270" t="s">
        <v>5222</v>
      </c>
      <c r="AA270" t="s">
        <v>5223</v>
      </c>
      <c r="AB270" t="s">
        <v>5224</v>
      </c>
      <c r="AC270" t="s">
        <v>5225</v>
      </c>
      <c r="AD270" t="s">
        <v>5226</v>
      </c>
      <c r="AE270" t="s">
        <v>5227</v>
      </c>
      <c r="AF270" t="s">
        <v>74</v>
      </c>
      <c r="AG270">
        <v>98</v>
      </c>
      <c r="AH270">
        <v>19</v>
      </c>
      <c r="AI270">
        <v>22</v>
      </c>
      <c r="AJ270">
        <v>2</v>
      </c>
      <c r="AK270">
        <v>14</v>
      </c>
      <c r="AL270" t="s">
        <v>5228</v>
      </c>
      <c r="AM270" t="s">
        <v>5229</v>
      </c>
      <c r="AN270" t="s">
        <v>5230</v>
      </c>
      <c r="AO270" t="s">
        <v>5231</v>
      </c>
      <c r="AP270" t="s">
        <v>5232</v>
      </c>
      <c r="AQ270" t="s">
        <v>74</v>
      </c>
      <c r="AR270" t="s">
        <v>5233</v>
      </c>
      <c r="AS270" t="s">
        <v>5234</v>
      </c>
      <c r="AT270" t="s">
        <v>5235</v>
      </c>
      <c r="AU270">
        <v>2010</v>
      </c>
      <c r="AV270">
        <v>13</v>
      </c>
      <c r="AW270">
        <v>3</v>
      </c>
      <c r="AX270" t="s">
        <v>74</v>
      </c>
      <c r="AY270" t="s">
        <v>74</v>
      </c>
      <c r="AZ270" t="s">
        <v>74</v>
      </c>
      <c r="BA270" t="s">
        <v>74</v>
      </c>
      <c r="BB270">
        <v>189</v>
      </c>
      <c r="BC270">
        <v>204</v>
      </c>
      <c r="BD270" t="s">
        <v>74</v>
      </c>
      <c r="BE270" t="s">
        <v>5236</v>
      </c>
      <c r="BF270" t="str">
        <f>HYPERLINK("http://dx.doi.org/10.4072/rbp.2010.3.04","http://dx.doi.org/10.4072/rbp.2010.3.04")</f>
        <v>http://dx.doi.org/10.4072/rbp.2010.3.04</v>
      </c>
      <c r="BG270" t="s">
        <v>74</v>
      </c>
      <c r="BH270" t="s">
        <v>74</v>
      </c>
      <c r="BI270">
        <v>16</v>
      </c>
      <c r="BJ270" t="s">
        <v>858</v>
      </c>
      <c r="BK270" t="s">
        <v>100</v>
      </c>
      <c r="BL270" t="s">
        <v>858</v>
      </c>
      <c r="BM270" t="s">
        <v>5237</v>
      </c>
      <c r="BN270" t="s">
        <v>74</v>
      </c>
      <c r="BO270" t="s">
        <v>394</v>
      </c>
      <c r="BP270" t="s">
        <v>74</v>
      </c>
      <c r="BQ270" t="s">
        <v>74</v>
      </c>
      <c r="BR270" t="s">
        <v>104</v>
      </c>
      <c r="BS270" t="s">
        <v>5238</v>
      </c>
      <c r="BT270" t="str">
        <f>HYPERLINK("https%3A%2F%2Fwww.webofscience.com%2Fwos%2Fwoscc%2Ffull-record%2FWOS:000285907500004","View Full Record in Web of Science")</f>
        <v>View Full Record in Web of Science</v>
      </c>
    </row>
    <row r="271" spans="1:72" x14ac:dyDescent="0.15">
      <c r="A271" t="s">
        <v>72</v>
      </c>
      <c r="B271" t="s">
        <v>5239</v>
      </c>
      <c r="C271" t="s">
        <v>74</v>
      </c>
      <c r="D271" t="s">
        <v>74</v>
      </c>
      <c r="E271" t="s">
        <v>74</v>
      </c>
      <c r="F271" t="s">
        <v>5240</v>
      </c>
      <c r="G271" t="s">
        <v>74</v>
      </c>
      <c r="H271" t="s">
        <v>74</v>
      </c>
      <c r="I271" t="s">
        <v>5241</v>
      </c>
      <c r="J271" t="s">
        <v>5242</v>
      </c>
      <c r="K271" t="s">
        <v>74</v>
      </c>
      <c r="L271" t="s">
        <v>74</v>
      </c>
      <c r="M271" t="s">
        <v>78</v>
      </c>
      <c r="N271" t="s">
        <v>79</v>
      </c>
      <c r="O271" t="s">
        <v>74</v>
      </c>
      <c r="P271" t="s">
        <v>74</v>
      </c>
      <c r="Q271" t="s">
        <v>74</v>
      </c>
      <c r="R271" t="s">
        <v>74</v>
      </c>
      <c r="S271" t="s">
        <v>74</v>
      </c>
      <c r="T271" t="s">
        <v>5243</v>
      </c>
      <c r="U271" t="s">
        <v>5244</v>
      </c>
      <c r="V271" t="s">
        <v>5245</v>
      </c>
      <c r="W271" t="s">
        <v>5246</v>
      </c>
      <c r="X271" t="s">
        <v>5247</v>
      </c>
      <c r="Y271" t="s">
        <v>5248</v>
      </c>
      <c r="Z271" t="s">
        <v>5249</v>
      </c>
      <c r="AA271" t="s">
        <v>5250</v>
      </c>
      <c r="AB271" t="s">
        <v>5251</v>
      </c>
      <c r="AC271" t="s">
        <v>5252</v>
      </c>
      <c r="AD271" t="s">
        <v>5253</v>
      </c>
      <c r="AE271" t="s">
        <v>5254</v>
      </c>
      <c r="AF271" t="s">
        <v>74</v>
      </c>
      <c r="AG271">
        <v>33</v>
      </c>
      <c r="AH271">
        <v>47</v>
      </c>
      <c r="AI271">
        <v>47</v>
      </c>
      <c r="AJ271">
        <v>0</v>
      </c>
      <c r="AK271">
        <v>14</v>
      </c>
      <c r="AL271" t="s">
        <v>5255</v>
      </c>
      <c r="AM271" t="s">
        <v>5256</v>
      </c>
      <c r="AN271" t="s">
        <v>5257</v>
      </c>
      <c r="AO271" t="s">
        <v>5258</v>
      </c>
      <c r="AP271" t="s">
        <v>74</v>
      </c>
      <c r="AQ271" t="s">
        <v>74</v>
      </c>
      <c r="AR271" t="s">
        <v>5259</v>
      </c>
      <c r="AS271" t="s">
        <v>5260</v>
      </c>
      <c r="AT271" t="s">
        <v>5206</v>
      </c>
      <c r="AU271">
        <v>2010</v>
      </c>
      <c r="AV271">
        <v>39</v>
      </c>
      <c r="AW271">
        <v>3</v>
      </c>
      <c r="AX271" t="s">
        <v>74</v>
      </c>
      <c r="AY271" t="s">
        <v>74</v>
      </c>
      <c r="AZ271" t="s">
        <v>74</v>
      </c>
      <c r="BA271" t="s">
        <v>74</v>
      </c>
      <c r="BB271">
        <v>388</v>
      </c>
      <c r="BC271">
        <v>405</v>
      </c>
      <c r="BD271" t="s">
        <v>74</v>
      </c>
      <c r="BE271" t="s">
        <v>74</v>
      </c>
      <c r="BF271" t="s">
        <v>74</v>
      </c>
      <c r="BG271" t="s">
        <v>74</v>
      </c>
      <c r="BH271" t="s">
        <v>74</v>
      </c>
      <c r="BI271">
        <v>18</v>
      </c>
      <c r="BJ271" t="s">
        <v>1531</v>
      </c>
      <c r="BK271" t="s">
        <v>100</v>
      </c>
      <c r="BL271" t="s">
        <v>1531</v>
      </c>
      <c r="BM271" t="s">
        <v>5261</v>
      </c>
      <c r="BN271" t="s">
        <v>74</v>
      </c>
      <c r="BO271" t="s">
        <v>74</v>
      </c>
      <c r="BP271" t="s">
        <v>74</v>
      </c>
      <c r="BQ271" t="s">
        <v>74</v>
      </c>
      <c r="BR271" t="s">
        <v>104</v>
      </c>
      <c r="BS271" t="s">
        <v>5262</v>
      </c>
      <c r="BT271" t="str">
        <f>HYPERLINK("https%3A%2F%2Fwww.webofscience.com%2Fwos%2Fwoscc%2Ffull-record%2FWOS:000286293200008","View Full Record in Web of Science")</f>
        <v>View Full Record in Web of Science</v>
      </c>
    </row>
    <row r="272" spans="1:72" x14ac:dyDescent="0.15">
      <c r="A272" t="s">
        <v>72</v>
      </c>
      <c r="B272" t="s">
        <v>5263</v>
      </c>
      <c r="C272" t="s">
        <v>74</v>
      </c>
      <c r="D272" t="s">
        <v>74</v>
      </c>
      <c r="E272" t="s">
        <v>74</v>
      </c>
      <c r="F272" t="s">
        <v>5264</v>
      </c>
      <c r="G272" t="s">
        <v>74</v>
      </c>
      <c r="H272" t="s">
        <v>74</v>
      </c>
      <c r="I272" t="s">
        <v>5265</v>
      </c>
      <c r="J272" t="s">
        <v>5266</v>
      </c>
      <c r="K272" t="s">
        <v>74</v>
      </c>
      <c r="L272" t="s">
        <v>74</v>
      </c>
      <c r="M272" t="s">
        <v>377</v>
      </c>
      <c r="N272" t="s">
        <v>79</v>
      </c>
      <c r="O272" t="s">
        <v>74</v>
      </c>
      <c r="P272" t="s">
        <v>74</v>
      </c>
      <c r="Q272" t="s">
        <v>74</v>
      </c>
      <c r="R272" t="s">
        <v>74</v>
      </c>
      <c r="S272" t="s">
        <v>74</v>
      </c>
      <c r="T272" t="s">
        <v>74</v>
      </c>
      <c r="U272" t="s">
        <v>74</v>
      </c>
      <c r="V272" t="s">
        <v>5267</v>
      </c>
      <c r="W272" t="s">
        <v>5268</v>
      </c>
      <c r="X272" t="s">
        <v>5269</v>
      </c>
      <c r="Y272" t="s">
        <v>5270</v>
      </c>
      <c r="Z272" t="s">
        <v>5271</v>
      </c>
      <c r="AA272" t="s">
        <v>74</v>
      </c>
      <c r="AB272" t="s">
        <v>74</v>
      </c>
      <c r="AC272" t="s">
        <v>74</v>
      </c>
      <c r="AD272" t="s">
        <v>74</v>
      </c>
      <c r="AE272" t="s">
        <v>74</v>
      </c>
      <c r="AF272" t="s">
        <v>74</v>
      </c>
      <c r="AG272">
        <v>14</v>
      </c>
      <c r="AH272">
        <v>4</v>
      </c>
      <c r="AI272">
        <v>4</v>
      </c>
      <c r="AJ272">
        <v>0</v>
      </c>
      <c r="AK272">
        <v>5</v>
      </c>
      <c r="AL272" t="s">
        <v>5272</v>
      </c>
      <c r="AM272" t="s">
        <v>386</v>
      </c>
      <c r="AN272" t="s">
        <v>5273</v>
      </c>
      <c r="AO272" t="s">
        <v>5274</v>
      </c>
      <c r="AP272" t="s">
        <v>74</v>
      </c>
      <c r="AQ272" t="s">
        <v>74</v>
      </c>
      <c r="AR272" t="s">
        <v>5275</v>
      </c>
      <c r="AS272" t="s">
        <v>5276</v>
      </c>
      <c r="AT272" t="s">
        <v>5206</v>
      </c>
      <c r="AU272">
        <v>2010</v>
      </c>
      <c r="AV272">
        <v>76</v>
      </c>
      <c r="AW272">
        <v>5</v>
      </c>
      <c r="AX272" t="s">
        <v>74</v>
      </c>
      <c r="AY272" t="s">
        <v>74</v>
      </c>
      <c r="AZ272" t="s">
        <v>74</v>
      </c>
      <c r="BA272" t="s">
        <v>74</v>
      </c>
      <c r="BB272">
        <v>870</v>
      </c>
      <c r="BC272">
        <v>876</v>
      </c>
      <c r="BD272" t="s">
        <v>74</v>
      </c>
      <c r="BE272" t="s">
        <v>5277</v>
      </c>
      <c r="BF272" t="str">
        <f>HYPERLINK("http://dx.doi.org/10.2331/suisan.76.870","http://dx.doi.org/10.2331/suisan.76.870")</f>
        <v>http://dx.doi.org/10.2331/suisan.76.870</v>
      </c>
      <c r="BG272" t="s">
        <v>74</v>
      </c>
      <c r="BH272" t="s">
        <v>74</v>
      </c>
      <c r="BI272">
        <v>7</v>
      </c>
      <c r="BJ272" t="s">
        <v>5278</v>
      </c>
      <c r="BK272" t="s">
        <v>100</v>
      </c>
      <c r="BL272" t="s">
        <v>5278</v>
      </c>
      <c r="BM272" t="s">
        <v>5279</v>
      </c>
      <c r="BN272" t="s">
        <v>74</v>
      </c>
      <c r="BO272" t="s">
        <v>394</v>
      </c>
      <c r="BP272" t="s">
        <v>74</v>
      </c>
      <c r="BQ272" t="s">
        <v>74</v>
      </c>
      <c r="BR272" t="s">
        <v>104</v>
      </c>
      <c r="BS272" t="s">
        <v>5280</v>
      </c>
      <c r="BT272" t="str">
        <f>HYPERLINK("https%3A%2F%2Fwww.webofscience.com%2Fwos%2Fwoscc%2Ffull-record%2FWOS:000284131600009","View Full Record in Web of Science")</f>
        <v>View Full Record in Web of Science</v>
      </c>
    </row>
    <row r="273" spans="1:72" x14ac:dyDescent="0.15">
      <c r="A273" t="s">
        <v>72</v>
      </c>
      <c r="B273" t="s">
        <v>5281</v>
      </c>
      <c r="C273" t="s">
        <v>74</v>
      </c>
      <c r="D273" t="s">
        <v>74</v>
      </c>
      <c r="E273" t="s">
        <v>74</v>
      </c>
      <c r="F273" t="s">
        <v>5282</v>
      </c>
      <c r="G273" t="s">
        <v>74</v>
      </c>
      <c r="H273" t="s">
        <v>74</v>
      </c>
      <c r="I273" t="s">
        <v>5283</v>
      </c>
      <c r="J273" t="s">
        <v>5284</v>
      </c>
      <c r="K273" t="s">
        <v>74</v>
      </c>
      <c r="L273" t="s">
        <v>74</v>
      </c>
      <c r="M273" t="s">
        <v>78</v>
      </c>
      <c r="N273" t="s">
        <v>79</v>
      </c>
      <c r="O273" t="s">
        <v>74</v>
      </c>
      <c r="P273" t="s">
        <v>74</v>
      </c>
      <c r="Q273" t="s">
        <v>74</v>
      </c>
      <c r="R273" t="s">
        <v>74</v>
      </c>
      <c r="S273" t="s">
        <v>74</v>
      </c>
      <c r="T273" t="s">
        <v>5285</v>
      </c>
      <c r="U273" t="s">
        <v>5286</v>
      </c>
      <c r="V273" t="s">
        <v>5287</v>
      </c>
      <c r="W273" t="s">
        <v>5288</v>
      </c>
      <c r="X273" t="s">
        <v>5289</v>
      </c>
      <c r="Y273" t="s">
        <v>5290</v>
      </c>
      <c r="Z273" t="s">
        <v>5291</v>
      </c>
      <c r="AA273" t="s">
        <v>74</v>
      </c>
      <c r="AB273" t="s">
        <v>74</v>
      </c>
      <c r="AC273" t="s">
        <v>5292</v>
      </c>
      <c r="AD273" t="s">
        <v>5293</v>
      </c>
      <c r="AE273" t="s">
        <v>5294</v>
      </c>
      <c r="AF273" t="s">
        <v>74</v>
      </c>
      <c r="AG273">
        <v>34</v>
      </c>
      <c r="AH273">
        <v>3</v>
      </c>
      <c r="AI273">
        <v>4</v>
      </c>
      <c r="AJ273">
        <v>2</v>
      </c>
      <c r="AK273">
        <v>14</v>
      </c>
      <c r="AL273" t="s">
        <v>464</v>
      </c>
      <c r="AM273" t="s">
        <v>310</v>
      </c>
      <c r="AN273" t="s">
        <v>465</v>
      </c>
      <c r="AO273" t="s">
        <v>5295</v>
      </c>
      <c r="AP273" t="s">
        <v>74</v>
      </c>
      <c r="AQ273" t="s">
        <v>74</v>
      </c>
      <c r="AR273" t="s">
        <v>5296</v>
      </c>
      <c r="AS273" t="s">
        <v>5297</v>
      </c>
      <c r="AT273" t="s">
        <v>5206</v>
      </c>
      <c r="AU273">
        <v>2010</v>
      </c>
      <c r="AV273">
        <v>29</v>
      </c>
      <c r="AW273">
        <v>5</v>
      </c>
      <c r="AX273" t="s">
        <v>74</v>
      </c>
      <c r="AY273" t="s">
        <v>74</v>
      </c>
      <c r="AZ273" t="s">
        <v>74</v>
      </c>
      <c r="BA273" t="s">
        <v>74</v>
      </c>
      <c r="BB273">
        <v>1</v>
      </c>
      <c r="BC273">
        <v>9</v>
      </c>
      <c r="BD273" t="s">
        <v>74</v>
      </c>
      <c r="BE273" t="s">
        <v>5298</v>
      </c>
      <c r="BF273" t="str">
        <f>HYPERLINK("http://dx.doi.org/10.1007/s13131-010-0057-4","http://dx.doi.org/10.1007/s13131-010-0057-4")</f>
        <v>http://dx.doi.org/10.1007/s13131-010-0057-4</v>
      </c>
      <c r="BG273" t="s">
        <v>74</v>
      </c>
      <c r="BH273" t="s">
        <v>74</v>
      </c>
      <c r="BI273">
        <v>9</v>
      </c>
      <c r="BJ273" t="s">
        <v>1531</v>
      </c>
      <c r="BK273" t="s">
        <v>100</v>
      </c>
      <c r="BL273" t="s">
        <v>1531</v>
      </c>
      <c r="BM273" t="s">
        <v>5299</v>
      </c>
      <c r="BN273" t="s">
        <v>74</v>
      </c>
      <c r="BO273" t="s">
        <v>74</v>
      </c>
      <c r="BP273" t="s">
        <v>74</v>
      </c>
      <c r="BQ273" t="s">
        <v>74</v>
      </c>
      <c r="BR273" t="s">
        <v>104</v>
      </c>
      <c r="BS273" t="s">
        <v>5300</v>
      </c>
      <c r="BT273" t="str">
        <f>HYPERLINK("https%3A%2F%2Fwww.webofscience.com%2Fwos%2Fwoscc%2Ffull-record%2FWOS:000286127300001","View Full Record in Web of Science")</f>
        <v>View Full Record in Web of Science</v>
      </c>
    </row>
    <row r="274" spans="1:72" x14ac:dyDescent="0.15">
      <c r="A274" t="s">
        <v>72</v>
      </c>
      <c r="B274" t="s">
        <v>5301</v>
      </c>
      <c r="C274" t="s">
        <v>74</v>
      </c>
      <c r="D274" t="s">
        <v>74</v>
      </c>
      <c r="E274" t="s">
        <v>74</v>
      </c>
      <c r="F274" t="s">
        <v>5302</v>
      </c>
      <c r="G274" t="s">
        <v>74</v>
      </c>
      <c r="H274" t="s">
        <v>74</v>
      </c>
      <c r="I274" t="s">
        <v>5303</v>
      </c>
      <c r="J274" t="s">
        <v>5304</v>
      </c>
      <c r="K274" t="s">
        <v>74</v>
      </c>
      <c r="L274" t="s">
        <v>74</v>
      </c>
      <c r="M274" t="s">
        <v>78</v>
      </c>
      <c r="N274" t="s">
        <v>79</v>
      </c>
      <c r="O274" t="s">
        <v>74</v>
      </c>
      <c r="P274" t="s">
        <v>74</v>
      </c>
      <c r="Q274" t="s">
        <v>74</v>
      </c>
      <c r="R274" t="s">
        <v>74</v>
      </c>
      <c r="S274" t="s">
        <v>74</v>
      </c>
      <c r="T274" t="s">
        <v>5305</v>
      </c>
      <c r="U274" t="s">
        <v>5306</v>
      </c>
      <c r="V274" t="s">
        <v>5307</v>
      </c>
      <c r="W274" t="s">
        <v>5308</v>
      </c>
      <c r="X274" t="s">
        <v>5309</v>
      </c>
      <c r="Y274" t="s">
        <v>5310</v>
      </c>
      <c r="Z274" t="s">
        <v>5311</v>
      </c>
      <c r="AA274" t="s">
        <v>74</v>
      </c>
      <c r="AB274" t="s">
        <v>74</v>
      </c>
      <c r="AC274" t="s">
        <v>5312</v>
      </c>
      <c r="AD274" t="s">
        <v>5313</v>
      </c>
      <c r="AE274" t="s">
        <v>5314</v>
      </c>
      <c r="AF274" t="s">
        <v>74</v>
      </c>
      <c r="AG274">
        <v>21</v>
      </c>
      <c r="AH274">
        <v>12</v>
      </c>
      <c r="AI274">
        <v>21</v>
      </c>
      <c r="AJ274">
        <v>0</v>
      </c>
      <c r="AK274">
        <v>8</v>
      </c>
      <c r="AL274" t="s">
        <v>436</v>
      </c>
      <c r="AM274" t="s">
        <v>437</v>
      </c>
      <c r="AN274" t="s">
        <v>438</v>
      </c>
      <c r="AO274" t="s">
        <v>5315</v>
      </c>
      <c r="AP274" t="s">
        <v>74</v>
      </c>
      <c r="AQ274" t="s">
        <v>74</v>
      </c>
      <c r="AR274" t="s">
        <v>5316</v>
      </c>
      <c r="AS274" t="s">
        <v>5317</v>
      </c>
      <c r="AT274" t="s">
        <v>5206</v>
      </c>
      <c r="AU274">
        <v>2010</v>
      </c>
      <c r="AV274">
        <v>27</v>
      </c>
      <c r="AW274">
        <v>5</v>
      </c>
      <c r="AX274" t="s">
        <v>74</v>
      </c>
      <c r="AY274" t="s">
        <v>74</v>
      </c>
      <c r="AZ274" t="s">
        <v>74</v>
      </c>
      <c r="BA274" t="s">
        <v>74</v>
      </c>
      <c r="BB274">
        <v>1043</v>
      </c>
      <c r="BC274">
        <v>1050</v>
      </c>
      <c r="BD274" t="s">
        <v>74</v>
      </c>
      <c r="BE274" t="s">
        <v>5318</v>
      </c>
      <c r="BF274" t="str">
        <f>HYPERLINK("http://dx.doi.org/10.1007/s00376-009-9126-z","http://dx.doi.org/10.1007/s00376-009-9126-z")</f>
        <v>http://dx.doi.org/10.1007/s00376-009-9126-z</v>
      </c>
      <c r="BG274" t="s">
        <v>74</v>
      </c>
      <c r="BH274" t="s">
        <v>74</v>
      </c>
      <c r="BI274">
        <v>8</v>
      </c>
      <c r="BJ274" t="s">
        <v>319</v>
      </c>
      <c r="BK274" t="s">
        <v>100</v>
      </c>
      <c r="BL274" t="s">
        <v>319</v>
      </c>
      <c r="BM274" t="s">
        <v>5319</v>
      </c>
      <c r="BN274" t="s">
        <v>74</v>
      </c>
      <c r="BO274" t="s">
        <v>74</v>
      </c>
      <c r="BP274" t="s">
        <v>74</v>
      </c>
      <c r="BQ274" t="s">
        <v>74</v>
      </c>
      <c r="BR274" t="s">
        <v>104</v>
      </c>
      <c r="BS274" t="s">
        <v>5320</v>
      </c>
      <c r="BT274" t="str">
        <f>HYPERLINK("https%3A%2F%2Fwww.webofscience.com%2Fwos%2Fwoscc%2Ffull-record%2FWOS:000280971600007","View Full Record in Web of Science")</f>
        <v>View Full Record in Web of Science</v>
      </c>
    </row>
    <row r="275" spans="1:72" x14ac:dyDescent="0.15">
      <c r="A275" t="s">
        <v>72</v>
      </c>
      <c r="B275" t="s">
        <v>5321</v>
      </c>
      <c r="C275" t="s">
        <v>74</v>
      </c>
      <c r="D275" t="s">
        <v>74</v>
      </c>
      <c r="E275" t="s">
        <v>74</v>
      </c>
      <c r="F275" t="s">
        <v>5322</v>
      </c>
      <c r="G275" t="s">
        <v>74</v>
      </c>
      <c r="H275" t="s">
        <v>74</v>
      </c>
      <c r="I275" t="s">
        <v>5323</v>
      </c>
      <c r="J275" t="s">
        <v>5304</v>
      </c>
      <c r="K275" t="s">
        <v>74</v>
      </c>
      <c r="L275" t="s">
        <v>74</v>
      </c>
      <c r="M275" t="s">
        <v>78</v>
      </c>
      <c r="N275" t="s">
        <v>79</v>
      </c>
      <c r="O275" t="s">
        <v>74</v>
      </c>
      <c r="P275" t="s">
        <v>74</v>
      </c>
      <c r="Q275" t="s">
        <v>74</v>
      </c>
      <c r="R275" t="s">
        <v>74</v>
      </c>
      <c r="S275" t="s">
        <v>74</v>
      </c>
      <c r="T275" t="s">
        <v>5324</v>
      </c>
      <c r="U275" t="s">
        <v>5325</v>
      </c>
      <c r="V275" t="s">
        <v>5326</v>
      </c>
      <c r="W275" t="s">
        <v>5327</v>
      </c>
      <c r="X275" t="s">
        <v>5328</v>
      </c>
      <c r="Y275" t="s">
        <v>5329</v>
      </c>
      <c r="Z275" t="s">
        <v>5330</v>
      </c>
      <c r="AA275" t="s">
        <v>5331</v>
      </c>
      <c r="AB275" t="s">
        <v>5332</v>
      </c>
      <c r="AC275" t="s">
        <v>5333</v>
      </c>
      <c r="AD275" t="s">
        <v>5334</v>
      </c>
      <c r="AE275" t="s">
        <v>5335</v>
      </c>
      <c r="AF275" t="s">
        <v>74</v>
      </c>
      <c r="AG275">
        <v>26</v>
      </c>
      <c r="AH275">
        <v>22</v>
      </c>
      <c r="AI275">
        <v>26</v>
      </c>
      <c r="AJ275">
        <v>1</v>
      </c>
      <c r="AK275">
        <v>20</v>
      </c>
      <c r="AL275" t="s">
        <v>436</v>
      </c>
      <c r="AM275" t="s">
        <v>437</v>
      </c>
      <c r="AN275" t="s">
        <v>438</v>
      </c>
      <c r="AO275" t="s">
        <v>5315</v>
      </c>
      <c r="AP275" t="s">
        <v>74</v>
      </c>
      <c r="AQ275" t="s">
        <v>74</v>
      </c>
      <c r="AR275" t="s">
        <v>5316</v>
      </c>
      <c r="AS275" t="s">
        <v>5317</v>
      </c>
      <c r="AT275" t="s">
        <v>5206</v>
      </c>
      <c r="AU275">
        <v>2010</v>
      </c>
      <c r="AV275">
        <v>27</v>
      </c>
      <c r="AW275">
        <v>5</v>
      </c>
      <c r="AX275" t="s">
        <v>74</v>
      </c>
      <c r="AY275" t="s">
        <v>74</v>
      </c>
      <c r="AZ275" t="s">
        <v>74</v>
      </c>
      <c r="BA275" t="s">
        <v>74</v>
      </c>
      <c r="BB275">
        <v>1151</v>
      </c>
      <c r="BC275">
        <v>1168</v>
      </c>
      <c r="BD275" t="s">
        <v>74</v>
      </c>
      <c r="BE275" t="s">
        <v>5336</v>
      </c>
      <c r="BF275" t="str">
        <f>HYPERLINK("http://dx.doi.org/10.1007/s00376-010-9140-1","http://dx.doi.org/10.1007/s00376-010-9140-1")</f>
        <v>http://dx.doi.org/10.1007/s00376-010-9140-1</v>
      </c>
      <c r="BG275" t="s">
        <v>74</v>
      </c>
      <c r="BH275" t="s">
        <v>74</v>
      </c>
      <c r="BI275">
        <v>18</v>
      </c>
      <c r="BJ275" t="s">
        <v>319</v>
      </c>
      <c r="BK275" t="s">
        <v>100</v>
      </c>
      <c r="BL275" t="s">
        <v>319</v>
      </c>
      <c r="BM275" t="s">
        <v>5319</v>
      </c>
      <c r="BN275" t="s">
        <v>74</v>
      </c>
      <c r="BO275" t="s">
        <v>1000</v>
      </c>
      <c r="BP275" t="s">
        <v>74</v>
      </c>
      <c r="BQ275" t="s">
        <v>74</v>
      </c>
      <c r="BR275" t="s">
        <v>104</v>
      </c>
      <c r="BS275" t="s">
        <v>5337</v>
      </c>
      <c r="BT275" t="str">
        <f>HYPERLINK("https%3A%2F%2Fwww.webofscience.com%2Fwos%2Fwoscc%2Ffull-record%2FWOS:000280971600017","View Full Record in Web of Science")</f>
        <v>View Full Record in Web of Science</v>
      </c>
    </row>
    <row r="276" spans="1:72" x14ac:dyDescent="0.15">
      <c r="A276" t="s">
        <v>72</v>
      </c>
      <c r="B276" t="s">
        <v>5338</v>
      </c>
      <c r="C276" t="s">
        <v>74</v>
      </c>
      <c r="D276" t="s">
        <v>74</v>
      </c>
      <c r="E276" t="s">
        <v>74</v>
      </c>
      <c r="F276" t="s">
        <v>5339</v>
      </c>
      <c r="G276" t="s">
        <v>74</v>
      </c>
      <c r="H276" t="s">
        <v>74</v>
      </c>
      <c r="I276" t="s">
        <v>5340</v>
      </c>
      <c r="J276" t="s">
        <v>5341</v>
      </c>
      <c r="K276" t="s">
        <v>74</v>
      </c>
      <c r="L276" t="s">
        <v>74</v>
      </c>
      <c r="M276" t="s">
        <v>78</v>
      </c>
      <c r="N276" t="s">
        <v>79</v>
      </c>
      <c r="O276" t="s">
        <v>74</v>
      </c>
      <c r="P276" t="s">
        <v>74</v>
      </c>
      <c r="Q276" t="s">
        <v>74</v>
      </c>
      <c r="R276" t="s">
        <v>74</v>
      </c>
      <c r="S276" t="s">
        <v>74</v>
      </c>
      <c r="T276" t="s">
        <v>5342</v>
      </c>
      <c r="U276" t="s">
        <v>5343</v>
      </c>
      <c r="V276" t="s">
        <v>5344</v>
      </c>
      <c r="W276" t="s">
        <v>5345</v>
      </c>
      <c r="X276" t="s">
        <v>5346</v>
      </c>
      <c r="Y276" t="s">
        <v>5347</v>
      </c>
      <c r="Z276" t="s">
        <v>5348</v>
      </c>
      <c r="AA276" t="s">
        <v>5349</v>
      </c>
      <c r="AB276" t="s">
        <v>5350</v>
      </c>
      <c r="AC276" t="s">
        <v>5351</v>
      </c>
      <c r="AD276" t="s">
        <v>289</v>
      </c>
      <c r="AE276" t="s">
        <v>5352</v>
      </c>
      <c r="AF276" t="s">
        <v>74</v>
      </c>
      <c r="AG276">
        <v>83</v>
      </c>
      <c r="AH276">
        <v>50</v>
      </c>
      <c r="AI276">
        <v>59</v>
      </c>
      <c r="AJ276">
        <v>4</v>
      </c>
      <c r="AK276">
        <v>39</v>
      </c>
      <c r="AL276" t="s">
        <v>923</v>
      </c>
      <c r="AM276" t="s">
        <v>339</v>
      </c>
      <c r="AN276" t="s">
        <v>340</v>
      </c>
      <c r="AO276" t="s">
        <v>5353</v>
      </c>
      <c r="AP276" t="s">
        <v>5354</v>
      </c>
      <c r="AQ276" t="s">
        <v>74</v>
      </c>
      <c r="AR276" t="s">
        <v>5355</v>
      </c>
      <c r="AS276" t="s">
        <v>5356</v>
      </c>
      <c r="AT276" t="s">
        <v>5206</v>
      </c>
      <c r="AU276">
        <v>2010</v>
      </c>
      <c r="AV276">
        <v>97</v>
      </c>
      <c r="AW276">
        <v>9</v>
      </c>
      <c r="AX276" t="s">
        <v>74</v>
      </c>
      <c r="AY276" t="s">
        <v>74</v>
      </c>
      <c r="AZ276" t="s">
        <v>74</v>
      </c>
      <c r="BA276" t="s">
        <v>74</v>
      </c>
      <c r="BB276">
        <v>1511</v>
      </c>
      <c r="BC276">
        <v>1531</v>
      </c>
      <c r="BD276" t="s">
        <v>74</v>
      </c>
      <c r="BE276" t="s">
        <v>5357</v>
      </c>
      <c r="BF276" t="str">
        <f>HYPERLINK("http://dx.doi.org/10.3732/ajb.1000055","http://dx.doi.org/10.3732/ajb.1000055")</f>
        <v>http://dx.doi.org/10.3732/ajb.1000055</v>
      </c>
      <c r="BG276" t="s">
        <v>74</v>
      </c>
      <c r="BH276" t="s">
        <v>74</v>
      </c>
      <c r="BI276">
        <v>21</v>
      </c>
      <c r="BJ276" t="s">
        <v>4002</v>
      </c>
      <c r="BK276" t="s">
        <v>100</v>
      </c>
      <c r="BL276" t="s">
        <v>4002</v>
      </c>
      <c r="BM276" t="s">
        <v>5358</v>
      </c>
      <c r="BN276">
        <v>21616905</v>
      </c>
      <c r="BO276" t="s">
        <v>631</v>
      </c>
      <c r="BP276" t="s">
        <v>74</v>
      </c>
      <c r="BQ276" t="s">
        <v>74</v>
      </c>
      <c r="BR276" t="s">
        <v>104</v>
      </c>
      <c r="BS276" t="s">
        <v>5359</v>
      </c>
      <c r="BT276" t="str">
        <f>HYPERLINK("https%3A%2F%2Fwww.webofscience.com%2Fwos%2Fwoscc%2Ffull-record%2FWOS:000281539000011","View Full Record in Web of Science")</f>
        <v>View Full Record in Web of Science</v>
      </c>
    </row>
    <row r="277" spans="1:72" x14ac:dyDescent="0.15">
      <c r="A277" t="s">
        <v>72</v>
      </c>
      <c r="B277" t="s">
        <v>5360</v>
      </c>
      <c r="C277" t="s">
        <v>74</v>
      </c>
      <c r="D277" t="s">
        <v>74</v>
      </c>
      <c r="E277" t="s">
        <v>74</v>
      </c>
      <c r="F277" t="s">
        <v>5361</v>
      </c>
      <c r="G277" t="s">
        <v>74</v>
      </c>
      <c r="H277" t="s">
        <v>74</v>
      </c>
      <c r="I277" t="s">
        <v>5362</v>
      </c>
      <c r="J277" t="s">
        <v>5363</v>
      </c>
      <c r="K277" t="s">
        <v>74</v>
      </c>
      <c r="L277" t="s">
        <v>74</v>
      </c>
      <c r="M277" t="s">
        <v>78</v>
      </c>
      <c r="N277" t="s">
        <v>79</v>
      </c>
      <c r="O277" t="s">
        <v>74</v>
      </c>
      <c r="P277" t="s">
        <v>74</v>
      </c>
      <c r="Q277" t="s">
        <v>74</v>
      </c>
      <c r="R277" t="s">
        <v>74</v>
      </c>
      <c r="S277" t="s">
        <v>74</v>
      </c>
      <c r="T277" t="s">
        <v>5364</v>
      </c>
      <c r="U277" t="s">
        <v>5365</v>
      </c>
      <c r="V277" t="s">
        <v>5366</v>
      </c>
      <c r="W277" t="s">
        <v>5367</v>
      </c>
      <c r="X277" t="s">
        <v>5368</v>
      </c>
      <c r="Y277" t="s">
        <v>5369</v>
      </c>
      <c r="Z277" t="s">
        <v>5370</v>
      </c>
      <c r="AA277" t="s">
        <v>5371</v>
      </c>
      <c r="AB277" t="s">
        <v>5372</v>
      </c>
      <c r="AC277" t="s">
        <v>5373</v>
      </c>
      <c r="AD277" t="s">
        <v>5374</v>
      </c>
      <c r="AE277" t="s">
        <v>5375</v>
      </c>
      <c r="AF277" t="s">
        <v>74</v>
      </c>
      <c r="AG277">
        <v>40</v>
      </c>
      <c r="AH277">
        <v>51</v>
      </c>
      <c r="AI277">
        <v>57</v>
      </c>
      <c r="AJ277">
        <v>2</v>
      </c>
      <c r="AK277">
        <v>47</v>
      </c>
      <c r="AL277" t="s">
        <v>799</v>
      </c>
      <c r="AM277" t="s">
        <v>800</v>
      </c>
      <c r="AN277" t="s">
        <v>801</v>
      </c>
      <c r="AO277" t="s">
        <v>5376</v>
      </c>
      <c r="AP277" t="s">
        <v>5377</v>
      </c>
      <c r="AQ277" t="s">
        <v>74</v>
      </c>
      <c r="AR277" t="s">
        <v>5378</v>
      </c>
      <c r="AS277" t="s">
        <v>5379</v>
      </c>
      <c r="AT277" t="s">
        <v>5206</v>
      </c>
      <c r="AU277">
        <v>2010</v>
      </c>
      <c r="AV277">
        <v>176</v>
      </c>
      <c r="AW277">
        <v>3</v>
      </c>
      <c r="AX277" t="s">
        <v>74</v>
      </c>
      <c r="AY277" t="s">
        <v>74</v>
      </c>
      <c r="AZ277" t="s">
        <v>74</v>
      </c>
      <c r="BA277" t="s">
        <v>74</v>
      </c>
      <c r="BB277">
        <v>357</v>
      </c>
      <c r="BC277">
        <v>366</v>
      </c>
      <c r="BD277" t="s">
        <v>74</v>
      </c>
      <c r="BE277" t="s">
        <v>5380</v>
      </c>
      <c r="BF277" t="str">
        <f>HYPERLINK("http://dx.doi.org/10.1086/655223","http://dx.doi.org/10.1086/655223")</f>
        <v>http://dx.doi.org/10.1086/655223</v>
      </c>
      <c r="BG277" t="s">
        <v>74</v>
      </c>
      <c r="BH277" t="s">
        <v>74</v>
      </c>
      <c r="BI277">
        <v>10</v>
      </c>
      <c r="BJ277" t="s">
        <v>5381</v>
      </c>
      <c r="BK277" t="s">
        <v>100</v>
      </c>
      <c r="BL277" t="s">
        <v>5382</v>
      </c>
      <c r="BM277" t="s">
        <v>5383</v>
      </c>
      <c r="BN277">
        <v>20636133</v>
      </c>
      <c r="BO277" t="s">
        <v>74</v>
      </c>
      <c r="BP277" t="s">
        <v>74</v>
      </c>
      <c r="BQ277" t="s">
        <v>74</v>
      </c>
      <c r="BR277" t="s">
        <v>104</v>
      </c>
      <c r="BS277" t="s">
        <v>5384</v>
      </c>
      <c r="BT277" t="str">
        <f>HYPERLINK("https%3A%2F%2Fwww.webofscience.com%2Fwos%2Fwoscc%2Ffull-record%2FWOS:000280621000009","View Full Record in Web of Science")</f>
        <v>View Full Record in Web of Science</v>
      </c>
    </row>
    <row r="278" spans="1:72" x14ac:dyDescent="0.15">
      <c r="A278" t="s">
        <v>72</v>
      </c>
      <c r="B278" t="s">
        <v>5385</v>
      </c>
      <c r="C278" t="s">
        <v>74</v>
      </c>
      <c r="D278" t="s">
        <v>74</v>
      </c>
      <c r="E278" t="s">
        <v>74</v>
      </c>
      <c r="F278" t="s">
        <v>5386</v>
      </c>
      <c r="G278" t="s">
        <v>74</v>
      </c>
      <c r="H278" t="s">
        <v>74</v>
      </c>
      <c r="I278" t="s">
        <v>5387</v>
      </c>
      <c r="J278" t="s">
        <v>5388</v>
      </c>
      <c r="K278" t="s">
        <v>74</v>
      </c>
      <c r="L278" t="s">
        <v>74</v>
      </c>
      <c r="M278" t="s">
        <v>78</v>
      </c>
      <c r="N278" t="s">
        <v>79</v>
      </c>
      <c r="O278" t="s">
        <v>74</v>
      </c>
      <c r="P278" t="s">
        <v>74</v>
      </c>
      <c r="Q278" t="s">
        <v>74</v>
      </c>
      <c r="R278" t="s">
        <v>74</v>
      </c>
      <c r="S278" t="s">
        <v>74</v>
      </c>
      <c r="T278" t="s">
        <v>74</v>
      </c>
      <c r="U278" t="s">
        <v>5389</v>
      </c>
      <c r="V278" t="s">
        <v>5390</v>
      </c>
      <c r="W278" t="s">
        <v>5391</v>
      </c>
      <c r="X278" t="s">
        <v>5392</v>
      </c>
      <c r="Y278" t="s">
        <v>5393</v>
      </c>
      <c r="Z278" t="s">
        <v>5394</v>
      </c>
      <c r="AA278" t="s">
        <v>5395</v>
      </c>
      <c r="AB278" t="s">
        <v>5396</v>
      </c>
      <c r="AC278" t="s">
        <v>5397</v>
      </c>
      <c r="AD278" t="s">
        <v>5398</v>
      </c>
      <c r="AE278" t="s">
        <v>5399</v>
      </c>
      <c r="AF278" t="s">
        <v>74</v>
      </c>
      <c r="AG278">
        <v>64</v>
      </c>
      <c r="AH278">
        <v>54</v>
      </c>
      <c r="AI278">
        <v>63</v>
      </c>
      <c r="AJ278">
        <v>1</v>
      </c>
      <c r="AK278">
        <v>29</v>
      </c>
      <c r="AL278" t="s">
        <v>5400</v>
      </c>
      <c r="AM278" t="s">
        <v>1522</v>
      </c>
      <c r="AN278" t="s">
        <v>5401</v>
      </c>
      <c r="AO278" t="s">
        <v>5402</v>
      </c>
      <c r="AP278" t="s">
        <v>5403</v>
      </c>
      <c r="AQ278" t="s">
        <v>74</v>
      </c>
      <c r="AR278" t="s">
        <v>5404</v>
      </c>
      <c r="AS278" t="s">
        <v>5405</v>
      </c>
      <c r="AT278" t="s">
        <v>5206</v>
      </c>
      <c r="AU278">
        <v>2010</v>
      </c>
      <c r="AV278">
        <v>76</v>
      </c>
      <c r="AW278">
        <v>17</v>
      </c>
      <c r="AX278" t="s">
        <v>74</v>
      </c>
      <c r="AY278" t="s">
        <v>74</v>
      </c>
      <c r="AZ278" t="s">
        <v>74</v>
      </c>
      <c r="BA278" t="s">
        <v>74</v>
      </c>
      <c r="BB278">
        <v>5918</v>
      </c>
      <c r="BC278">
        <v>5925</v>
      </c>
      <c r="BD278" t="s">
        <v>74</v>
      </c>
      <c r="BE278" t="s">
        <v>5406</v>
      </c>
      <c r="BF278" t="str">
        <f>HYPERLINK("http://dx.doi.org/10.1128/AEM.00562-10","http://dx.doi.org/10.1128/AEM.00562-10")</f>
        <v>http://dx.doi.org/10.1128/AEM.00562-10</v>
      </c>
      <c r="BG278" t="s">
        <v>74</v>
      </c>
      <c r="BH278" t="s">
        <v>74</v>
      </c>
      <c r="BI278">
        <v>8</v>
      </c>
      <c r="BJ278" t="s">
        <v>608</v>
      </c>
      <c r="BK278" t="s">
        <v>100</v>
      </c>
      <c r="BL278" t="s">
        <v>608</v>
      </c>
      <c r="BM278" t="s">
        <v>5407</v>
      </c>
      <c r="BN278">
        <v>20601510</v>
      </c>
      <c r="BO278" t="s">
        <v>5408</v>
      </c>
      <c r="BP278" t="s">
        <v>74</v>
      </c>
      <c r="BQ278" t="s">
        <v>74</v>
      </c>
      <c r="BR278" t="s">
        <v>104</v>
      </c>
      <c r="BS278" t="s">
        <v>5409</v>
      </c>
      <c r="BT278" t="str">
        <f>HYPERLINK("https%3A%2F%2Fwww.webofscience.com%2Fwos%2Fwoscc%2Ffull-record%2FWOS:000281288000031","View Full Record in Web of Science")</f>
        <v>View Full Record in Web of Science</v>
      </c>
    </row>
    <row r="279" spans="1:72" x14ac:dyDescent="0.15">
      <c r="A279" t="s">
        <v>72</v>
      </c>
      <c r="B279" t="s">
        <v>5410</v>
      </c>
      <c r="C279" t="s">
        <v>74</v>
      </c>
      <c r="D279" t="s">
        <v>74</v>
      </c>
      <c r="E279" t="s">
        <v>74</v>
      </c>
      <c r="F279" t="s">
        <v>5411</v>
      </c>
      <c r="G279" t="s">
        <v>74</v>
      </c>
      <c r="H279" t="s">
        <v>74</v>
      </c>
      <c r="I279" t="s">
        <v>5412</v>
      </c>
      <c r="J279" t="s">
        <v>5388</v>
      </c>
      <c r="K279" t="s">
        <v>74</v>
      </c>
      <c r="L279" t="s">
        <v>74</v>
      </c>
      <c r="M279" t="s">
        <v>78</v>
      </c>
      <c r="N279" t="s">
        <v>79</v>
      </c>
      <c r="O279" t="s">
        <v>74</v>
      </c>
      <c r="P279" t="s">
        <v>74</v>
      </c>
      <c r="Q279" t="s">
        <v>74</v>
      </c>
      <c r="R279" t="s">
        <v>74</v>
      </c>
      <c r="S279" t="s">
        <v>74</v>
      </c>
      <c r="T279" t="s">
        <v>74</v>
      </c>
      <c r="U279" t="s">
        <v>5413</v>
      </c>
      <c r="V279" t="s">
        <v>5414</v>
      </c>
      <c r="W279" t="s">
        <v>5415</v>
      </c>
      <c r="X279" t="s">
        <v>5416</v>
      </c>
      <c r="Y279" t="s">
        <v>5417</v>
      </c>
      <c r="Z279" t="s">
        <v>5418</v>
      </c>
      <c r="AA279" t="s">
        <v>5419</v>
      </c>
      <c r="AB279" t="s">
        <v>5420</v>
      </c>
      <c r="AC279" t="s">
        <v>5421</v>
      </c>
      <c r="AD279" t="s">
        <v>5422</v>
      </c>
      <c r="AE279" t="s">
        <v>5423</v>
      </c>
      <c r="AF279" t="s">
        <v>74</v>
      </c>
      <c r="AG279">
        <v>25</v>
      </c>
      <c r="AH279">
        <v>12</v>
      </c>
      <c r="AI279">
        <v>12</v>
      </c>
      <c r="AJ279">
        <v>1</v>
      </c>
      <c r="AK279">
        <v>10</v>
      </c>
      <c r="AL279" t="s">
        <v>5400</v>
      </c>
      <c r="AM279" t="s">
        <v>1522</v>
      </c>
      <c r="AN279" t="s">
        <v>5401</v>
      </c>
      <c r="AO279" t="s">
        <v>5402</v>
      </c>
      <c r="AP279" t="s">
        <v>5403</v>
      </c>
      <c r="AQ279" t="s">
        <v>74</v>
      </c>
      <c r="AR279" t="s">
        <v>5404</v>
      </c>
      <c r="AS279" t="s">
        <v>5405</v>
      </c>
      <c r="AT279" t="s">
        <v>5206</v>
      </c>
      <c r="AU279">
        <v>2010</v>
      </c>
      <c r="AV279">
        <v>76</v>
      </c>
      <c r="AW279">
        <v>17</v>
      </c>
      <c r="AX279" t="s">
        <v>74</v>
      </c>
      <c r="AY279" t="s">
        <v>74</v>
      </c>
      <c r="AZ279" t="s">
        <v>74</v>
      </c>
      <c r="BA279" t="s">
        <v>74</v>
      </c>
      <c r="BB279">
        <v>6013</v>
      </c>
      <c r="BC279">
        <v>6016</v>
      </c>
      <c r="BD279" t="s">
        <v>74</v>
      </c>
      <c r="BE279" t="s">
        <v>5424</v>
      </c>
      <c r="BF279" t="str">
        <f>HYPERLINK("http://dx.doi.org/10.1128/AEM.00316-10","http://dx.doi.org/10.1128/AEM.00316-10")</f>
        <v>http://dx.doi.org/10.1128/AEM.00316-10</v>
      </c>
      <c r="BG279" t="s">
        <v>74</v>
      </c>
      <c r="BH279" t="s">
        <v>74</v>
      </c>
      <c r="BI279">
        <v>4</v>
      </c>
      <c r="BJ279" t="s">
        <v>608</v>
      </c>
      <c r="BK279" t="s">
        <v>100</v>
      </c>
      <c r="BL279" t="s">
        <v>608</v>
      </c>
      <c r="BM279" t="s">
        <v>5407</v>
      </c>
      <c r="BN279">
        <v>20639356</v>
      </c>
      <c r="BO279" t="s">
        <v>631</v>
      </c>
      <c r="BP279" t="s">
        <v>74</v>
      </c>
      <c r="BQ279" t="s">
        <v>74</v>
      </c>
      <c r="BR279" t="s">
        <v>104</v>
      </c>
      <c r="BS279" t="s">
        <v>5425</v>
      </c>
      <c r="BT279" t="str">
        <f>HYPERLINK("https%3A%2F%2Fwww.webofscience.com%2Fwos%2Fwoscc%2Ffull-record%2FWOS:000281288000044","View Full Record in Web of Science")</f>
        <v>View Full Record in Web of Science</v>
      </c>
    </row>
    <row r="280" spans="1:72" x14ac:dyDescent="0.15">
      <c r="A280" t="s">
        <v>72</v>
      </c>
      <c r="B280" t="s">
        <v>5426</v>
      </c>
      <c r="C280" t="s">
        <v>74</v>
      </c>
      <c r="D280" t="s">
        <v>74</v>
      </c>
      <c r="E280" t="s">
        <v>74</v>
      </c>
      <c r="F280" t="s">
        <v>5427</v>
      </c>
      <c r="G280" t="s">
        <v>74</v>
      </c>
      <c r="H280" t="s">
        <v>74</v>
      </c>
      <c r="I280" t="s">
        <v>5428</v>
      </c>
      <c r="J280" t="s">
        <v>5429</v>
      </c>
      <c r="K280" t="s">
        <v>74</v>
      </c>
      <c r="L280" t="s">
        <v>74</v>
      </c>
      <c r="M280" t="s">
        <v>78</v>
      </c>
      <c r="N280" t="s">
        <v>79</v>
      </c>
      <c r="O280" t="s">
        <v>74</v>
      </c>
      <c r="P280" t="s">
        <v>74</v>
      </c>
      <c r="Q280" t="s">
        <v>74</v>
      </c>
      <c r="R280" t="s">
        <v>74</v>
      </c>
      <c r="S280" t="s">
        <v>74</v>
      </c>
      <c r="T280" t="s">
        <v>5430</v>
      </c>
      <c r="U280" t="s">
        <v>5431</v>
      </c>
      <c r="V280" t="s">
        <v>5432</v>
      </c>
      <c r="W280" t="s">
        <v>5433</v>
      </c>
      <c r="X280" t="s">
        <v>5434</v>
      </c>
      <c r="Y280" t="s">
        <v>5435</v>
      </c>
      <c r="Z280" t="s">
        <v>5436</v>
      </c>
      <c r="AA280" t="s">
        <v>74</v>
      </c>
      <c r="AB280" t="s">
        <v>74</v>
      </c>
      <c r="AC280" t="s">
        <v>693</v>
      </c>
      <c r="AD280" t="s">
        <v>337</v>
      </c>
      <c r="AE280" t="s">
        <v>74</v>
      </c>
      <c r="AF280" t="s">
        <v>74</v>
      </c>
      <c r="AG280">
        <v>48</v>
      </c>
      <c r="AH280">
        <v>3</v>
      </c>
      <c r="AI280">
        <v>3</v>
      </c>
      <c r="AJ280">
        <v>0</v>
      </c>
      <c r="AK280">
        <v>11</v>
      </c>
      <c r="AL280" t="s">
        <v>923</v>
      </c>
      <c r="AM280" t="s">
        <v>339</v>
      </c>
      <c r="AN280" t="s">
        <v>340</v>
      </c>
      <c r="AO280" t="s">
        <v>5437</v>
      </c>
      <c r="AP280" t="s">
        <v>5438</v>
      </c>
      <c r="AQ280" t="s">
        <v>74</v>
      </c>
      <c r="AR280" t="s">
        <v>5439</v>
      </c>
      <c r="AS280" t="s">
        <v>5440</v>
      </c>
      <c r="AT280" t="s">
        <v>5441</v>
      </c>
      <c r="AU280">
        <v>2010</v>
      </c>
      <c r="AV280">
        <v>20</v>
      </c>
      <c r="AW280">
        <v>6</v>
      </c>
      <c r="AX280" t="s">
        <v>74</v>
      </c>
      <c r="AY280" t="s">
        <v>74</v>
      </c>
      <c r="AZ280" t="s">
        <v>74</v>
      </c>
      <c r="BA280" t="s">
        <v>74</v>
      </c>
      <c r="BB280">
        <v>621</v>
      </c>
      <c r="BC280">
        <v>631</v>
      </c>
      <c r="BD280" t="s">
        <v>74</v>
      </c>
      <c r="BE280" t="s">
        <v>5442</v>
      </c>
      <c r="BF280" t="str">
        <f>HYPERLINK("http://dx.doi.org/10.1002/aqc.1136","http://dx.doi.org/10.1002/aqc.1136")</f>
        <v>http://dx.doi.org/10.1002/aqc.1136</v>
      </c>
      <c r="BG280" t="s">
        <v>74</v>
      </c>
      <c r="BH280" t="s">
        <v>74</v>
      </c>
      <c r="BI280">
        <v>11</v>
      </c>
      <c r="BJ280" t="s">
        <v>5443</v>
      </c>
      <c r="BK280" t="s">
        <v>100</v>
      </c>
      <c r="BL280" t="s">
        <v>5444</v>
      </c>
      <c r="BM280" t="s">
        <v>5445</v>
      </c>
      <c r="BN280" t="s">
        <v>74</v>
      </c>
      <c r="BO280" t="s">
        <v>74</v>
      </c>
      <c r="BP280" t="s">
        <v>74</v>
      </c>
      <c r="BQ280" t="s">
        <v>74</v>
      </c>
      <c r="BR280" t="s">
        <v>104</v>
      </c>
      <c r="BS280" t="s">
        <v>5446</v>
      </c>
      <c r="BT280" t="str">
        <f>HYPERLINK("https%3A%2F%2Fwww.webofscience.com%2Fwos%2Fwoscc%2Ffull-record%2FWOS:000282290500003","View Full Record in Web of Science")</f>
        <v>View Full Record in Web of Science</v>
      </c>
    </row>
    <row r="281" spans="1:72" x14ac:dyDescent="0.15">
      <c r="A281" t="s">
        <v>72</v>
      </c>
      <c r="B281" t="s">
        <v>5447</v>
      </c>
      <c r="C281" t="s">
        <v>74</v>
      </c>
      <c r="D281" t="s">
        <v>74</v>
      </c>
      <c r="E281" t="s">
        <v>74</v>
      </c>
      <c r="F281" t="s">
        <v>5448</v>
      </c>
      <c r="G281" t="s">
        <v>74</v>
      </c>
      <c r="H281" t="s">
        <v>74</v>
      </c>
      <c r="I281" t="s">
        <v>5449</v>
      </c>
      <c r="J281" t="s">
        <v>5429</v>
      </c>
      <c r="K281" t="s">
        <v>74</v>
      </c>
      <c r="L281" t="s">
        <v>74</v>
      </c>
      <c r="M281" t="s">
        <v>78</v>
      </c>
      <c r="N281" t="s">
        <v>79</v>
      </c>
      <c r="O281" t="s">
        <v>74</v>
      </c>
      <c r="P281" t="s">
        <v>74</v>
      </c>
      <c r="Q281" t="s">
        <v>74</v>
      </c>
      <c r="R281" t="s">
        <v>74</v>
      </c>
      <c r="S281" t="s">
        <v>74</v>
      </c>
      <c r="T281" t="s">
        <v>5450</v>
      </c>
      <c r="U281" t="s">
        <v>5451</v>
      </c>
      <c r="V281" t="s">
        <v>5452</v>
      </c>
      <c r="W281" t="s">
        <v>5453</v>
      </c>
      <c r="X281" t="s">
        <v>5454</v>
      </c>
      <c r="Y281" t="s">
        <v>5455</v>
      </c>
      <c r="Z281" t="s">
        <v>5456</v>
      </c>
      <c r="AA281" t="s">
        <v>5457</v>
      </c>
      <c r="AB281" t="s">
        <v>74</v>
      </c>
      <c r="AC281" t="s">
        <v>74</v>
      </c>
      <c r="AD281" t="s">
        <v>74</v>
      </c>
      <c r="AE281" t="s">
        <v>74</v>
      </c>
      <c r="AF281" t="s">
        <v>74</v>
      </c>
      <c r="AG281">
        <v>23</v>
      </c>
      <c r="AH281">
        <v>23</v>
      </c>
      <c r="AI281">
        <v>24</v>
      </c>
      <c r="AJ281">
        <v>2</v>
      </c>
      <c r="AK281">
        <v>8</v>
      </c>
      <c r="AL281" t="s">
        <v>923</v>
      </c>
      <c r="AM281" t="s">
        <v>339</v>
      </c>
      <c r="AN281" t="s">
        <v>340</v>
      </c>
      <c r="AO281" t="s">
        <v>5437</v>
      </c>
      <c r="AP281" t="s">
        <v>5438</v>
      </c>
      <c r="AQ281" t="s">
        <v>74</v>
      </c>
      <c r="AR281" t="s">
        <v>5439</v>
      </c>
      <c r="AS281" t="s">
        <v>5440</v>
      </c>
      <c r="AT281" t="s">
        <v>5441</v>
      </c>
      <c r="AU281">
        <v>2010</v>
      </c>
      <c r="AV281">
        <v>20</v>
      </c>
      <c r="AW281">
        <v>6</v>
      </c>
      <c r="AX281" t="s">
        <v>74</v>
      </c>
      <c r="AY281" t="s">
        <v>74</v>
      </c>
      <c r="AZ281" t="s">
        <v>74</v>
      </c>
      <c r="BA281" t="s">
        <v>74</v>
      </c>
      <c r="BB281">
        <v>632</v>
      </c>
      <c r="BC281">
        <v>643</v>
      </c>
      <c r="BD281" t="s">
        <v>74</v>
      </c>
      <c r="BE281" t="s">
        <v>5458</v>
      </c>
      <c r="BF281" t="str">
        <f>HYPERLINK("http://dx.doi.org/10.1002/aqc.1140","http://dx.doi.org/10.1002/aqc.1140")</f>
        <v>http://dx.doi.org/10.1002/aqc.1140</v>
      </c>
      <c r="BG281" t="s">
        <v>74</v>
      </c>
      <c r="BH281" t="s">
        <v>74</v>
      </c>
      <c r="BI281">
        <v>12</v>
      </c>
      <c r="BJ281" t="s">
        <v>5443</v>
      </c>
      <c r="BK281" t="s">
        <v>100</v>
      </c>
      <c r="BL281" t="s">
        <v>5444</v>
      </c>
      <c r="BM281" t="s">
        <v>5445</v>
      </c>
      <c r="BN281" t="s">
        <v>74</v>
      </c>
      <c r="BO281" t="s">
        <v>74</v>
      </c>
      <c r="BP281" t="s">
        <v>74</v>
      </c>
      <c r="BQ281" t="s">
        <v>74</v>
      </c>
      <c r="BR281" t="s">
        <v>104</v>
      </c>
      <c r="BS281" t="s">
        <v>5459</v>
      </c>
      <c r="BT281" t="str">
        <f>HYPERLINK("https%3A%2F%2Fwww.webofscience.com%2Fwos%2Fwoscc%2Ffull-record%2FWOS:000282290500004","View Full Record in Web of Science")</f>
        <v>View Full Record in Web of Science</v>
      </c>
    </row>
    <row r="282" spans="1:72" x14ac:dyDescent="0.15">
      <c r="A282" t="s">
        <v>72</v>
      </c>
      <c r="B282" t="s">
        <v>5460</v>
      </c>
      <c r="C282" t="s">
        <v>74</v>
      </c>
      <c r="D282" t="s">
        <v>74</v>
      </c>
      <c r="E282" t="s">
        <v>74</v>
      </c>
      <c r="F282" t="s">
        <v>5461</v>
      </c>
      <c r="G282" t="s">
        <v>74</v>
      </c>
      <c r="H282" t="s">
        <v>74</v>
      </c>
      <c r="I282" t="s">
        <v>5462</v>
      </c>
      <c r="J282" t="s">
        <v>5463</v>
      </c>
      <c r="K282" t="s">
        <v>74</v>
      </c>
      <c r="L282" t="s">
        <v>74</v>
      </c>
      <c r="M282" t="s">
        <v>78</v>
      </c>
      <c r="N282" t="s">
        <v>79</v>
      </c>
      <c r="O282" t="s">
        <v>74</v>
      </c>
      <c r="P282" t="s">
        <v>74</v>
      </c>
      <c r="Q282" t="s">
        <v>74</v>
      </c>
      <c r="R282" t="s">
        <v>74</v>
      </c>
      <c r="S282" t="s">
        <v>74</v>
      </c>
      <c r="T282" t="s">
        <v>5464</v>
      </c>
      <c r="U282" t="s">
        <v>5465</v>
      </c>
      <c r="V282" t="s">
        <v>5466</v>
      </c>
      <c r="W282" t="s">
        <v>5467</v>
      </c>
      <c r="X282" t="s">
        <v>5468</v>
      </c>
      <c r="Y282" t="s">
        <v>5469</v>
      </c>
      <c r="Z282" t="s">
        <v>5470</v>
      </c>
      <c r="AA282" t="s">
        <v>5471</v>
      </c>
      <c r="AB282" t="s">
        <v>5472</v>
      </c>
      <c r="AC282" t="s">
        <v>5473</v>
      </c>
      <c r="AD282" t="s">
        <v>5474</v>
      </c>
      <c r="AE282" t="s">
        <v>5475</v>
      </c>
      <c r="AF282" t="s">
        <v>74</v>
      </c>
      <c r="AG282">
        <v>28</v>
      </c>
      <c r="AH282">
        <v>42</v>
      </c>
      <c r="AI282">
        <v>45</v>
      </c>
      <c r="AJ282">
        <v>0</v>
      </c>
      <c r="AK282">
        <v>18</v>
      </c>
      <c r="AL282" t="s">
        <v>5476</v>
      </c>
      <c r="AM282" t="s">
        <v>5477</v>
      </c>
      <c r="AN282" t="s">
        <v>5478</v>
      </c>
      <c r="AO282" t="s">
        <v>5479</v>
      </c>
      <c r="AP282" t="s">
        <v>74</v>
      </c>
      <c r="AQ282" t="s">
        <v>74</v>
      </c>
      <c r="AR282" t="s">
        <v>5463</v>
      </c>
      <c r="AS282" t="s">
        <v>5480</v>
      </c>
      <c r="AT282" t="s">
        <v>5481</v>
      </c>
      <c r="AU282">
        <v>2010</v>
      </c>
      <c r="AV282">
        <v>98</v>
      </c>
      <c r="AW282">
        <v>2</v>
      </c>
      <c r="AX282" t="s">
        <v>74</v>
      </c>
      <c r="AY282" t="s">
        <v>74</v>
      </c>
      <c r="AZ282" t="s">
        <v>74</v>
      </c>
      <c r="BA282" t="s">
        <v>74</v>
      </c>
      <c r="BB282">
        <v>217</v>
      </c>
      <c r="BC282">
        <v>224</v>
      </c>
      <c r="BD282" t="s">
        <v>74</v>
      </c>
      <c r="BE282" t="s">
        <v>5482</v>
      </c>
      <c r="BF282" t="str">
        <f>HYPERLINK("http://dx.doi.org/10.5253/078.098.0212","http://dx.doi.org/10.5253/078.098.0212")</f>
        <v>http://dx.doi.org/10.5253/078.098.0212</v>
      </c>
      <c r="BG282" t="s">
        <v>74</v>
      </c>
      <c r="BH282" t="s">
        <v>74</v>
      </c>
      <c r="BI282">
        <v>8</v>
      </c>
      <c r="BJ282" t="s">
        <v>491</v>
      </c>
      <c r="BK282" t="s">
        <v>100</v>
      </c>
      <c r="BL282" t="s">
        <v>492</v>
      </c>
      <c r="BM282" t="s">
        <v>5483</v>
      </c>
      <c r="BN282" t="s">
        <v>74</v>
      </c>
      <c r="BO282" t="s">
        <v>394</v>
      </c>
      <c r="BP282" t="s">
        <v>74</v>
      </c>
      <c r="BQ282" t="s">
        <v>74</v>
      </c>
      <c r="BR282" t="s">
        <v>104</v>
      </c>
      <c r="BS282" t="s">
        <v>5484</v>
      </c>
      <c r="BT282" t="str">
        <f>HYPERLINK("https%3A%2F%2Fwww.webofscience.com%2Fwos%2Fwoscc%2Ffull-record%2FWOS:000284440400012","View Full Record in Web of Science")</f>
        <v>View Full Record in Web of Science</v>
      </c>
    </row>
    <row r="283" spans="1:72" x14ac:dyDescent="0.15">
      <c r="A283" t="s">
        <v>72</v>
      </c>
      <c r="B283" t="s">
        <v>5485</v>
      </c>
      <c r="C283" t="s">
        <v>74</v>
      </c>
      <c r="D283" t="s">
        <v>74</v>
      </c>
      <c r="E283" t="s">
        <v>74</v>
      </c>
      <c r="F283" t="s">
        <v>5486</v>
      </c>
      <c r="G283" t="s">
        <v>74</v>
      </c>
      <c r="H283" t="s">
        <v>74</v>
      </c>
      <c r="I283" t="s">
        <v>5487</v>
      </c>
      <c r="J283" t="s">
        <v>5463</v>
      </c>
      <c r="K283" t="s">
        <v>74</v>
      </c>
      <c r="L283" t="s">
        <v>74</v>
      </c>
      <c r="M283" t="s">
        <v>78</v>
      </c>
      <c r="N283" t="s">
        <v>79</v>
      </c>
      <c r="O283" t="s">
        <v>74</v>
      </c>
      <c r="P283" t="s">
        <v>74</v>
      </c>
      <c r="Q283" t="s">
        <v>74</v>
      </c>
      <c r="R283" t="s">
        <v>74</v>
      </c>
      <c r="S283" t="s">
        <v>74</v>
      </c>
      <c r="T283" t="s">
        <v>5488</v>
      </c>
      <c r="U283" t="s">
        <v>5489</v>
      </c>
      <c r="V283" t="s">
        <v>5490</v>
      </c>
      <c r="W283" t="s">
        <v>5491</v>
      </c>
      <c r="X283" t="s">
        <v>5492</v>
      </c>
      <c r="Y283" t="s">
        <v>5493</v>
      </c>
      <c r="Z283" t="s">
        <v>5494</v>
      </c>
      <c r="AA283" t="s">
        <v>5495</v>
      </c>
      <c r="AB283" t="s">
        <v>5496</v>
      </c>
      <c r="AC283" t="s">
        <v>5497</v>
      </c>
      <c r="AD283" t="s">
        <v>5498</v>
      </c>
      <c r="AE283" t="s">
        <v>5499</v>
      </c>
      <c r="AF283" t="s">
        <v>74</v>
      </c>
      <c r="AG283">
        <v>24</v>
      </c>
      <c r="AH283">
        <v>2</v>
      </c>
      <c r="AI283">
        <v>2</v>
      </c>
      <c r="AJ283">
        <v>0</v>
      </c>
      <c r="AK283">
        <v>8</v>
      </c>
      <c r="AL283" t="s">
        <v>5476</v>
      </c>
      <c r="AM283" t="s">
        <v>5477</v>
      </c>
      <c r="AN283" t="s">
        <v>5478</v>
      </c>
      <c r="AO283" t="s">
        <v>5479</v>
      </c>
      <c r="AP283" t="s">
        <v>74</v>
      </c>
      <c r="AQ283" t="s">
        <v>74</v>
      </c>
      <c r="AR283" t="s">
        <v>5463</v>
      </c>
      <c r="AS283" t="s">
        <v>5480</v>
      </c>
      <c r="AT283" t="s">
        <v>5481</v>
      </c>
      <c r="AU283">
        <v>2010</v>
      </c>
      <c r="AV283">
        <v>98</v>
      </c>
      <c r="AW283">
        <v>2</v>
      </c>
      <c r="AX283" t="s">
        <v>74</v>
      </c>
      <c r="AY283" t="s">
        <v>74</v>
      </c>
      <c r="AZ283" t="s">
        <v>74</v>
      </c>
      <c r="BA283" t="s">
        <v>74</v>
      </c>
      <c r="BB283">
        <v>242</v>
      </c>
      <c r="BC283">
        <v>246</v>
      </c>
      <c r="BD283" t="s">
        <v>74</v>
      </c>
      <c r="BE283" t="s">
        <v>5500</v>
      </c>
      <c r="BF283" t="str">
        <f>HYPERLINK("http://dx.doi.org/10.5253/078.098.0215","http://dx.doi.org/10.5253/078.098.0215")</f>
        <v>http://dx.doi.org/10.5253/078.098.0215</v>
      </c>
      <c r="BG283" t="s">
        <v>74</v>
      </c>
      <c r="BH283" t="s">
        <v>74</v>
      </c>
      <c r="BI283">
        <v>5</v>
      </c>
      <c r="BJ283" t="s">
        <v>491</v>
      </c>
      <c r="BK283" t="s">
        <v>100</v>
      </c>
      <c r="BL283" t="s">
        <v>492</v>
      </c>
      <c r="BM283" t="s">
        <v>5483</v>
      </c>
      <c r="BN283" t="s">
        <v>74</v>
      </c>
      <c r="BO283" t="s">
        <v>394</v>
      </c>
      <c r="BP283" t="s">
        <v>74</v>
      </c>
      <c r="BQ283" t="s">
        <v>74</v>
      </c>
      <c r="BR283" t="s">
        <v>104</v>
      </c>
      <c r="BS283" t="s">
        <v>5501</v>
      </c>
      <c r="BT283" t="str">
        <f>HYPERLINK("https%3A%2F%2Fwww.webofscience.com%2Fwos%2Fwoscc%2Ffull-record%2FWOS:000284440400015","View Full Record in Web of Science")</f>
        <v>View Full Record in Web of Science</v>
      </c>
    </row>
    <row r="284" spans="1:72" x14ac:dyDescent="0.15">
      <c r="A284" t="s">
        <v>72</v>
      </c>
      <c r="B284" t="s">
        <v>5502</v>
      </c>
      <c r="C284" t="s">
        <v>74</v>
      </c>
      <c r="D284" t="s">
        <v>74</v>
      </c>
      <c r="E284" t="s">
        <v>74</v>
      </c>
      <c r="F284" t="s">
        <v>5503</v>
      </c>
      <c r="G284" t="s">
        <v>74</v>
      </c>
      <c r="H284" t="s">
        <v>74</v>
      </c>
      <c r="I284" t="s">
        <v>5504</v>
      </c>
      <c r="J284" t="s">
        <v>5463</v>
      </c>
      <c r="K284" t="s">
        <v>74</v>
      </c>
      <c r="L284" t="s">
        <v>74</v>
      </c>
      <c r="M284" t="s">
        <v>78</v>
      </c>
      <c r="N284" t="s">
        <v>79</v>
      </c>
      <c r="O284" t="s">
        <v>74</v>
      </c>
      <c r="P284" t="s">
        <v>74</v>
      </c>
      <c r="Q284" t="s">
        <v>74</v>
      </c>
      <c r="R284" t="s">
        <v>74</v>
      </c>
      <c r="S284" t="s">
        <v>74</v>
      </c>
      <c r="T284" t="s">
        <v>5505</v>
      </c>
      <c r="U284" t="s">
        <v>5506</v>
      </c>
      <c r="V284" t="s">
        <v>5507</v>
      </c>
      <c r="W284" t="s">
        <v>5508</v>
      </c>
      <c r="X284" t="s">
        <v>5509</v>
      </c>
      <c r="Y284" t="s">
        <v>5510</v>
      </c>
      <c r="Z284" t="s">
        <v>5511</v>
      </c>
      <c r="AA284" t="s">
        <v>74</v>
      </c>
      <c r="AB284" t="s">
        <v>5512</v>
      </c>
      <c r="AC284" t="s">
        <v>5513</v>
      </c>
      <c r="AD284" t="s">
        <v>5514</v>
      </c>
      <c r="AE284" t="s">
        <v>5515</v>
      </c>
      <c r="AF284" t="s">
        <v>74</v>
      </c>
      <c r="AG284">
        <v>16</v>
      </c>
      <c r="AH284">
        <v>4</v>
      </c>
      <c r="AI284">
        <v>4</v>
      </c>
      <c r="AJ284">
        <v>0</v>
      </c>
      <c r="AK284">
        <v>4</v>
      </c>
      <c r="AL284" t="s">
        <v>5476</v>
      </c>
      <c r="AM284" t="s">
        <v>5477</v>
      </c>
      <c r="AN284" t="s">
        <v>5478</v>
      </c>
      <c r="AO284" t="s">
        <v>5479</v>
      </c>
      <c r="AP284" t="s">
        <v>5516</v>
      </c>
      <c r="AQ284" t="s">
        <v>74</v>
      </c>
      <c r="AR284" t="s">
        <v>5463</v>
      </c>
      <c r="AS284" t="s">
        <v>5480</v>
      </c>
      <c r="AT284" t="s">
        <v>5481</v>
      </c>
      <c r="AU284">
        <v>2010</v>
      </c>
      <c r="AV284">
        <v>98</v>
      </c>
      <c r="AW284">
        <v>2</v>
      </c>
      <c r="AX284" t="s">
        <v>74</v>
      </c>
      <c r="AY284" t="s">
        <v>74</v>
      </c>
      <c r="AZ284" t="s">
        <v>74</v>
      </c>
      <c r="BA284" t="s">
        <v>74</v>
      </c>
      <c r="BB284">
        <v>247</v>
      </c>
      <c r="BC284">
        <v>250</v>
      </c>
      <c r="BD284" t="s">
        <v>74</v>
      </c>
      <c r="BE284" t="s">
        <v>5517</v>
      </c>
      <c r="BF284" t="str">
        <f>HYPERLINK("http://dx.doi.org/10.5253/078.098.0216","http://dx.doi.org/10.5253/078.098.0216")</f>
        <v>http://dx.doi.org/10.5253/078.098.0216</v>
      </c>
      <c r="BG284" t="s">
        <v>74</v>
      </c>
      <c r="BH284" t="s">
        <v>74</v>
      </c>
      <c r="BI284">
        <v>4</v>
      </c>
      <c r="BJ284" t="s">
        <v>491</v>
      </c>
      <c r="BK284" t="s">
        <v>100</v>
      </c>
      <c r="BL284" t="s">
        <v>492</v>
      </c>
      <c r="BM284" t="s">
        <v>5483</v>
      </c>
      <c r="BN284" t="s">
        <v>74</v>
      </c>
      <c r="BO284" t="s">
        <v>394</v>
      </c>
      <c r="BP284" t="s">
        <v>74</v>
      </c>
      <c r="BQ284" t="s">
        <v>74</v>
      </c>
      <c r="BR284" t="s">
        <v>104</v>
      </c>
      <c r="BS284" t="s">
        <v>5518</v>
      </c>
      <c r="BT284" t="str">
        <f>HYPERLINK("https%3A%2F%2Fwww.webofscience.com%2Fwos%2Fwoscc%2Ffull-record%2FWOS:000284440400016","View Full Record in Web of Science")</f>
        <v>View Full Record in Web of Science</v>
      </c>
    </row>
    <row r="285" spans="1:72" x14ac:dyDescent="0.15">
      <c r="A285" t="s">
        <v>72</v>
      </c>
      <c r="B285" t="s">
        <v>5519</v>
      </c>
      <c r="C285" t="s">
        <v>74</v>
      </c>
      <c r="D285" t="s">
        <v>74</v>
      </c>
      <c r="E285" t="s">
        <v>74</v>
      </c>
      <c r="F285" t="s">
        <v>5520</v>
      </c>
      <c r="G285" t="s">
        <v>74</v>
      </c>
      <c r="H285" t="s">
        <v>74</v>
      </c>
      <c r="I285" t="s">
        <v>5521</v>
      </c>
      <c r="J285" t="s">
        <v>5522</v>
      </c>
      <c r="K285" t="s">
        <v>74</v>
      </c>
      <c r="L285" t="s">
        <v>74</v>
      </c>
      <c r="M285" t="s">
        <v>78</v>
      </c>
      <c r="N285" t="s">
        <v>79</v>
      </c>
      <c r="O285" t="s">
        <v>74</v>
      </c>
      <c r="P285" t="s">
        <v>74</v>
      </c>
      <c r="Q285" t="s">
        <v>74</v>
      </c>
      <c r="R285" t="s">
        <v>74</v>
      </c>
      <c r="S285" t="s">
        <v>74</v>
      </c>
      <c r="T285" t="s">
        <v>5523</v>
      </c>
      <c r="U285" t="s">
        <v>5524</v>
      </c>
      <c r="V285" t="s">
        <v>5525</v>
      </c>
      <c r="W285" t="s">
        <v>5526</v>
      </c>
      <c r="X285" t="s">
        <v>5527</v>
      </c>
      <c r="Y285" t="s">
        <v>5528</v>
      </c>
      <c r="Z285" t="s">
        <v>5529</v>
      </c>
      <c r="AA285" t="s">
        <v>5530</v>
      </c>
      <c r="AB285" t="s">
        <v>5531</v>
      </c>
      <c r="AC285" t="s">
        <v>5532</v>
      </c>
      <c r="AD285" t="s">
        <v>5533</v>
      </c>
      <c r="AE285" t="s">
        <v>5534</v>
      </c>
      <c r="AF285" t="s">
        <v>74</v>
      </c>
      <c r="AG285">
        <v>112</v>
      </c>
      <c r="AH285">
        <v>63</v>
      </c>
      <c r="AI285">
        <v>74</v>
      </c>
      <c r="AJ285">
        <v>1</v>
      </c>
      <c r="AK285">
        <v>52</v>
      </c>
      <c r="AL285" t="s">
        <v>5535</v>
      </c>
      <c r="AM285" t="s">
        <v>5536</v>
      </c>
      <c r="AN285" t="s">
        <v>5537</v>
      </c>
      <c r="AO285" t="s">
        <v>5538</v>
      </c>
      <c r="AP285" t="s">
        <v>5539</v>
      </c>
      <c r="AQ285" t="s">
        <v>74</v>
      </c>
      <c r="AR285" t="s">
        <v>5522</v>
      </c>
      <c r="AS285" t="s">
        <v>5540</v>
      </c>
      <c r="AT285" t="s">
        <v>5206</v>
      </c>
      <c r="AU285">
        <v>2010</v>
      </c>
      <c r="AV285">
        <v>10</v>
      </c>
      <c r="AW285">
        <v>7</v>
      </c>
      <c r="AX285" t="s">
        <v>74</v>
      </c>
      <c r="AY285" t="s">
        <v>74</v>
      </c>
      <c r="AZ285" t="s">
        <v>74</v>
      </c>
      <c r="BA285" t="s">
        <v>74</v>
      </c>
      <c r="BB285">
        <v>717</v>
      </c>
      <c r="BC285">
        <v>732</v>
      </c>
      <c r="BD285" t="s">
        <v>74</v>
      </c>
      <c r="BE285" t="s">
        <v>5541</v>
      </c>
      <c r="BF285" t="str">
        <f>HYPERLINK("http://dx.doi.org/10.1089/ast.2009.0439","http://dx.doi.org/10.1089/ast.2009.0439")</f>
        <v>http://dx.doi.org/10.1089/ast.2009.0439</v>
      </c>
      <c r="BG285" t="s">
        <v>74</v>
      </c>
      <c r="BH285" t="s">
        <v>74</v>
      </c>
      <c r="BI285">
        <v>16</v>
      </c>
      <c r="BJ285" t="s">
        <v>3340</v>
      </c>
      <c r="BK285" t="s">
        <v>100</v>
      </c>
      <c r="BL285" t="s">
        <v>3341</v>
      </c>
      <c r="BM285" t="s">
        <v>5542</v>
      </c>
      <c r="BN285">
        <v>20950171</v>
      </c>
      <c r="BO285" t="s">
        <v>74</v>
      </c>
      <c r="BP285" t="s">
        <v>74</v>
      </c>
      <c r="BQ285" t="s">
        <v>74</v>
      </c>
      <c r="BR285" t="s">
        <v>104</v>
      </c>
      <c r="BS285" t="s">
        <v>5543</v>
      </c>
      <c r="BT285" t="str">
        <f>HYPERLINK("https%3A%2F%2Fwww.webofscience.com%2Fwos%2Fwoscc%2Ffull-record%2FWOS:000283483100005","View Full Record in Web of Science")</f>
        <v>View Full Record in Web of Science</v>
      </c>
    </row>
    <row r="286" spans="1:72" x14ac:dyDescent="0.15">
      <c r="A286" t="s">
        <v>72</v>
      </c>
      <c r="B286" t="s">
        <v>5544</v>
      </c>
      <c r="C286" t="s">
        <v>74</v>
      </c>
      <c r="D286" t="s">
        <v>74</v>
      </c>
      <c r="E286" t="s">
        <v>74</v>
      </c>
      <c r="F286" t="s">
        <v>5545</v>
      </c>
      <c r="G286" t="s">
        <v>74</v>
      </c>
      <c r="H286" t="s">
        <v>74</v>
      </c>
      <c r="I286" t="s">
        <v>5546</v>
      </c>
      <c r="J286" t="s">
        <v>5547</v>
      </c>
      <c r="K286" t="s">
        <v>74</v>
      </c>
      <c r="L286" t="s">
        <v>74</v>
      </c>
      <c r="M286" t="s">
        <v>5548</v>
      </c>
      <c r="N286" t="s">
        <v>79</v>
      </c>
      <c r="O286" t="s">
        <v>74</v>
      </c>
      <c r="P286" t="s">
        <v>74</v>
      </c>
      <c r="Q286" t="s">
        <v>74</v>
      </c>
      <c r="R286" t="s">
        <v>74</v>
      </c>
      <c r="S286" t="s">
        <v>74</v>
      </c>
      <c r="T286" t="s">
        <v>5549</v>
      </c>
      <c r="U286" t="s">
        <v>74</v>
      </c>
      <c r="V286" t="s">
        <v>5550</v>
      </c>
      <c r="W286" t="s">
        <v>5551</v>
      </c>
      <c r="X286" t="s">
        <v>5552</v>
      </c>
      <c r="Y286" t="s">
        <v>5553</v>
      </c>
      <c r="Z286" t="s">
        <v>5554</v>
      </c>
      <c r="AA286" t="s">
        <v>74</v>
      </c>
      <c r="AB286" t="s">
        <v>74</v>
      </c>
      <c r="AC286" t="s">
        <v>74</v>
      </c>
      <c r="AD286" t="s">
        <v>74</v>
      </c>
      <c r="AE286" t="s">
        <v>74</v>
      </c>
      <c r="AF286" t="s">
        <v>74</v>
      </c>
      <c r="AG286">
        <v>23</v>
      </c>
      <c r="AH286">
        <v>1</v>
      </c>
      <c r="AI286">
        <v>1</v>
      </c>
      <c r="AJ286">
        <v>0</v>
      </c>
      <c r="AK286">
        <v>0</v>
      </c>
      <c r="AL286" t="s">
        <v>5555</v>
      </c>
      <c r="AM286" t="s">
        <v>5556</v>
      </c>
      <c r="AN286" t="s">
        <v>5557</v>
      </c>
      <c r="AO286" t="s">
        <v>5558</v>
      </c>
      <c r="AP286" t="s">
        <v>5559</v>
      </c>
      <c r="AQ286" t="s">
        <v>74</v>
      </c>
      <c r="AR286" t="s">
        <v>5560</v>
      </c>
      <c r="AS286" t="s">
        <v>5561</v>
      </c>
      <c r="AT286" t="s">
        <v>5206</v>
      </c>
      <c r="AU286">
        <v>2010</v>
      </c>
      <c r="AV286">
        <v>20</v>
      </c>
      <c r="AW286">
        <v>3</v>
      </c>
      <c r="AX286" t="s">
        <v>74</v>
      </c>
      <c r="AY286" t="s">
        <v>74</v>
      </c>
      <c r="AZ286" t="s">
        <v>74</v>
      </c>
      <c r="BA286" t="s">
        <v>74</v>
      </c>
      <c r="BB286">
        <v>367</v>
      </c>
      <c r="BC286">
        <v>377</v>
      </c>
      <c r="BD286" t="s">
        <v>74</v>
      </c>
      <c r="BE286" t="s">
        <v>74</v>
      </c>
      <c r="BF286" t="s">
        <v>74</v>
      </c>
      <c r="BG286" t="s">
        <v>74</v>
      </c>
      <c r="BH286" t="s">
        <v>74</v>
      </c>
      <c r="BI286">
        <v>11</v>
      </c>
      <c r="BJ286" t="s">
        <v>319</v>
      </c>
      <c r="BK286" t="s">
        <v>3947</v>
      </c>
      <c r="BL286" t="s">
        <v>319</v>
      </c>
      <c r="BM286" t="s">
        <v>5562</v>
      </c>
      <c r="BN286" t="s">
        <v>74</v>
      </c>
      <c r="BO286" t="s">
        <v>74</v>
      </c>
      <c r="BP286" t="s">
        <v>74</v>
      </c>
      <c r="BQ286" t="s">
        <v>74</v>
      </c>
      <c r="BR286" t="s">
        <v>104</v>
      </c>
      <c r="BS286" t="s">
        <v>5563</v>
      </c>
      <c r="BT286" t="str">
        <f>HYPERLINK("https%3A%2F%2Fwww.webofscience.com%2Fwos%2Fwoscc%2Ffull-record%2FWOS:000422549100013","View Full Record in Web of Science")</f>
        <v>View Full Record in Web of Science</v>
      </c>
    </row>
    <row r="287" spans="1:72" x14ac:dyDescent="0.15">
      <c r="A287" t="s">
        <v>72</v>
      </c>
      <c r="B287" t="s">
        <v>5564</v>
      </c>
      <c r="C287" t="s">
        <v>74</v>
      </c>
      <c r="D287" t="s">
        <v>74</v>
      </c>
      <c r="E287" t="s">
        <v>74</v>
      </c>
      <c r="F287" t="s">
        <v>5565</v>
      </c>
      <c r="G287" t="s">
        <v>74</v>
      </c>
      <c r="H287" t="s">
        <v>74</v>
      </c>
      <c r="I287" t="s">
        <v>5566</v>
      </c>
      <c r="J287" t="s">
        <v>5567</v>
      </c>
      <c r="K287" t="s">
        <v>74</v>
      </c>
      <c r="L287" t="s">
        <v>74</v>
      </c>
      <c r="M287" t="s">
        <v>78</v>
      </c>
      <c r="N287" t="s">
        <v>79</v>
      </c>
      <c r="O287" t="s">
        <v>74</v>
      </c>
      <c r="P287" t="s">
        <v>74</v>
      </c>
      <c r="Q287" t="s">
        <v>74</v>
      </c>
      <c r="R287" t="s">
        <v>74</v>
      </c>
      <c r="S287" t="s">
        <v>74</v>
      </c>
      <c r="T287" t="s">
        <v>5568</v>
      </c>
      <c r="U287" t="s">
        <v>5569</v>
      </c>
      <c r="V287" t="s">
        <v>5570</v>
      </c>
      <c r="W287" t="s">
        <v>5571</v>
      </c>
      <c r="X287" t="s">
        <v>5572</v>
      </c>
      <c r="Y287" t="s">
        <v>5573</v>
      </c>
      <c r="Z287" t="s">
        <v>5574</v>
      </c>
      <c r="AA287" t="s">
        <v>74</v>
      </c>
      <c r="AB287" t="s">
        <v>5575</v>
      </c>
      <c r="AC287" t="s">
        <v>5576</v>
      </c>
      <c r="AD287" t="s">
        <v>5577</v>
      </c>
      <c r="AE287" t="s">
        <v>5578</v>
      </c>
      <c r="AF287" t="s">
        <v>74</v>
      </c>
      <c r="AG287">
        <v>81</v>
      </c>
      <c r="AH287">
        <v>8</v>
      </c>
      <c r="AI287">
        <v>8</v>
      </c>
      <c r="AJ287">
        <v>2</v>
      </c>
      <c r="AK287">
        <v>20</v>
      </c>
      <c r="AL287" t="s">
        <v>648</v>
      </c>
      <c r="AM287" t="s">
        <v>265</v>
      </c>
      <c r="AN287" t="s">
        <v>649</v>
      </c>
      <c r="AO287" t="s">
        <v>5579</v>
      </c>
      <c r="AP287" t="s">
        <v>5580</v>
      </c>
      <c r="AQ287" t="s">
        <v>74</v>
      </c>
      <c r="AR287" t="s">
        <v>5581</v>
      </c>
      <c r="AS287" t="s">
        <v>5582</v>
      </c>
      <c r="AT287" t="s">
        <v>5206</v>
      </c>
      <c r="AU287">
        <v>2010</v>
      </c>
      <c r="AV287">
        <v>101</v>
      </c>
      <c r="AW287">
        <v>1</v>
      </c>
      <c r="AX287" t="s">
        <v>74</v>
      </c>
      <c r="AY287" t="s">
        <v>74</v>
      </c>
      <c r="AZ287" t="s">
        <v>74</v>
      </c>
      <c r="BA287" t="s">
        <v>74</v>
      </c>
      <c r="BB287">
        <v>78</v>
      </c>
      <c r="BC287">
        <v>92</v>
      </c>
      <c r="BD287" t="s">
        <v>74</v>
      </c>
      <c r="BE287" t="s">
        <v>5583</v>
      </c>
      <c r="BF287" t="str">
        <f>HYPERLINK("http://dx.doi.org/10.1111/j.1095-8312.2010.01480.x","http://dx.doi.org/10.1111/j.1095-8312.2010.01480.x")</f>
        <v>http://dx.doi.org/10.1111/j.1095-8312.2010.01480.x</v>
      </c>
      <c r="BG287" t="s">
        <v>74</v>
      </c>
      <c r="BH287" t="s">
        <v>74</v>
      </c>
      <c r="BI287">
        <v>15</v>
      </c>
      <c r="BJ287" t="s">
        <v>5584</v>
      </c>
      <c r="BK287" t="s">
        <v>100</v>
      </c>
      <c r="BL287" t="s">
        <v>5584</v>
      </c>
      <c r="BM287" t="s">
        <v>5585</v>
      </c>
      <c r="BN287" t="s">
        <v>74</v>
      </c>
      <c r="BO287" t="s">
        <v>74</v>
      </c>
      <c r="BP287" t="s">
        <v>74</v>
      </c>
      <c r="BQ287" t="s">
        <v>74</v>
      </c>
      <c r="BR287" t="s">
        <v>104</v>
      </c>
      <c r="BS287" t="s">
        <v>5586</v>
      </c>
      <c r="BT287" t="str">
        <f>HYPERLINK("https%3A%2F%2Fwww.webofscience.com%2Fwos%2Fwoscc%2Ffull-record%2FWOS:000281210500008","View Full Record in Web of Science")</f>
        <v>View Full Record in Web of Science</v>
      </c>
    </row>
    <row r="288" spans="1:72" x14ac:dyDescent="0.15">
      <c r="A288" t="s">
        <v>72</v>
      </c>
      <c r="B288" t="s">
        <v>5587</v>
      </c>
      <c r="C288" t="s">
        <v>74</v>
      </c>
      <c r="D288" t="s">
        <v>74</v>
      </c>
      <c r="E288" t="s">
        <v>74</v>
      </c>
      <c r="F288" t="s">
        <v>5588</v>
      </c>
      <c r="G288" t="s">
        <v>74</v>
      </c>
      <c r="H288" t="s">
        <v>74</v>
      </c>
      <c r="I288" t="s">
        <v>5589</v>
      </c>
      <c r="J288" t="s">
        <v>5590</v>
      </c>
      <c r="K288" t="s">
        <v>74</v>
      </c>
      <c r="L288" t="s">
        <v>74</v>
      </c>
      <c r="M288" t="s">
        <v>78</v>
      </c>
      <c r="N288" t="s">
        <v>79</v>
      </c>
      <c r="O288" t="s">
        <v>74</v>
      </c>
      <c r="P288" t="s">
        <v>74</v>
      </c>
      <c r="Q288" t="s">
        <v>74</v>
      </c>
      <c r="R288" t="s">
        <v>74</v>
      </c>
      <c r="S288" t="s">
        <v>74</v>
      </c>
      <c r="T288" t="s">
        <v>74</v>
      </c>
      <c r="U288" t="s">
        <v>5591</v>
      </c>
      <c r="V288" t="s">
        <v>5592</v>
      </c>
      <c r="W288" t="s">
        <v>5593</v>
      </c>
      <c r="X288" t="s">
        <v>5594</v>
      </c>
      <c r="Y288" t="s">
        <v>5595</v>
      </c>
      <c r="Z288" t="s">
        <v>5596</v>
      </c>
      <c r="AA288" t="s">
        <v>5597</v>
      </c>
      <c r="AB288" t="s">
        <v>5598</v>
      </c>
      <c r="AC288" t="s">
        <v>5599</v>
      </c>
      <c r="AD288" t="s">
        <v>5600</v>
      </c>
      <c r="AE288" t="s">
        <v>5601</v>
      </c>
      <c r="AF288" t="s">
        <v>74</v>
      </c>
      <c r="AG288">
        <v>111</v>
      </c>
      <c r="AH288">
        <v>27</v>
      </c>
      <c r="AI288">
        <v>31</v>
      </c>
      <c r="AJ288">
        <v>2</v>
      </c>
      <c r="AK288">
        <v>54</v>
      </c>
      <c r="AL288" t="s">
        <v>5602</v>
      </c>
      <c r="AM288" t="s">
        <v>5603</v>
      </c>
      <c r="AN288" t="s">
        <v>5604</v>
      </c>
      <c r="AO288" t="s">
        <v>5605</v>
      </c>
      <c r="AP288" t="s">
        <v>5606</v>
      </c>
      <c r="AQ288" t="s">
        <v>74</v>
      </c>
      <c r="AR288" t="s">
        <v>5607</v>
      </c>
      <c r="AS288" t="s">
        <v>5608</v>
      </c>
      <c r="AT288" t="s">
        <v>5206</v>
      </c>
      <c r="AU288">
        <v>2010</v>
      </c>
      <c r="AV288">
        <v>88</v>
      </c>
      <c r="AW288">
        <v>9</v>
      </c>
      <c r="AX288" t="s">
        <v>74</v>
      </c>
      <c r="AY288" t="s">
        <v>74</v>
      </c>
      <c r="AZ288" t="s">
        <v>74</v>
      </c>
      <c r="BA288" t="s">
        <v>74</v>
      </c>
      <c r="BB288">
        <v>889</v>
      </c>
      <c r="BC288">
        <v>899</v>
      </c>
      <c r="BD288" t="s">
        <v>74</v>
      </c>
      <c r="BE288" t="s">
        <v>5609</v>
      </c>
      <c r="BF288" t="str">
        <f>HYPERLINK("http://dx.doi.org/10.1139/Z10-054","http://dx.doi.org/10.1139/Z10-054")</f>
        <v>http://dx.doi.org/10.1139/Z10-054</v>
      </c>
      <c r="BG288" t="s">
        <v>74</v>
      </c>
      <c r="BH288" t="s">
        <v>74</v>
      </c>
      <c r="BI288">
        <v>11</v>
      </c>
      <c r="BJ288" t="s">
        <v>492</v>
      </c>
      <c r="BK288" t="s">
        <v>100</v>
      </c>
      <c r="BL288" t="s">
        <v>492</v>
      </c>
      <c r="BM288" t="s">
        <v>5610</v>
      </c>
      <c r="BN288" t="s">
        <v>74</v>
      </c>
      <c r="BO288" t="s">
        <v>74</v>
      </c>
      <c r="BP288" t="s">
        <v>74</v>
      </c>
      <c r="BQ288" t="s">
        <v>74</v>
      </c>
      <c r="BR288" t="s">
        <v>104</v>
      </c>
      <c r="BS288" t="s">
        <v>5611</v>
      </c>
      <c r="BT288" t="str">
        <f>HYPERLINK("https%3A%2F%2Fwww.webofscience.com%2Fwos%2Fwoscc%2Ffull-record%2FWOS:000282587300007","View Full Record in Web of Science")</f>
        <v>View Full Record in Web of Science</v>
      </c>
    </row>
    <row r="289" spans="1:72" x14ac:dyDescent="0.15">
      <c r="A289" t="s">
        <v>72</v>
      </c>
      <c r="B289" t="s">
        <v>5587</v>
      </c>
      <c r="C289" t="s">
        <v>74</v>
      </c>
      <c r="D289" t="s">
        <v>74</v>
      </c>
      <c r="E289" t="s">
        <v>74</v>
      </c>
      <c r="F289" t="s">
        <v>5588</v>
      </c>
      <c r="G289" t="s">
        <v>74</v>
      </c>
      <c r="H289" t="s">
        <v>74</v>
      </c>
      <c r="I289" t="s">
        <v>5612</v>
      </c>
      <c r="J289" t="s">
        <v>5590</v>
      </c>
      <c r="K289" t="s">
        <v>74</v>
      </c>
      <c r="L289" t="s">
        <v>74</v>
      </c>
      <c r="M289" t="s">
        <v>78</v>
      </c>
      <c r="N289" t="s">
        <v>79</v>
      </c>
      <c r="O289" t="s">
        <v>74</v>
      </c>
      <c r="P289" t="s">
        <v>74</v>
      </c>
      <c r="Q289" t="s">
        <v>74</v>
      </c>
      <c r="R289" t="s">
        <v>74</v>
      </c>
      <c r="S289" t="s">
        <v>74</v>
      </c>
      <c r="T289" t="s">
        <v>74</v>
      </c>
      <c r="U289" t="s">
        <v>5613</v>
      </c>
      <c r="V289" t="s">
        <v>5614</v>
      </c>
      <c r="W289" t="s">
        <v>5615</v>
      </c>
      <c r="X289" t="s">
        <v>5616</v>
      </c>
      <c r="Y289" t="s">
        <v>5617</v>
      </c>
      <c r="Z289" t="s">
        <v>5596</v>
      </c>
      <c r="AA289" t="s">
        <v>5618</v>
      </c>
      <c r="AB289" t="s">
        <v>5598</v>
      </c>
      <c r="AC289" t="s">
        <v>5619</v>
      </c>
      <c r="AD289" t="s">
        <v>5620</v>
      </c>
      <c r="AE289" t="s">
        <v>5621</v>
      </c>
      <c r="AF289" t="s">
        <v>74</v>
      </c>
      <c r="AG289">
        <v>38</v>
      </c>
      <c r="AH289">
        <v>1</v>
      </c>
      <c r="AI289">
        <v>2</v>
      </c>
      <c r="AJ289">
        <v>3</v>
      </c>
      <c r="AK289">
        <v>17</v>
      </c>
      <c r="AL289" t="s">
        <v>5602</v>
      </c>
      <c r="AM289" t="s">
        <v>5603</v>
      </c>
      <c r="AN289" t="s">
        <v>5604</v>
      </c>
      <c r="AO289" t="s">
        <v>5605</v>
      </c>
      <c r="AP289" t="s">
        <v>5606</v>
      </c>
      <c r="AQ289" t="s">
        <v>74</v>
      </c>
      <c r="AR289" t="s">
        <v>5607</v>
      </c>
      <c r="AS289" t="s">
        <v>5608</v>
      </c>
      <c r="AT289" t="s">
        <v>5206</v>
      </c>
      <c r="AU289">
        <v>2010</v>
      </c>
      <c r="AV289">
        <v>88</v>
      </c>
      <c r="AW289">
        <v>9</v>
      </c>
      <c r="AX289" t="s">
        <v>74</v>
      </c>
      <c r="AY289" t="s">
        <v>74</v>
      </c>
      <c r="AZ289" t="s">
        <v>74</v>
      </c>
      <c r="BA289" t="s">
        <v>74</v>
      </c>
      <c r="BB289">
        <v>900</v>
      </c>
      <c r="BC289">
        <v>904</v>
      </c>
      <c r="BD289" t="s">
        <v>74</v>
      </c>
      <c r="BE289" t="s">
        <v>5622</v>
      </c>
      <c r="BF289" t="str">
        <f>HYPERLINK("http://dx.doi.org/10.1139/Z10-055","http://dx.doi.org/10.1139/Z10-055")</f>
        <v>http://dx.doi.org/10.1139/Z10-055</v>
      </c>
      <c r="BG289" t="s">
        <v>74</v>
      </c>
      <c r="BH289" t="s">
        <v>74</v>
      </c>
      <c r="BI289">
        <v>5</v>
      </c>
      <c r="BJ289" t="s">
        <v>492</v>
      </c>
      <c r="BK289" t="s">
        <v>100</v>
      </c>
      <c r="BL289" t="s">
        <v>492</v>
      </c>
      <c r="BM289" t="s">
        <v>5610</v>
      </c>
      <c r="BN289" t="s">
        <v>74</v>
      </c>
      <c r="BO289" t="s">
        <v>74</v>
      </c>
      <c r="BP289" t="s">
        <v>74</v>
      </c>
      <c r="BQ289" t="s">
        <v>74</v>
      </c>
      <c r="BR289" t="s">
        <v>104</v>
      </c>
      <c r="BS289" t="s">
        <v>5623</v>
      </c>
      <c r="BT289" t="str">
        <f>HYPERLINK("https%3A%2F%2Fwww.webofscience.com%2Fwos%2Fwoscc%2Ffull-record%2FWOS:000282587300008","View Full Record in Web of Science")</f>
        <v>View Full Record in Web of Science</v>
      </c>
    </row>
    <row r="290" spans="1:72" x14ac:dyDescent="0.15">
      <c r="A290" t="s">
        <v>72</v>
      </c>
      <c r="B290" t="s">
        <v>5624</v>
      </c>
      <c r="C290" t="s">
        <v>74</v>
      </c>
      <c r="D290" t="s">
        <v>74</v>
      </c>
      <c r="E290" t="s">
        <v>74</v>
      </c>
      <c r="F290" t="s">
        <v>5625</v>
      </c>
      <c r="G290" t="s">
        <v>74</v>
      </c>
      <c r="H290" t="s">
        <v>74</v>
      </c>
      <c r="I290" t="s">
        <v>5626</v>
      </c>
      <c r="J290" t="s">
        <v>5627</v>
      </c>
      <c r="K290" t="s">
        <v>74</v>
      </c>
      <c r="L290" t="s">
        <v>74</v>
      </c>
      <c r="M290" t="s">
        <v>78</v>
      </c>
      <c r="N290" t="s">
        <v>79</v>
      </c>
      <c r="O290" t="s">
        <v>74</v>
      </c>
      <c r="P290" t="s">
        <v>74</v>
      </c>
      <c r="Q290" t="s">
        <v>74</v>
      </c>
      <c r="R290" t="s">
        <v>74</v>
      </c>
      <c r="S290" t="s">
        <v>74</v>
      </c>
      <c r="T290" t="s">
        <v>5628</v>
      </c>
      <c r="U290" t="s">
        <v>5629</v>
      </c>
      <c r="V290" t="s">
        <v>5630</v>
      </c>
      <c r="W290" t="s">
        <v>5631</v>
      </c>
      <c r="X290" t="s">
        <v>5632</v>
      </c>
      <c r="Y290" t="s">
        <v>5633</v>
      </c>
      <c r="Z290" t="s">
        <v>5634</v>
      </c>
      <c r="AA290" t="s">
        <v>5635</v>
      </c>
      <c r="AB290" t="s">
        <v>74</v>
      </c>
      <c r="AC290" t="s">
        <v>5636</v>
      </c>
      <c r="AD290" t="s">
        <v>5637</v>
      </c>
      <c r="AE290" t="s">
        <v>5638</v>
      </c>
      <c r="AF290" t="s">
        <v>74</v>
      </c>
      <c r="AG290">
        <v>19</v>
      </c>
      <c r="AH290">
        <v>2</v>
      </c>
      <c r="AI290">
        <v>2</v>
      </c>
      <c r="AJ290">
        <v>2</v>
      </c>
      <c r="AK290">
        <v>4</v>
      </c>
      <c r="AL290" t="s">
        <v>5639</v>
      </c>
      <c r="AM290" t="s">
        <v>5640</v>
      </c>
      <c r="AN290" t="s">
        <v>5641</v>
      </c>
      <c r="AO290" t="s">
        <v>5642</v>
      </c>
      <c r="AP290" t="s">
        <v>74</v>
      </c>
      <c r="AQ290" t="s">
        <v>74</v>
      </c>
      <c r="AR290" t="s">
        <v>5643</v>
      </c>
      <c r="AS290" t="s">
        <v>5644</v>
      </c>
      <c r="AT290" t="s">
        <v>5206</v>
      </c>
      <c r="AU290">
        <v>2010</v>
      </c>
      <c r="AV290">
        <v>36</v>
      </c>
      <c r="AW290">
        <v>3</v>
      </c>
      <c r="AX290" t="s">
        <v>74</v>
      </c>
      <c r="AY290" t="s">
        <v>74</v>
      </c>
      <c r="AZ290" t="s">
        <v>74</v>
      </c>
      <c r="BA290" t="s">
        <v>74</v>
      </c>
      <c r="BB290">
        <v>267</v>
      </c>
      <c r="BC290">
        <v>284</v>
      </c>
      <c r="BD290" t="s">
        <v>74</v>
      </c>
      <c r="BE290" t="s">
        <v>5645</v>
      </c>
      <c r="BF290" t="str">
        <f>HYPERLINK("http://dx.doi.org/10.7773/cm.v36i3.1618","http://dx.doi.org/10.7773/cm.v36i3.1618")</f>
        <v>http://dx.doi.org/10.7773/cm.v36i3.1618</v>
      </c>
      <c r="BG290" t="s">
        <v>74</v>
      </c>
      <c r="BH290" t="s">
        <v>74</v>
      </c>
      <c r="BI290">
        <v>18</v>
      </c>
      <c r="BJ290" t="s">
        <v>515</v>
      </c>
      <c r="BK290" t="s">
        <v>100</v>
      </c>
      <c r="BL290" t="s">
        <v>515</v>
      </c>
      <c r="BM290" t="s">
        <v>5646</v>
      </c>
      <c r="BN290" t="s">
        <v>74</v>
      </c>
      <c r="BO290" t="s">
        <v>4857</v>
      </c>
      <c r="BP290" t="s">
        <v>74</v>
      </c>
      <c r="BQ290" t="s">
        <v>74</v>
      </c>
      <c r="BR290" t="s">
        <v>104</v>
      </c>
      <c r="BS290" t="s">
        <v>5647</v>
      </c>
      <c r="BT290" t="str">
        <f>HYPERLINK("https%3A%2F%2Fwww.webofscience.com%2Fwos%2Fwoscc%2Ffull-record%2FWOS:000282923100005","View Full Record in Web of Science")</f>
        <v>View Full Record in Web of Science</v>
      </c>
    </row>
    <row r="291" spans="1:72" x14ac:dyDescent="0.15">
      <c r="A291" t="s">
        <v>72</v>
      </c>
      <c r="B291" t="s">
        <v>5648</v>
      </c>
      <c r="C291" t="s">
        <v>74</v>
      </c>
      <c r="D291" t="s">
        <v>74</v>
      </c>
      <c r="E291" t="s">
        <v>74</v>
      </c>
      <c r="F291" t="s">
        <v>5649</v>
      </c>
      <c r="G291" t="s">
        <v>74</v>
      </c>
      <c r="H291" t="s">
        <v>74</v>
      </c>
      <c r="I291" t="s">
        <v>5650</v>
      </c>
      <c r="J291" t="s">
        <v>451</v>
      </c>
      <c r="K291" t="s">
        <v>74</v>
      </c>
      <c r="L291" t="s">
        <v>74</v>
      </c>
      <c r="M291" t="s">
        <v>78</v>
      </c>
      <c r="N291" t="s">
        <v>79</v>
      </c>
      <c r="O291" t="s">
        <v>74</v>
      </c>
      <c r="P291" t="s">
        <v>74</v>
      </c>
      <c r="Q291" t="s">
        <v>74</v>
      </c>
      <c r="R291" t="s">
        <v>74</v>
      </c>
      <c r="S291" t="s">
        <v>74</v>
      </c>
      <c r="T291" t="s">
        <v>5651</v>
      </c>
      <c r="U291" t="s">
        <v>5652</v>
      </c>
      <c r="V291" t="s">
        <v>5653</v>
      </c>
      <c r="W291" t="s">
        <v>5654</v>
      </c>
      <c r="X291" t="s">
        <v>5655</v>
      </c>
      <c r="Y291" t="s">
        <v>5656</v>
      </c>
      <c r="Z291" t="s">
        <v>5657</v>
      </c>
      <c r="AA291" t="s">
        <v>5658</v>
      </c>
      <c r="AB291" t="s">
        <v>5659</v>
      </c>
      <c r="AC291" t="s">
        <v>74</v>
      </c>
      <c r="AD291" t="s">
        <v>74</v>
      </c>
      <c r="AE291" t="s">
        <v>74</v>
      </c>
      <c r="AF291" t="s">
        <v>74</v>
      </c>
      <c r="AG291">
        <v>56</v>
      </c>
      <c r="AH291">
        <v>15</v>
      </c>
      <c r="AI291">
        <v>16</v>
      </c>
      <c r="AJ291">
        <v>2</v>
      </c>
      <c r="AK291">
        <v>17</v>
      </c>
      <c r="AL291" t="s">
        <v>464</v>
      </c>
      <c r="AM291" t="s">
        <v>310</v>
      </c>
      <c r="AN291" t="s">
        <v>465</v>
      </c>
      <c r="AO291" t="s">
        <v>466</v>
      </c>
      <c r="AP291" t="s">
        <v>467</v>
      </c>
      <c r="AQ291" t="s">
        <v>74</v>
      </c>
      <c r="AR291" t="s">
        <v>468</v>
      </c>
      <c r="AS291" t="s">
        <v>469</v>
      </c>
      <c r="AT291" t="s">
        <v>5206</v>
      </c>
      <c r="AU291">
        <v>2010</v>
      </c>
      <c r="AV291">
        <v>35</v>
      </c>
      <c r="AW291">
        <v>4</v>
      </c>
      <c r="AX291" t="s">
        <v>74</v>
      </c>
      <c r="AY291" t="s">
        <v>74</v>
      </c>
      <c r="AZ291" t="s">
        <v>74</v>
      </c>
      <c r="BA291" t="s">
        <v>74</v>
      </c>
      <c r="BB291">
        <v>619</v>
      </c>
      <c r="BC291">
        <v>633</v>
      </c>
      <c r="BD291" t="s">
        <v>74</v>
      </c>
      <c r="BE291" t="s">
        <v>5660</v>
      </c>
      <c r="BF291" t="str">
        <f>HYPERLINK("http://dx.doi.org/10.1007/s00382-009-0587-7","http://dx.doi.org/10.1007/s00382-009-0587-7")</f>
        <v>http://dx.doi.org/10.1007/s00382-009-0587-7</v>
      </c>
      <c r="BG291" t="s">
        <v>74</v>
      </c>
      <c r="BH291" t="s">
        <v>74</v>
      </c>
      <c r="BI291">
        <v>15</v>
      </c>
      <c r="BJ291" t="s">
        <v>319</v>
      </c>
      <c r="BK291" t="s">
        <v>100</v>
      </c>
      <c r="BL291" t="s">
        <v>319</v>
      </c>
      <c r="BM291" t="s">
        <v>5661</v>
      </c>
      <c r="BN291" t="s">
        <v>74</v>
      </c>
      <c r="BO291" t="s">
        <v>74</v>
      </c>
      <c r="BP291" t="s">
        <v>74</v>
      </c>
      <c r="BQ291" t="s">
        <v>74</v>
      </c>
      <c r="BR291" t="s">
        <v>104</v>
      </c>
      <c r="BS291" t="s">
        <v>5662</v>
      </c>
      <c r="BT291" t="str">
        <f>HYPERLINK("https%3A%2F%2Fwww.webofscience.com%2Fwos%2Fwoscc%2Ffull-record%2FWOS:000281377200005","View Full Record in Web of Science")</f>
        <v>View Full Record in Web of Science</v>
      </c>
    </row>
    <row r="292" spans="1:72" x14ac:dyDescent="0.15">
      <c r="A292" t="s">
        <v>72</v>
      </c>
      <c r="B292" t="s">
        <v>5663</v>
      </c>
      <c r="C292" t="s">
        <v>74</v>
      </c>
      <c r="D292" t="s">
        <v>74</v>
      </c>
      <c r="E292" t="s">
        <v>74</v>
      </c>
      <c r="F292" t="s">
        <v>5664</v>
      </c>
      <c r="G292" t="s">
        <v>74</v>
      </c>
      <c r="H292" t="s">
        <v>74</v>
      </c>
      <c r="I292" t="s">
        <v>5665</v>
      </c>
      <c r="J292" t="s">
        <v>5666</v>
      </c>
      <c r="K292" t="s">
        <v>74</v>
      </c>
      <c r="L292" t="s">
        <v>74</v>
      </c>
      <c r="M292" t="s">
        <v>78</v>
      </c>
      <c r="N292" t="s">
        <v>52</v>
      </c>
      <c r="O292" t="s">
        <v>5667</v>
      </c>
      <c r="P292" t="s">
        <v>5668</v>
      </c>
      <c r="Q292" t="s">
        <v>5669</v>
      </c>
      <c r="R292" t="s">
        <v>74</v>
      </c>
      <c r="S292" t="s">
        <v>74</v>
      </c>
      <c r="T292" t="s">
        <v>74</v>
      </c>
      <c r="U292" t="s">
        <v>74</v>
      </c>
      <c r="V292" t="s">
        <v>74</v>
      </c>
      <c r="W292" t="s">
        <v>74</v>
      </c>
      <c r="X292" t="s">
        <v>74</v>
      </c>
      <c r="Y292" t="s">
        <v>74</v>
      </c>
      <c r="Z292" t="s">
        <v>74</v>
      </c>
      <c r="AA292" t="s">
        <v>5670</v>
      </c>
      <c r="AB292" t="s">
        <v>5671</v>
      </c>
      <c r="AC292" t="s">
        <v>74</v>
      </c>
      <c r="AD292" t="s">
        <v>74</v>
      </c>
      <c r="AE292" t="s">
        <v>74</v>
      </c>
      <c r="AF292" t="s">
        <v>74</v>
      </c>
      <c r="AG292">
        <v>0</v>
      </c>
      <c r="AH292">
        <v>1</v>
      </c>
      <c r="AI292">
        <v>1</v>
      </c>
      <c r="AJ292">
        <v>0</v>
      </c>
      <c r="AK292">
        <v>7</v>
      </c>
      <c r="AL292" t="s">
        <v>309</v>
      </c>
      <c r="AM292" t="s">
        <v>310</v>
      </c>
      <c r="AN292" t="s">
        <v>5672</v>
      </c>
      <c r="AO292" t="s">
        <v>5673</v>
      </c>
      <c r="AP292" t="s">
        <v>74</v>
      </c>
      <c r="AQ292" t="s">
        <v>74</v>
      </c>
      <c r="AR292" t="s">
        <v>5674</v>
      </c>
      <c r="AS292" t="s">
        <v>5675</v>
      </c>
      <c r="AT292" t="s">
        <v>5206</v>
      </c>
      <c r="AU292">
        <v>2010</v>
      </c>
      <c r="AV292">
        <v>157</v>
      </c>
      <c r="AW292">
        <v>1</v>
      </c>
      <c r="AX292" t="s">
        <v>74</v>
      </c>
      <c r="AY292" t="s">
        <v>2718</v>
      </c>
      <c r="AZ292" t="s">
        <v>74</v>
      </c>
      <c r="BA292" t="s">
        <v>74</v>
      </c>
      <c r="BB292" t="s">
        <v>5676</v>
      </c>
      <c r="BC292" t="s">
        <v>5676</v>
      </c>
      <c r="BD292" t="s">
        <v>74</v>
      </c>
      <c r="BE292" t="s">
        <v>5677</v>
      </c>
      <c r="BF292" t="str">
        <f>HYPERLINK("http://dx.doi.org/10.1016/j.cbpa.2010.06.114","http://dx.doi.org/10.1016/j.cbpa.2010.06.114")</f>
        <v>http://dx.doi.org/10.1016/j.cbpa.2010.06.114</v>
      </c>
      <c r="BG292" t="s">
        <v>74</v>
      </c>
      <c r="BH292" t="s">
        <v>74</v>
      </c>
      <c r="BI292">
        <v>1</v>
      </c>
      <c r="BJ292" t="s">
        <v>5678</v>
      </c>
      <c r="BK292" t="s">
        <v>1219</v>
      </c>
      <c r="BL292" t="s">
        <v>5678</v>
      </c>
      <c r="BM292" t="s">
        <v>5679</v>
      </c>
      <c r="BN292" t="s">
        <v>74</v>
      </c>
      <c r="BO292" t="s">
        <v>74</v>
      </c>
      <c r="BP292" t="s">
        <v>74</v>
      </c>
      <c r="BQ292" t="s">
        <v>74</v>
      </c>
      <c r="BR292" t="s">
        <v>104</v>
      </c>
      <c r="BS292" t="s">
        <v>5680</v>
      </c>
      <c r="BT292" t="str">
        <f>HYPERLINK("https%3A%2F%2Fwww.webofscience.com%2Fwos%2Fwoscc%2Ffull-record%2FWOS:000281747500106","View Full Record in Web of Science")</f>
        <v>View Full Record in Web of Science</v>
      </c>
    </row>
    <row r="293" spans="1:72" x14ac:dyDescent="0.15">
      <c r="A293" t="s">
        <v>72</v>
      </c>
      <c r="B293" t="s">
        <v>5681</v>
      </c>
      <c r="C293" t="s">
        <v>74</v>
      </c>
      <c r="D293" t="s">
        <v>74</v>
      </c>
      <c r="E293" t="s">
        <v>74</v>
      </c>
      <c r="F293" t="s">
        <v>5682</v>
      </c>
      <c r="G293" t="s">
        <v>74</v>
      </c>
      <c r="H293" t="s">
        <v>74</v>
      </c>
      <c r="I293" t="s">
        <v>5683</v>
      </c>
      <c r="J293" t="s">
        <v>5666</v>
      </c>
      <c r="K293" t="s">
        <v>74</v>
      </c>
      <c r="L293" t="s">
        <v>74</v>
      </c>
      <c r="M293" t="s">
        <v>78</v>
      </c>
      <c r="N293" t="s">
        <v>52</v>
      </c>
      <c r="O293" t="s">
        <v>5667</v>
      </c>
      <c r="P293" t="s">
        <v>5668</v>
      </c>
      <c r="Q293" t="s">
        <v>5669</v>
      </c>
      <c r="R293" t="s">
        <v>74</v>
      </c>
      <c r="S293" t="s">
        <v>74</v>
      </c>
      <c r="T293" t="s">
        <v>74</v>
      </c>
      <c r="U293" t="s">
        <v>74</v>
      </c>
      <c r="V293" t="s">
        <v>74</v>
      </c>
      <c r="W293" t="s">
        <v>5684</v>
      </c>
      <c r="X293" t="s">
        <v>5685</v>
      </c>
      <c r="Y293" t="s">
        <v>74</v>
      </c>
      <c r="Z293" t="s">
        <v>74</v>
      </c>
      <c r="AA293" t="s">
        <v>74</v>
      </c>
      <c r="AB293" t="s">
        <v>5686</v>
      </c>
      <c r="AC293" t="s">
        <v>74</v>
      </c>
      <c r="AD293" t="s">
        <v>74</v>
      </c>
      <c r="AE293" t="s">
        <v>74</v>
      </c>
      <c r="AF293" t="s">
        <v>74</v>
      </c>
      <c r="AG293">
        <v>0</v>
      </c>
      <c r="AH293">
        <v>1</v>
      </c>
      <c r="AI293">
        <v>1</v>
      </c>
      <c r="AJ293">
        <v>0</v>
      </c>
      <c r="AK293">
        <v>3</v>
      </c>
      <c r="AL293" t="s">
        <v>309</v>
      </c>
      <c r="AM293" t="s">
        <v>310</v>
      </c>
      <c r="AN293" t="s">
        <v>5672</v>
      </c>
      <c r="AO293" t="s">
        <v>5673</v>
      </c>
      <c r="AP293" t="s">
        <v>74</v>
      </c>
      <c r="AQ293" t="s">
        <v>74</v>
      </c>
      <c r="AR293" t="s">
        <v>5674</v>
      </c>
      <c r="AS293" t="s">
        <v>5675</v>
      </c>
      <c r="AT293" t="s">
        <v>5206</v>
      </c>
      <c r="AU293">
        <v>2010</v>
      </c>
      <c r="AV293">
        <v>157</v>
      </c>
      <c r="AW293">
        <v>1</v>
      </c>
      <c r="AX293" t="s">
        <v>74</v>
      </c>
      <c r="AY293" t="s">
        <v>2718</v>
      </c>
      <c r="AZ293" t="s">
        <v>74</v>
      </c>
      <c r="BA293" t="s">
        <v>74</v>
      </c>
      <c r="BB293" t="s">
        <v>5676</v>
      </c>
      <c r="BC293" t="s">
        <v>5687</v>
      </c>
      <c r="BD293" t="s">
        <v>74</v>
      </c>
      <c r="BE293" t="s">
        <v>5688</v>
      </c>
      <c r="BF293" t="str">
        <f>HYPERLINK("http://dx.doi.org/10.1016/j.cbpa.2010.06.115","http://dx.doi.org/10.1016/j.cbpa.2010.06.115")</f>
        <v>http://dx.doi.org/10.1016/j.cbpa.2010.06.115</v>
      </c>
      <c r="BG293" t="s">
        <v>74</v>
      </c>
      <c r="BH293" t="s">
        <v>74</v>
      </c>
      <c r="BI293">
        <v>2</v>
      </c>
      <c r="BJ293" t="s">
        <v>5678</v>
      </c>
      <c r="BK293" t="s">
        <v>1219</v>
      </c>
      <c r="BL293" t="s">
        <v>5678</v>
      </c>
      <c r="BM293" t="s">
        <v>5679</v>
      </c>
      <c r="BN293" t="s">
        <v>74</v>
      </c>
      <c r="BO293" t="s">
        <v>74</v>
      </c>
      <c r="BP293" t="s">
        <v>74</v>
      </c>
      <c r="BQ293" t="s">
        <v>74</v>
      </c>
      <c r="BR293" t="s">
        <v>104</v>
      </c>
      <c r="BS293" t="s">
        <v>5689</v>
      </c>
      <c r="BT293" t="str">
        <f>HYPERLINK("https%3A%2F%2Fwww.webofscience.com%2Fwos%2Fwoscc%2Ffull-record%2FWOS:000281747500107","View Full Record in Web of Science")</f>
        <v>View Full Record in Web of Science</v>
      </c>
    </row>
    <row r="294" spans="1:72" x14ac:dyDescent="0.15">
      <c r="A294" t="s">
        <v>72</v>
      </c>
      <c r="B294" t="s">
        <v>5690</v>
      </c>
      <c r="C294" t="s">
        <v>74</v>
      </c>
      <c r="D294" t="s">
        <v>74</v>
      </c>
      <c r="E294" t="s">
        <v>74</v>
      </c>
      <c r="F294" t="s">
        <v>5691</v>
      </c>
      <c r="G294" t="s">
        <v>74</v>
      </c>
      <c r="H294" t="s">
        <v>74</v>
      </c>
      <c r="I294" t="s">
        <v>5692</v>
      </c>
      <c r="J294" t="s">
        <v>5693</v>
      </c>
      <c r="K294" t="s">
        <v>74</v>
      </c>
      <c r="L294" t="s">
        <v>74</v>
      </c>
      <c r="M294" t="s">
        <v>78</v>
      </c>
      <c r="N294" t="s">
        <v>79</v>
      </c>
      <c r="O294" t="s">
        <v>74</v>
      </c>
      <c r="P294" t="s">
        <v>74</v>
      </c>
      <c r="Q294" t="s">
        <v>74</v>
      </c>
      <c r="R294" t="s">
        <v>74</v>
      </c>
      <c r="S294" t="s">
        <v>74</v>
      </c>
      <c r="T294" t="s">
        <v>5694</v>
      </c>
      <c r="U294" t="s">
        <v>5695</v>
      </c>
      <c r="V294" t="s">
        <v>5696</v>
      </c>
      <c r="W294" t="s">
        <v>5697</v>
      </c>
      <c r="X294" t="s">
        <v>5698</v>
      </c>
      <c r="Y294" t="s">
        <v>5699</v>
      </c>
      <c r="Z294" t="s">
        <v>5700</v>
      </c>
      <c r="AA294" t="s">
        <v>5701</v>
      </c>
      <c r="AB294" t="s">
        <v>5702</v>
      </c>
      <c r="AC294" t="s">
        <v>5703</v>
      </c>
      <c r="AD294" t="s">
        <v>5704</v>
      </c>
      <c r="AE294" t="s">
        <v>5705</v>
      </c>
      <c r="AF294" t="s">
        <v>74</v>
      </c>
      <c r="AG294">
        <v>39</v>
      </c>
      <c r="AH294">
        <v>107</v>
      </c>
      <c r="AI294">
        <v>113</v>
      </c>
      <c r="AJ294">
        <v>0</v>
      </c>
      <c r="AK294">
        <v>88</v>
      </c>
      <c r="AL294" t="s">
        <v>923</v>
      </c>
      <c r="AM294" t="s">
        <v>339</v>
      </c>
      <c r="AN294" t="s">
        <v>340</v>
      </c>
      <c r="AO294" t="s">
        <v>5706</v>
      </c>
      <c r="AP294" t="s">
        <v>74</v>
      </c>
      <c r="AQ294" t="s">
        <v>74</v>
      </c>
      <c r="AR294" t="s">
        <v>5707</v>
      </c>
      <c r="AS294" t="s">
        <v>5708</v>
      </c>
      <c r="AT294" t="s">
        <v>5206</v>
      </c>
      <c r="AU294">
        <v>2010</v>
      </c>
      <c r="AV294">
        <v>3</v>
      </c>
      <c r="AW294">
        <v>5</v>
      </c>
      <c r="AX294" t="s">
        <v>74</v>
      </c>
      <c r="AY294" t="s">
        <v>74</v>
      </c>
      <c r="AZ294" t="s">
        <v>74</v>
      </c>
      <c r="BA294" t="s">
        <v>74</v>
      </c>
      <c r="BB294">
        <v>359</v>
      </c>
      <c r="BC294">
        <v>368</v>
      </c>
      <c r="BD294" t="s">
        <v>74</v>
      </c>
      <c r="BE294" t="s">
        <v>5709</v>
      </c>
      <c r="BF294" t="str">
        <f>HYPERLINK("http://dx.doi.org/10.1111/j.1755-263X.2010.00123.x","http://dx.doi.org/10.1111/j.1755-263X.2010.00123.x")</f>
        <v>http://dx.doi.org/10.1111/j.1755-263X.2010.00123.x</v>
      </c>
      <c r="BG294" t="s">
        <v>74</v>
      </c>
      <c r="BH294" t="s">
        <v>74</v>
      </c>
      <c r="BI294">
        <v>10</v>
      </c>
      <c r="BJ294" t="s">
        <v>5710</v>
      </c>
      <c r="BK294" t="s">
        <v>100</v>
      </c>
      <c r="BL294" t="s">
        <v>5711</v>
      </c>
      <c r="BM294" t="s">
        <v>5712</v>
      </c>
      <c r="BN294" t="s">
        <v>74</v>
      </c>
      <c r="BO294" t="s">
        <v>5713</v>
      </c>
      <c r="BP294" t="s">
        <v>74</v>
      </c>
      <c r="BQ294" t="s">
        <v>74</v>
      </c>
      <c r="BR294" t="s">
        <v>104</v>
      </c>
      <c r="BS294" t="s">
        <v>5714</v>
      </c>
      <c r="BT294" t="str">
        <f>HYPERLINK("https%3A%2F%2Fwww.webofscience.com%2Fwos%2Fwoscc%2Ffull-record%2FWOS:000282696000009","View Full Record in Web of Science")</f>
        <v>View Full Record in Web of Science</v>
      </c>
    </row>
    <row r="295" spans="1:72" x14ac:dyDescent="0.15">
      <c r="A295" t="s">
        <v>72</v>
      </c>
      <c r="B295" t="s">
        <v>5715</v>
      </c>
      <c r="C295" t="s">
        <v>74</v>
      </c>
      <c r="D295" t="s">
        <v>74</v>
      </c>
      <c r="E295" t="s">
        <v>74</v>
      </c>
      <c r="F295" t="s">
        <v>5716</v>
      </c>
      <c r="G295" t="s">
        <v>74</v>
      </c>
      <c r="H295" t="s">
        <v>74</v>
      </c>
      <c r="I295" t="s">
        <v>5717</v>
      </c>
      <c r="J295" t="s">
        <v>1891</v>
      </c>
      <c r="K295" t="s">
        <v>74</v>
      </c>
      <c r="L295" t="s">
        <v>74</v>
      </c>
      <c r="M295" t="s">
        <v>78</v>
      </c>
      <c r="N295" t="s">
        <v>79</v>
      </c>
      <c r="O295" t="s">
        <v>74</v>
      </c>
      <c r="P295" t="s">
        <v>74</v>
      </c>
      <c r="Q295" t="s">
        <v>74</v>
      </c>
      <c r="R295" t="s">
        <v>74</v>
      </c>
      <c r="S295" t="s">
        <v>74</v>
      </c>
      <c r="T295" t="s">
        <v>5718</v>
      </c>
      <c r="U295" t="s">
        <v>5719</v>
      </c>
      <c r="V295" t="s">
        <v>5720</v>
      </c>
      <c r="W295" t="s">
        <v>5721</v>
      </c>
      <c r="X295" t="s">
        <v>5722</v>
      </c>
      <c r="Y295" t="s">
        <v>5723</v>
      </c>
      <c r="Z295" t="s">
        <v>5724</v>
      </c>
      <c r="AA295" t="s">
        <v>5725</v>
      </c>
      <c r="AB295" t="s">
        <v>5726</v>
      </c>
      <c r="AC295" t="s">
        <v>5727</v>
      </c>
      <c r="AD295" t="s">
        <v>5728</v>
      </c>
      <c r="AE295" t="s">
        <v>5729</v>
      </c>
      <c r="AF295" t="s">
        <v>74</v>
      </c>
      <c r="AG295">
        <v>81</v>
      </c>
      <c r="AH295">
        <v>30</v>
      </c>
      <c r="AI295">
        <v>36</v>
      </c>
      <c r="AJ295">
        <v>0</v>
      </c>
      <c r="AK295">
        <v>33</v>
      </c>
      <c r="AL295" t="s">
        <v>264</v>
      </c>
      <c r="AM295" t="s">
        <v>265</v>
      </c>
      <c r="AN295" t="s">
        <v>266</v>
      </c>
      <c r="AO295" t="s">
        <v>1902</v>
      </c>
      <c r="AP295" t="s">
        <v>1903</v>
      </c>
      <c r="AQ295" t="s">
        <v>74</v>
      </c>
      <c r="AR295" t="s">
        <v>1904</v>
      </c>
      <c r="AS295" t="s">
        <v>1905</v>
      </c>
      <c r="AT295" t="s">
        <v>5730</v>
      </c>
      <c r="AU295">
        <v>2010</v>
      </c>
      <c r="AV295">
        <v>30</v>
      </c>
      <c r="AW295">
        <v>15</v>
      </c>
      <c r="AX295" t="s">
        <v>74</v>
      </c>
      <c r="AY295" t="s">
        <v>74</v>
      </c>
      <c r="AZ295" t="s">
        <v>74</v>
      </c>
      <c r="BA295" t="s">
        <v>74</v>
      </c>
      <c r="BB295">
        <v>1614</v>
      </c>
      <c r="BC295">
        <v>1625</v>
      </c>
      <c r="BD295" t="s">
        <v>74</v>
      </c>
      <c r="BE295" t="s">
        <v>5731</v>
      </c>
      <c r="BF295" t="str">
        <f>HYPERLINK("http://dx.doi.org/10.1016/j.csr.2010.06.009","http://dx.doi.org/10.1016/j.csr.2010.06.009")</f>
        <v>http://dx.doi.org/10.1016/j.csr.2010.06.009</v>
      </c>
      <c r="BG295" t="s">
        <v>74</v>
      </c>
      <c r="BH295" t="s">
        <v>74</v>
      </c>
      <c r="BI295">
        <v>12</v>
      </c>
      <c r="BJ295" t="s">
        <v>1531</v>
      </c>
      <c r="BK295" t="s">
        <v>100</v>
      </c>
      <c r="BL295" t="s">
        <v>1531</v>
      </c>
      <c r="BM295" t="s">
        <v>5732</v>
      </c>
      <c r="BN295" t="s">
        <v>74</v>
      </c>
      <c r="BO295" t="s">
        <v>74</v>
      </c>
      <c r="BP295" t="s">
        <v>74</v>
      </c>
      <c r="BQ295" t="s">
        <v>74</v>
      </c>
      <c r="BR295" t="s">
        <v>104</v>
      </c>
      <c r="BS295" t="s">
        <v>5733</v>
      </c>
      <c r="BT295" t="str">
        <f>HYPERLINK("https%3A%2F%2Fwww.webofscience.com%2Fwos%2Fwoscc%2Ffull-record%2FWOS:000281945000002","View Full Record in Web of Science")</f>
        <v>View Full Record in Web of Science</v>
      </c>
    </row>
    <row r="296" spans="1:72" x14ac:dyDescent="0.15">
      <c r="A296" t="s">
        <v>72</v>
      </c>
      <c r="B296" t="s">
        <v>5734</v>
      </c>
      <c r="C296" t="s">
        <v>74</v>
      </c>
      <c r="D296" t="s">
        <v>74</v>
      </c>
      <c r="E296" t="s">
        <v>74</v>
      </c>
      <c r="F296" t="s">
        <v>5735</v>
      </c>
      <c r="G296" t="s">
        <v>74</v>
      </c>
      <c r="H296" t="s">
        <v>74</v>
      </c>
      <c r="I296" t="s">
        <v>5736</v>
      </c>
      <c r="J296" t="s">
        <v>1891</v>
      </c>
      <c r="K296" t="s">
        <v>74</v>
      </c>
      <c r="L296" t="s">
        <v>74</v>
      </c>
      <c r="M296" t="s">
        <v>78</v>
      </c>
      <c r="N296" t="s">
        <v>79</v>
      </c>
      <c r="O296" t="s">
        <v>74</v>
      </c>
      <c r="P296" t="s">
        <v>74</v>
      </c>
      <c r="Q296" t="s">
        <v>74</v>
      </c>
      <c r="R296" t="s">
        <v>74</v>
      </c>
      <c r="S296" t="s">
        <v>74</v>
      </c>
      <c r="T296" t="s">
        <v>5737</v>
      </c>
      <c r="U296" t="s">
        <v>5738</v>
      </c>
      <c r="V296" t="s">
        <v>5739</v>
      </c>
      <c r="W296" t="s">
        <v>5740</v>
      </c>
      <c r="X296" t="s">
        <v>5741</v>
      </c>
      <c r="Y296" t="s">
        <v>5742</v>
      </c>
      <c r="Z296" t="s">
        <v>5743</v>
      </c>
      <c r="AA296" t="s">
        <v>5744</v>
      </c>
      <c r="AB296" t="s">
        <v>5745</v>
      </c>
      <c r="AC296" t="s">
        <v>5746</v>
      </c>
      <c r="AD296" t="s">
        <v>5747</v>
      </c>
      <c r="AE296" t="s">
        <v>5748</v>
      </c>
      <c r="AF296" t="s">
        <v>74</v>
      </c>
      <c r="AG296">
        <v>36</v>
      </c>
      <c r="AH296">
        <v>26</v>
      </c>
      <c r="AI296">
        <v>29</v>
      </c>
      <c r="AJ296">
        <v>1</v>
      </c>
      <c r="AK296">
        <v>16</v>
      </c>
      <c r="AL296" t="s">
        <v>264</v>
      </c>
      <c r="AM296" t="s">
        <v>265</v>
      </c>
      <c r="AN296" t="s">
        <v>266</v>
      </c>
      <c r="AO296" t="s">
        <v>1902</v>
      </c>
      <c r="AP296" t="s">
        <v>1903</v>
      </c>
      <c r="AQ296" t="s">
        <v>74</v>
      </c>
      <c r="AR296" t="s">
        <v>1904</v>
      </c>
      <c r="AS296" t="s">
        <v>1905</v>
      </c>
      <c r="AT296" t="s">
        <v>5730</v>
      </c>
      <c r="AU296">
        <v>2010</v>
      </c>
      <c r="AV296">
        <v>30</v>
      </c>
      <c r="AW296">
        <v>15</v>
      </c>
      <c r="AX296" t="s">
        <v>74</v>
      </c>
      <c r="AY296" t="s">
        <v>74</v>
      </c>
      <c r="AZ296" t="s">
        <v>74</v>
      </c>
      <c r="BA296" t="s">
        <v>74</v>
      </c>
      <c r="BB296">
        <v>1656</v>
      </c>
      <c r="BC296">
        <v>1664</v>
      </c>
      <c r="BD296" t="s">
        <v>74</v>
      </c>
      <c r="BE296" t="s">
        <v>5749</v>
      </c>
      <c r="BF296" t="str">
        <f>HYPERLINK("http://dx.doi.org/10.1016/j.csr.2010.06.012","http://dx.doi.org/10.1016/j.csr.2010.06.012")</f>
        <v>http://dx.doi.org/10.1016/j.csr.2010.06.012</v>
      </c>
      <c r="BG296" t="s">
        <v>74</v>
      </c>
      <c r="BH296" t="s">
        <v>74</v>
      </c>
      <c r="BI296">
        <v>9</v>
      </c>
      <c r="BJ296" t="s">
        <v>1531</v>
      </c>
      <c r="BK296" t="s">
        <v>100</v>
      </c>
      <c r="BL296" t="s">
        <v>1531</v>
      </c>
      <c r="BM296" t="s">
        <v>5732</v>
      </c>
      <c r="BN296" t="s">
        <v>74</v>
      </c>
      <c r="BO296" t="s">
        <v>74</v>
      </c>
      <c r="BP296" t="s">
        <v>74</v>
      </c>
      <c r="BQ296" t="s">
        <v>74</v>
      </c>
      <c r="BR296" t="s">
        <v>104</v>
      </c>
      <c r="BS296" t="s">
        <v>5750</v>
      </c>
      <c r="BT296" t="str">
        <f>HYPERLINK("https%3A%2F%2Fwww.webofscience.com%2Fwos%2Fwoscc%2Ffull-record%2FWOS:000281945000005","View Full Record in Web of Science")</f>
        <v>View Full Record in Web of Science</v>
      </c>
    </row>
    <row r="297" spans="1:72" x14ac:dyDescent="0.15">
      <c r="A297" t="s">
        <v>72</v>
      </c>
      <c r="B297" t="s">
        <v>5751</v>
      </c>
      <c r="C297" t="s">
        <v>74</v>
      </c>
      <c r="D297" t="s">
        <v>74</v>
      </c>
      <c r="E297" t="s">
        <v>74</v>
      </c>
      <c r="F297" t="s">
        <v>5752</v>
      </c>
      <c r="G297" t="s">
        <v>74</v>
      </c>
      <c r="H297" t="s">
        <v>74</v>
      </c>
      <c r="I297" t="s">
        <v>5753</v>
      </c>
      <c r="J297" t="s">
        <v>5754</v>
      </c>
      <c r="K297" t="s">
        <v>74</v>
      </c>
      <c r="L297" t="s">
        <v>74</v>
      </c>
      <c r="M297" t="s">
        <v>78</v>
      </c>
      <c r="N297" t="s">
        <v>79</v>
      </c>
      <c r="O297" t="s">
        <v>74</v>
      </c>
      <c r="P297" t="s">
        <v>74</v>
      </c>
      <c r="Q297" t="s">
        <v>74</v>
      </c>
      <c r="R297" t="s">
        <v>74</v>
      </c>
      <c r="S297" t="s">
        <v>74</v>
      </c>
      <c r="T297" t="s">
        <v>5755</v>
      </c>
      <c r="U297" t="s">
        <v>5756</v>
      </c>
      <c r="V297" t="s">
        <v>5757</v>
      </c>
      <c r="W297" t="s">
        <v>5758</v>
      </c>
      <c r="X297" t="s">
        <v>5759</v>
      </c>
      <c r="Y297" t="s">
        <v>5760</v>
      </c>
      <c r="Z297" t="s">
        <v>5761</v>
      </c>
      <c r="AA297" t="s">
        <v>74</v>
      </c>
      <c r="AB297" t="s">
        <v>5762</v>
      </c>
      <c r="AC297" t="s">
        <v>5763</v>
      </c>
      <c r="AD297" t="s">
        <v>5764</v>
      </c>
      <c r="AE297" t="s">
        <v>5765</v>
      </c>
      <c r="AF297" t="s">
        <v>74</v>
      </c>
      <c r="AG297">
        <v>33</v>
      </c>
      <c r="AH297">
        <v>15</v>
      </c>
      <c r="AI297">
        <v>17</v>
      </c>
      <c r="AJ297">
        <v>0</v>
      </c>
      <c r="AK297">
        <v>8</v>
      </c>
      <c r="AL297" t="s">
        <v>464</v>
      </c>
      <c r="AM297" t="s">
        <v>310</v>
      </c>
      <c r="AN297" t="s">
        <v>465</v>
      </c>
      <c r="AO297" t="s">
        <v>5766</v>
      </c>
      <c r="AP297" t="s">
        <v>5767</v>
      </c>
      <c r="AQ297" t="s">
        <v>74</v>
      </c>
      <c r="AR297" t="s">
        <v>5768</v>
      </c>
      <c r="AS297" t="s">
        <v>5769</v>
      </c>
      <c r="AT297" t="s">
        <v>5206</v>
      </c>
      <c r="AU297">
        <v>2010</v>
      </c>
      <c r="AV297">
        <v>22</v>
      </c>
      <c r="AW297" t="s">
        <v>5770</v>
      </c>
      <c r="AX297" t="s">
        <v>74</v>
      </c>
      <c r="AY297" t="s">
        <v>74</v>
      </c>
      <c r="AZ297" t="s">
        <v>74</v>
      </c>
      <c r="BA297" t="s">
        <v>74</v>
      </c>
      <c r="BB297">
        <v>617</v>
      </c>
      <c r="BC297">
        <v>634</v>
      </c>
      <c r="BD297" t="s">
        <v>74</v>
      </c>
      <c r="BE297" t="s">
        <v>5771</v>
      </c>
      <c r="BF297" t="str">
        <f>HYPERLINK("http://dx.doi.org/10.1007/s00161-010-0144-y","http://dx.doi.org/10.1007/s00161-010-0144-y")</f>
        <v>http://dx.doi.org/10.1007/s00161-010-0144-y</v>
      </c>
      <c r="BG297" t="s">
        <v>74</v>
      </c>
      <c r="BH297" t="s">
        <v>74</v>
      </c>
      <c r="BI297">
        <v>18</v>
      </c>
      <c r="BJ297" t="s">
        <v>5772</v>
      </c>
      <c r="BK297" t="s">
        <v>100</v>
      </c>
      <c r="BL297" t="s">
        <v>5772</v>
      </c>
      <c r="BM297" t="s">
        <v>5773</v>
      </c>
      <c r="BN297" t="s">
        <v>74</v>
      </c>
      <c r="BO297" t="s">
        <v>74</v>
      </c>
      <c r="BP297" t="s">
        <v>74</v>
      </c>
      <c r="BQ297" t="s">
        <v>74</v>
      </c>
      <c r="BR297" t="s">
        <v>104</v>
      </c>
      <c r="BS297" t="s">
        <v>5774</v>
      </c>
      <c r="BT297" t="str">
        <f>HYPERLINK("https%3A%2F%2Fwww.webofscience.com%2Fwos%2Fwoscc%2Ffull-record%2FWOS:000282698300014","View Full Record in Web of Science")</f>
        <v>View Full Record in Web of Science</v>
      </c>
    </row>
    <row r="298" spans="1:72" x14ac:dyDescent="0.15">
      <c r="A298" t="s">
        <v>72</v>
      </c>
      <c r="B298" t="s">
        <v>5775</v>
      </c>
      <c r="C298" t="s">
        <v>74</v>
      </c>
      <c r="D298" t="s">
        <v>74</v>
      </c>
      <c r="E298" t="s">
        <v>74</v>
      </c>
      <c r="F298" t="s">
        <v>5776</v>
      </c>
      <c r="G298" t="s">
        <v>74</v>
      </c>
      <c r="H298" t="s">
        <v>74</v>
      </c>
      <c r="I298" t="s">
        <v>5777</v>
      </c>
      <c r="J298" t="s">
        <v>5778</v>
      </c>
      <c r="K298" t="s">
        <v>74</v>
      </c>
      <c r="L298" t="s">
        <v>74</v>
      </c>
      <c r="M298" t="s">
        <v>78</v>
      </c>
      <c r="N298" t="s">
        <v>79</v>
      </c>
      <c r="O298" t="s">
        <v>74</v>
      </c>
      <c r="P298" t="s">
        <v>74</v>
      </c>
      <c r="Q298" t="s">
        <v>74</v>
      </c>
      <c r="R298" t="s">
        <v>74</v>
      </c>
      <c r="S298" t="s">
        <v>74</v>
      </c>
      <c r="T298" t="s">
        <v>5779</v>
      </c>
      <c r="U298" t="s">
        <v>5780</v>
      </c>
      <c r="V298" t="s">
        <v>5781</v>
      </c>
      <c r="W298" t="s">
        <v>5782</v>
      </c>
      <c r="X298" t="s">
        <v>5783</v>
      </c>
      <c r="Y298" t="s">
        <v>5784</v>
      </c>
      <c r="Z298" t="s">
        <v>5785</v>
      </c>
      <c r="AA298" t="s">
        <v>74</v>
      </c>
      <c r="AB298" t="s">
        <v>74</v>
      </c>
      <c r="AC298" t="s">
        <v>5786</v>
      </c>
      <c r="AD298" t="s">
        <v>5787</v>
      </c>
      <c r="AE298" t="s">
        <v>5788</v>
      </c>
      <c r="AF298" t="s">
        <v>74</v>
      </c>
      <c r="AG298">
        <v>49</v>
      </c>
      <c r="AH298">
        <v>43</v>
      </c>
      <c r="AI298">
        <v>48</v>
      </c>
      <c r="AJ298">
        <v>0</v>
      </c>
      <c r="AK298">
        <v>15</v>
      </c>
      <c r="AL298" t="s">
        <v>264</v>
      </c>
      <c r="AM298" t="s">
        <v>265</v>
      </c>
      <c r="AN298" t="s">
        <v>266</v>
      </c>
      <c r="AO298" t="s">
        <v>5789</v>
      </c>
      <c r="AP298" t="s">
        <v>5790</v>
      </c>
      <c r="AQ298" t="s">
        <v>74</v>
      </c>
      <c r="AR298" t="s">
        <v>5791</v>
      </c>
      <c r="AS298" t="s">
        <v>5792</v>
      </c>
      <c r="AT298" t="s">
        <v>5206</v>
      </c>
      <c r="AU298">
        <v>2010</v>
      </c>
      <c r="AV298">
        <v>57</v>
      </c>
      <c r="AW298">
        <v>9</v>
      </c>
      <c r="AX298" t="s">
        <v>74</v>
      </c>
      <c r="AY298" t="s">
        <v>74</v>
      </c>
      <c r="AZ298" t="s">
        <v>74</v>
      </c>
      <c r="BA298" t="s">
        <v>74</v>
      </c>
      <c r="BB298">
        <v>1039</v>
      </c>
      <c r="BC298">
        <v>1048</v>
      </c>
      <c r="BD298" t="s">
        <v>74</v>
      </c>
      <c r="BE298" t="s">
        <v>5793</v>
      </c>
      <c r="BF298" t="str">
        <f>HYPERLINK("http://dx.doi.org/10.1016/j.dsr.2010.05.012","http://dx.doi.org/10.1016/j.dsr.2010.05.012")</f>
        <v>http://dx.doi.org/10.1016/j.dsr.2010.05.012</v>
      </c>
      <c r="BG298" t="s">
        <v>74</v>
      </c>
      <c r="BH298" t="s">
        <v>74</v>
      </c>
      <c r="BI298">
        <v>10</v>
      </c>
      <c r="BJ298" t="s">
        <v>1531</v>
      </c>
      <c r="BK298" t="s">
        <v>100</v>
      </c>
      <c r="BL298" t="s">
        <v>1531</v>
      </c>
      <c r="BM298" t="s">
        <v>5794</v>
      </c>
      <c r="BN298" t="s">
        <v>74</v>
      </c>
      <c r="BO298" t="s">
        <v>74</v>
      </c>
      <c r="BP298" t="s">
        <v>74</v>
      </c>
      <c r="BQ298" t="s">
        <v>74</v>
      </c>
      <c r="BR298" t="s">
        <v>104</v>
      </c>
      <c r="BS298" t="s">
        <v>5795</v>
      </c>
      <c r="BT298" t="str">
        <f>HYPERLINK("https%3A%2F%2Fwww.webofscience.com%2Fwos%2Fwoscc%2Ffull-record%2FWOS:000281929900001","View Full Record in Web of Science")</f>
        <v>View Full Record in Web of Science</v>
      </c>
    </row>
    <row r="299" spans="1:72" x14ac:dyDescent="0.15">
      <c r="A299" t="s">
        <v>72</v>
      </c>
      <c r="B299" t="s">
        <v>5796</v>
      </c>
      <c r="C299" t="s">
        <v>74</v>
      </c>
      <c r="D299" t="s">
        <v>74</v>
      </c>
      <c r="E299" t="s">
        <v>74</v>
      </c>
      <c r="F299" t="s">
        <v>5797</v>
      </c>
      <c r="G299" t="s">
        <v>74</v>
      </c>
      <c r="H299" t="s">
        <v>74</v>
      </c>
      <c r="I299" t="s">
        <v>5798</v>
      </c>
      <c r="J299" t="s">
        <v>5799</v>
      </c>
      <c r="K299" t="s">
        <v>74</v>
      </c>
      <c r="L299" t="s">
        <v>74</v>
      </c>
      <c r="M299" t="s">
        <v>78</v>
      </c>
      <c r="N299" t="s">
        <v>79</v>
      </c>
      <c r="O299" t="s">
        <v>74</v>
      </c>
      <c r="P299" t="s">
        <v>74</v>
      </c>
      <c r="Q299" t="s">
        <v>74</v>
      </c>
      <c r="R299" t="s">
        <v>74</v>
      </c>
      <c r="S299" t="s">
        <v>74</v>
      </c>
      <c r="T299" t="s">
        <v>74</v>
      </c>
      <c r="U299" t="s">
        <v>5800</v>
      </c>
      <c r="V299" t="s">
        <v>74</v>
      </c>
      <c r="W299" t="s">
        <v>5801</v>
      </c>
      <c r="X299" t="s">
        <v>3936</v>
      </c>
      <c r="Y299" t="s">
        <v>5802</v>
      </c>
      <c r="Z299" t="s">
        <v>74</v>
      </c>
      <c r="AA299" t="s">
        <v>74</v>
      </c>
      <c r="AB299" t="s">
        <v>74</v>
      </c>
      <c r="AC299" t="s">
        <v>74</v>
      </c>
      <c r="AD299" t="s">
        <v>74</v>
      </c>
      <c r="AE299" t="s">
        <v>74</v>
      </c>
      <c r="AF299" t="s">
        <v>74</v>
      </c>
      <c r="AG299">
        <v>8</v>
      </c>
      <c r="AH299">
        <v>1</v>
      </c>
      <c r="AI299">
        <v>1</v>
      </c>
      <c r="AJ299">
        <v>0</v>
      </c>
      <c r="AK299">
        <v>4</v>
      </c>
      <c r="AL299" t="s">
        <v>3198</v>
      </c>
      <c r="AM299" t="s">
        <v>310</v>
      </c>
      <c r="AN299" t="s">
        <v>3199</v>
      </c>
      <c r="AO299" t="s">
        <v>5803</v>
      </c>
      <c r="AP299" t="s">
        <v>74</v>
      </c>
      <c r="AQ299" t="s">
        <v>74</v>
      </c>
      <c r="AR299" t="s">
        <v>5804</v>
      </c>
      <c r="AS299" t="s">
        <v>5805</v>
      </c>
      <c r="AT299" t="s">
        <v>5206</v>
      </c>
      <c r="AU299">
        <v>2010</v>
      </c>
      <c r="AV299">
        <v>434</v>
      </c>
      <c r="AW299">
        <v>1</v>
      </c>
      <c r="AX299" t="s">
        <v>74</v>
      </c>
      <c r="AY299" t="s">
        <v>74</v>
      </c>
      <c r="AZ299" t="s">
        <v>74</v>
      </c>
      <c r="BA299" t="s">
        <v>74</v>
      </c>
      <c r="BB299">
        <v>1200</v>
      </c>
      <c r="BC299">
        <v>1204</v>
      </c>
      <c r="BD299" t="s">
        <v>74</v>
      </c>
      <c r="BE299" t="s">
        <v>5806</v>
      </c>
      <c r="BF299" t="str">
        <f>HYPERLINK("http://dx.doi.org/10.1134/S1028334X10090126","http://dx.doi.org/10.1134/S1028334X10090126")</f>
        <v>http://dx.doi.org/10.1134/S1028334X10090126</v>
      </c>
      <c r="BG299" t="s">
        <v>74</v>
      </c>
      <c r="BH299" t="s">
        <v>74</v>
      </c>
      <c r="BI299">
        <v>5</v>
      </c>
      <c r="BJ299" t="s">
        <v>1194</v>
      </c>
      <c r="BK299" t="s">
        <v>100</v>
      </c>
      <c r="BL299" t="s">
        <v>807</v>
      </c>
      <c r="BM299" t="s">
        <v>5807</v>
      </c>
      <c r="BN299" t="s">
        <v>74</v>
      </c>
      <c r="BO299" t="s">
        <v>74</v>
      </c>
      <c r="BP299" t="s">
        <v>74</v>
      </c>
      <c r="BQ299" t="s">
        <v>74</v>
      </c>
      <c r="BR299" t="s">
        <v>104</v>
      </c>
      <c r="BS299" t="s">
        <v>5808</v>
      </c>
      <c r="BT299" t="str">
        <f>HYPERLINK("https%3A%2F%2Fwww.webofscience.com%2Fwos%2Fwoscc%2Ffull-record%2FWOS:000282217600012","View Full Record in Web of Science")</f>
        <v>View Full Record in Web of Science</v>
      </c>
    </row>
    <row r="300" spans="1:72" x14ac:dyDescent="0.15">
      <c r="A300" t="s">
        <v>72</v>
      </c>
      <c r="B300" t="s">
        <v>5809</v>
      </c>
      <c r="C300" t="s">
        <v>74</v>
      </c>
      <c r="D300" t="s">
        <v>74</v>
      </c>
      <c r="E300" t="s">
        <v>74</v>
      </c>
      <c r="F300" t="s">
        <v>5810</v>
      </c>
      <c r="G300" t="s">
        <v>74</v>
      </c>
      <c r="H300" t="s">
        <v>74</v>
      </c>
      <c r="I300" t="s">
        <v>5811</v>
      </c>
      <c r="J300" t="s">
        <v>536</v>
      </c>
      <c r="K300" t="s">
        <v>74</v>
      </c>
      <c r="L300" t="s">
        <v>74</v>
      </c>
      <c r="M300" t="s">
        <v>78</v>
      </c>
      <c r="N300" t="s">
        <v>79</v>
      </c>
      <c r="O300" t="s">
        <v>74</v>
      </c>
      <c r="P300" t="s">
        <v>74</v>
      </c>
      <c r="Q300" t="s">
        <v>74</v>
      </c>
      <c r="R300" t="s">
        <v>74</v>
      </c>
      <c r="S300" t="s">
        <v>74</v>
      </c>
      <c r="T300" t="s">
        <v>5812</v>
      </c>
      <c r="U300" t="s">
        <v>5813</v>
      </c>
      <c r="V300" t="s">
        <v>5814</v>
      </c>
      <c r="W300" t="s">
        <v>5815</v>
      </c>
      <c r="X300" t="s">
        <v>5816</v>
      </c>
      <c r="Y300" t="s">
        <v>5817</v>
      </c>
      <c r="Z300" t="s">
        <v>5818</v>
      </c>
      <c r="AA300" t="s">
        <v>5819</v>
      </c>
      <c r="AB300" t="s">
        <v>5820</v>
      </c>
      <c r="AC300" t="s">
        <v>5821</v>
      </c>
      <c r="AD300" t="s">
        <v>5822</v>
      </c>
      <c r="AE300" t="s">
        <v>5823</v>
      </c>
      <c r="AF300" t="s">
        <v>74</v>
      </c>
      <c r="AG300">
        <v>44</v>
      </c>
      <c r="AH300">
        <v>46</v>
      </c>
      <c r="AI300">
        <v>52</v>
      </c>
      <c r="AJ300">
        <v>0</v>
      </c>
      <c r="AK300">
        <v>21</v>
      </c>
      <c r="AL300" t="s">
        <v>1038</v>
      </c>
      <c r="AM300" t="s">
        <v>550</v>
      </c>
      <c r="AN300" t="s">
        <v>1039</v>
      </c>
      <c r="AO300" t="s">
        <v>552</v>
      </c>
      <c r="AP300" t="s">
        <v>2999</v>
      </c>
      <c r="AQ300" t="s">
        <v>74</v>
      </c>
      <c r="AR300" t="s">
        <v>553</v>
      </c>
      <c r="AS300" t="s">
        <v>554</v>
      </c>
      <c r="AT300" t="s">
        <v>5730</v>
      </c>
      <c r="AU300">
        <v>2010</v>
      </c>
      <c r="AV300">
        <v>297</v>
      </c>
      <c r="AW300" t="s">
        <v>556</v>
      </c>
      <c r="AX300" t="s">
        <v>74</v>
      </c>
      <c r="AY300" t="s">
        <v>74</v>
      </c>
      <c r="AZ300" t="s">
        <v>74</v>
      </c>
      <c r="BA300" t="s">
        <v>74</v>
      </c>
      <c r="BB300">
        <v>558</v>
      </c>
      <c r="BC300">
        <v>566</v>
      </c>
      <c r="BD300" t="s">
        <v>74</v>
      </c>
      <c r="BE300" t="s">
        <v>5824</v>
      </c>
      <c r="BF300" t="str">
        <f>HYPERLINK("http://dx.doi.org/10.1016/j.epsl.2010.07.007","http://dx.doi.org/10.1016/j.epsl.2010.07.007")</f>
        <v>http://dx.doi.org/10.1016/j.epsl.2010.07.007</v>
      </c>
      <c r="BG300" t="s">
        <v>74</v>
      </c>
      <c r="BH300" t="s">
        <v>74</v>
      </c>
      <c r="BI300">
        <v>9</v>
      </c>
      <c r="BJ300" t="s">
        <v>558</v>
      </c>
      <c r="BK300" t="s">
        <v>100</v>
      </c>
      <c r="BL300" t="s">
        <v>558</v>
      </c>
      <c r="BM300" t="s">
        <v>5825</v>
      </c>
      <c r="BN300" t="s">
        <v>74</v>
      </c>
      <c r="BO300" t="s">
        <v>74</v>
      </c>
      <c r="BP300" t="s">
        <v>74</v>
      </c>
      <c r="BQ300" t="s">
        <v>74</v>
      </c>
      <c r="BR300" t="s">
        <v>104</v>
      </c>
      <c r="BS300" t="s">
        <v>5826</v>
      </c>
      <c r="BT300" t="str">
        <f>HYPERLINK("https%3A%2F%2Fwww.webofscience.com%2Fwos%2Fwoscc%2Ffull-record%2FWOS:000282209300022","View Full Record in Web of Science")</f>
        <v>View Full Record in Web of Science</v>
      </c>
    </row>
    <row r="301" spans="1:72" x14ac:dyDescent="0.15">
      <c r="A301" t="s">
        <v>72</v>
      </c>
      <c r="B301" t="s">
        <v>5827</v>
      </c>
      <c r="C301" t="s">
        <v>74</v>
      </c>
      <c r="D301" t="s">
        <v>74</v>
      </c>
      <c r="E301" t="s">
        <v>74</v>
      </c>
      <c r="F301" t="s">
        <v>5828</v>
      </c>
      <c r="G301" t="s">
        <v>74</v>
      </c>
      <c r="H301" t="s">
        <v>74</v>
      </c>
      <c r="I301" t="s">
        <v>5829</v>
      </c>
      <c r="J301" t="s">
        <v>536</v>
      </c>
      <c r="K301" t="s">
        <v>74</v>
      </c>
      <c r="L301" t="s">
        <v>74</v>
      </c>
      <c r="M301" t="s">
        <v>78</v>
      </c>
      <c r="N301" t="s">
        <v>79</v>
      </c>
      <c r="O301" t="s">
        <v>74</v>
      </c>
      <c r="P301" t="s">
        <v>74</v>
      </c>
      <c r="Q301" t="s">
        <v>74</v>
      </c>
      <c r="R301" t="s">
        <v>74</v>
      </c>
      <c r="S301" t="s">
        <v>74</v>
      </c>
      <c r="T301" t="s">
        <v>5830</v>
      </c>
      <c r="U301" t="s">
        <v>5831</v>
      </c>
      <c r="V301" t="s">
        <v>5832</v>
      </c>
      <c r="W301" t="s">
        <v>5833</v>
      </c>
      <c r="X301" t="s">
        <v>5834</v>
      </c>
      <c r="Y301" t="s">
        <v>5835</v>
      </c>
      <c r="Z301" t="s">
        <v>5836</v>
      </c>
      <c r="AA301" t="s">
        <v>5837</v>
      </c>
      <c r="AB301" t="s">
        <v>74</v>
      </c>
      <c r="AC301" t="s">
        <v>74</v>
      </c>
      <c r="AD301" t="s">
        <v>74</v>
      </c>
      <c r="AE301" t="s">
        <v>74</v>
      </c>
      <c r="AF301" t="s">
        <v>74</v>
      </c>
      <c r="AG301">
        <v>71</v>
      </c>
      <c r="AH301">
        <v>20</v>
      </c>
      <c r="AI301">
        <v>23</v>
      </c>
      <c r="AJ301">
        <v>0</v>
      </c>
      <c r="AK301">
        <v>9</v>
      </c>
      <c r="AL301" t="s">
        <v>1038</v>
      </c>
      <c r="AM301" t="s">
        <v>550</v>
      </c>
      <c r="AN301" t="s">
        <v>1039</v>
      </c>
      <c r="AO301" t="s">
        <v>552</v>
      </c>
      <c r="AP301" t="s">
        <v>2999</v>
      </c>
      <c r="AQ301" t="s">
        <v>74</v>
      </c>
      <c r="AR301" t="s">
        <v>553</v>
      </c>
      <c r="AS301" t="s">
        <v>554</v>
      </c>
      <c r="AT301" t="s">
        <v>5730</v>
      </c>
      <c r="AU301">
        <v>2010</v>
      </c>
      <c r="AV301">
        <v>297</v>
      </c>
      <c r="AW301" t="s">
        <v>556</v>
      </c>
      <c r="AX301" t="s">
        <v>74</v>
      </c>
      <c r="AY301" t="s">
        <v>74</v>
      </c>
      <c r="AZ301" t="s">
        <v>74</v>
      </c>
      <c r="BA301" t="s">
        <v>74</v>
      </c>
      <c r="BB301">
        <v>616</v>
      </c>
      <c r="BC301">
        <v>626</v>
      </c>
      <c r="BD301" t="s">
        <v>74</v>
      </c>
      <c r="BE301" t="s">
        <v>5838</v>
      </c>
      <c r="BF301" t="str">
        <f>HYPERLINK("http://dx.doi.org/10.1016/j.epsl.2010.07.014","http://dx.doi.org/10.1016/j.epsl.2010.07.014")</f>
        <v>http://dx.doi.org/10.1016/j.epsl.2010.07.014</v>
      </c>
      <c r="BG301" t="s">
        <v>74</v>
      </c>
      <c r="BH301" t="s">
        <v>74</v>
      </c>
      <c r="BI301">
        <v>11</v>
      </c>
      <c r="BJ301" t="s">
        <v>558</v>
      </c>
      <c r="BK301" t="s">
        <v>100</v>
      </c>
      <c r="BL301" t="s">
        <v>558</v>
      </c>
      <c r="BM301" t="s">
        <v>5825</v>
      </c>
      <c r="BN301" t="s">
        <v>74</v>
      </c>
      <c r="BO301" t="s">
        <v>74</v>
      </c>
      <c r="BP301" t="s">
        <v>74</v>
      </c>
      <c r="BQ301" t="s">
        <v>74</v>
      </c>
      <c r="BR301" t="s">
        <v>104</v>
      </c>
      <c r="BS301" t="s">
        <v>5839</v>
      </c>
      <c r="BT301" t="str">
        <f>HYPERLINK("https%3A%2F%2Fwww.webofscience.com%2Fwos%2Fwoscc%2Ffull-record%2FWOS:000282209300028","View Full Record in Web of Science")</f>
        <v>View Full Record in Web of Science</v>
      </c>
    </row>
    <row r="302" spans="1:72" x14ac:dyDescent="0.15">
      <c r="A302" t="s">
        <v>72</v>
      </c>
      <c r="B302" t="s">
        <v>5840</v>
      </c>
      <c r="C302" t="s">
        <v>74</v>
      </c>
      <c r="D302" t="s">
        <v>74</v>
      </c>
      <c r="E302" t="s">
        <v>74</v>
      </c>
      <c r="F302" t="s">
        <v>5841</v>
      </c>
      <c r="G302" t="s">
        <v>74</v>
      </c>
      <c r="H302" t="s">
        <v>74</v>
      </c>
      <c r="I302" t="s">
        <v>5842</v>
      </c>
      <c r="J302" t="s">
        <v>5843</v>
      </c>
      <c r="K302" t="s">
        <v>74</v>
      </c>
      <c r="L302" t="s">
        <v>74</v>
      </c>
      <c r="M302" t="s">
        <v>78</v>
      </c>
      <c r="N302" t="s">
        <v>79</v>
      </c>
      <c r="O302" t="s">
        <v>74</v>
      </c>
      <c r="P302" t="s">
        <v>74</v>
      </c>
      <c r="Q302" t="s">
        <v>74</v>
      </c>
      <c r="R302" t="s">
        <v>74</v>
      </c>
      <c r="S302" t="s">
        <v>74</v>
      </c>
      <c r="T302" t="s">
        <v>74</v>
      </c>
      <c r="U302" t="s">
        <v>5844</v>
      </c>
      <c r="V302" t="s">
        <v>5845</v>
      </c>
      <c r="W302" t="s">
        <v>5846</v>
      </c>
      <c r="X302" t="s">
        <v>5847</v>
      </c>
      <c r="Y302" t="s">
        <v>5848</v>
      </c>
      <c r="Z302" t="s">
        <v>5849</v>
      </c>
      <c r="AA302" t="s">
        <v>5850</v>
      </c>
      <c r="AB302" t="s">
        <v>5851</v>
      </c>
      <c r="AC302" t="s">
        <v>5852</v>
      </c>
      <c r="AD302" t="s">
        <v>5853</v>
      </c>
      <c r="AE302" t="s">
        <v>5854</v>
      </c>
      <c r="AF302" t="s">
        <v>74</v>
      </c>
      <c r="AG302">
        <v>67</v>
      </c>
      <c r="AH302">
        <v>64</v>
      </c>
      <c r="AI302">
        <v>66</v>
      </c>
      <c r="AJ302">
        <v>0</v>
      </c>
      <c r="AK302">
        <v>43</v>
      </c>
      <c r="AL302" t="s">
        <v>338</v>
      </c>
      <c r="AM302" t="s">
        <v>673</v>
      </c>
      <c r="AN302" t="s">
        <v>674</v>
      </c>
      <c r="AO302" t="s">
        <v>5855</v>
      </c>
      <c r="AP302" t="s">
        <v>74</v>
      </c>
      <c r="AQ302" t="s">
        <v>74</v>
      </c>
      <c r="AR302" t="s">
        <v>5843</v>
      </c>
      <c r="AS302" t="s">
        <v>5856</v>
      </c>
      <c r="AT302" t="s">
        <v>5206</v>
      </c>
      <c r="AU302">
        <v>2010</v>
      </c>
      <c r="AV302">
        <v>33</v>
      </c>
      <c r="AW302">
        <v>4</v>
      </c>
      <c r="AX302" t="s">
        <v>74</v>
      </c>
      <c r="AY302" t="s">
        <v>74</v>
      </c>
      <c r="AZ302" t="s">
        <v>74</v>
      </c>
      <c r="BA302" t="s">
        <v>74</v>
      </c>
      <c r="BB302">
        <v>709</v>
      </c>
      <c r="BC302">
        <v>719</v>
      </c>
      <c r="BD302" t="s">
        <v>74</v>
      </c>
      <c r="BE302" t="s">
        <v>5857</v>
      </c>
      <c r="BF302" t="str">
        <f>HYPERLINK("http://dx.doi.org/10.1111/j.1600-0587.2009.06034.x","http://dx.doi.org/10.1111/j.1600-0587.2009.06034.x")</f>
        <v>http://dx.doi.org/10.1111/j.1600-0587.2009.06034.x</v>
      </c>
      <c r="BG302" t="s">
        <v>74</v>
      </c>
      <c r="BH302" t="s">
        <v>74</v>
      </c>
      <c r="BI302">
        <v>11</v>
      </c>
      <c r="BJ302" t="s">
        <v>1282</v>
      </c>
      <c r="BK302" t="s">
        <v>100</v>
      </c>
      <c r="BL302" t="s">
        <v>680</v>
      </c>
      <c r="BM302" t="s">
        <v>5858</v>
      </c>
      <c r="BN302" t="s">
        <v>74</v>
      </c>
      <c r="BO302" t="s">
        <v>74</v>
      </c>
      <c r="BP302" t="s">
        <v>74</v>
      </c>
      <c r="BQ302" t="s">
        <v>74</v>
      </c>
      <c r="BR302" t="s">
        <v>104</v>
      </c>
      <c r="BS302" t="s">
        <v>5859</v>
      </c>
      <c r="BT302" t="str">
        <f>HYPERLINK("https%3A%2F%2Fwww.webofscience.com%2Fwos%2Fwoscc%2Ffull-record%2FWOS:000282176800010","View Full Record in Web of Science")</f>
        <v>View Full Record in Web of Science</v>
      </c>
    </row>
    <row r="303" spans="1:72" x14ac:dyDescent="0.15">
      <c r="A303" t="s">
        <v>72</v>
      </c>
      <c r="B303" t="s">
        <v>5860</v>
      </c>
      <c r="C303" t="s">
        <v>74</v>
      </c>
      <c r="D303" t="s">
        <v>74</v>
      </c>
      <c r="E303" t="s">
        <v>74</v>
      </c>
      <c r="F303" t="s">
        <v>5861</v>
      </c>
      <c r="G303" t="s">
        <v>74</v>
      </c>
      <c r="H303" t="s">
        <v>74</v>
      </c>
      <c r="I303" t="s">
        <v>5862</v>
      </c>
      <c r="J303" t="s">
        <v>5843</v>
      </c>
      <c r="K303" t="s">
        <v>74</v>
      </c>
      <c r="L303" t="s">
        <v>74</v>
      </c>
      <c r="M303" t="s">
        <v>78</v>
      </c>
      <c r="N303" t="s">
        <v>79</v>
      </c>
      <c r="O303" t="s">
        <v>74</v>
      </c>
      <c r="P303" t="s">
        <v>74</v>
      </c>
      <c r="Q303" t="s">
        <v>74</v>
      </c>
      <c r="R303" t="s">
        <v>74</v>
      </c>
      <c r="S303" t="s">
        <v>74</v>
      </c>
      <c r="T303" t="s">
        <v>74</v>
      </c>
      <c r="U303" t="s">
        <v>5863</v>
      </c>
      <c r="V303" t="s">
        <v>5864</v>
      </c>
      <c r="W303" t="s">
        <v>5865</v>
      </c>
      <c r="X303" t="s">
        <v>5866</v>
      </c>
      <c r="Y303" t="s">
        <v>5867</v>
      </c>
      <c r="Z303" t="s">
        <v>5868</v>
      </c>
      <c r="AA303" t="s">
        <v>5869</v>
      </c>
      <c r="AB303" t="s">
        <v>5870</v>
      </c>
      <c r="AC303" t="s">
        <v>5871</v>
      </c>
      <c r="AD303" t="s">
        <v>5872</v>
      </c>
      <c r="AE303" t="s">
        <v>5873</v>
      </c>
      <c r="AF303" t="s">
        <v>74</v>
      </c>
      <c r="AG303">
        <v>66</v>
      </c>
      <c r="AH303">
        <v>12</v>
      </c>
      <c r="AI303">
        <v>12</v>
      </c>
      <c r="AJ303">
        <v>2</v>
      </c>
      <c r="AK303">
        <v>23</v>
      </c>
      <c r="AL303" t="s">
        <v>338</v>
      </c>
      <c r="AM303" t="s">
        <v>673</v>
      </c>
      <c r="AN303" t="s">
        <v>674</v>
      </c>
      <c r="AO303" t="s">
        <v>5855</v>
      </c>
      <c r="AP303" t="s">
        <v>74</v>
      </c>
      <c r="AQ303" t="s">
        <v>74</v>
      </c>
      <c r="AR303" t="s">
        <v>5843</v>
      </c>
      <c r="AS303" t="s">
        <v>5856</v>
      </c>
      <c r="AT303" t="s">
        <v>5206</v>
      </c>
      <c r="AU303">
        <v>2010</v>
      </c>
      <c r="AV303">
        <v>33</v>
      </c>
      <c r="AW303">
        <v>4</v>
      </c>
      <c r="AX303" t="s">
        <v>74</v>
      </c>
      <c r="AY303" t="s">
        <v>74</v>
      </c>
      <c r="AZ303" t="s">
        <v>74</v>
      </c>
      <c r="BA303" t="s">
        <v>74</v>
      </c>
      <c r="BB303">
        <v>748</v>
      </c>
      <c r="BC303">
        <v>759</v>
      </c>
      <c r="BD303" t="s">
        <v>74</v>
      </c>
      <c r="BE303" t="s">
        <v>5874</v>
      </c>
      <c r="BF303" t="str">
        <f>HYPERLINK("http://dx.doi.org/10.1111/j.1600-0587.2009.06155.x","http://dx.doi.org/10.1111/j.1600-0587.2009.06155.x")</f>
        <v>http://dx.doi.org/10.1111/j.1600-0587.2009.06155.x</v>
      </c>
      <c r="BG303" t="s">
        <v>74</v>
      </c>
      <c r="BH303" t="s">
        <v>74</v>
      </c>
      <c r="BI303">
        <v>12</v>
      </c>
      <c r="BJ303" t="s">
        <v>1282</v>
      </c>
      <c r="BK303" t="s">
        <v>100</v>
      </c>
      <c r="BL303" t="s">
        <v>680</v>
      </c>
      <c r="BM303" t="s">
        <v>5858</v>
      </c>
      <c r="BN303" t="s">
        <v>74</v>
      </c>
      <c r="BO303" t="s">
        <v>74</v>
      </c>
      <c r="BP303" t="s">
        <v>74</v>
      </c>
      <c r="BQ303" t="s">
        <v>74</v>
      </c>
      <c r="BR303" t="s">
        <v>104</v>
      </c>
      <c r="BS303" t="s">
        <v>5875</v>
      </c>
      <c r="BT303" t="str">
        <f>HYPERLINK("https%3A%2F%2Fwww.webofscience.com%2Fwos%2Fwoscc%2Ffull-record%2FWOS:000282176800014","View Full Record in Web of Science")</f>
        <v>View Full Record in Web of Science</v>
      </c>
    </row>
    <row r="304" spans="1:72" x14ac:dyDescent="0.15">
      <c r="A304" t="s">
        <v>72</v>
      </c>
      <c r="B304" t="s">
        <v>5876</v>
      </c>
      <c r="C304" t="s">
        <v>74</v>
      </c>
      <c r="D304" t="s">
        <v>74</v>
      </c>
      <c r="E304" t="s">
        <v>74</v>
      </c>
      <c r="F304" t="s">
        <v>5877</v>
      </c>
      <c r="G304" t="s">
        <v>74</v>
      </c>
      <c r="H304" t="s">
        <v>74</v>
      </c>
      <c r="I304" t="s">
        <v>5878</v>
      </c>
      <c r="J304" t="s">
        <v>5879</v>
      </c>
      <c r="K304" t="s">
        <v>74</v>
      </c>
      <c r="L304" t="s">
        <v>74</v>
      </c>
      <c r="M304" t="s">
        <v>78</v>
      </c>
      <c r="N304" t="s">
        <v>79</v>
      </c>
      <c r="O304" t="s">
        <v>74</v>
      </c>
      <c r="P304" t="s">
        <v>74</v>
      </c>
      <c r="Q304" t="s">
        <v>74</v>
      </c>
      <c r="R304" t="s">
        <v>74</v>
      </c>
      <c r="S304" t="s">
        <v>74</v>
      </c>
      <c r="T304" t="s">
        <v>74</v>
      </c>
      <c r="U304" t="s">
        <v>5880</v>
      </c>
      <c r="V304" t="s">
        <v>5881</v>
      </c>
      <c r="W304" t="s">
        <v>5882</v>
      </c>
      <c r="X304" t="s">
        <v>5883</v>
      </c>
      <c r="Y304" t="s">
        <v>5884</v>
      </c>
      <c r="Z304" t="s">
        <v>5885</v>
      </c>
      <c r="AA304" t="s">
        <v>5886</v>
      </c>
      <c r="AB304" t="s">
        <v>5887</v>
      </c>
      <c r="AC304" t="s">
        <v>74</v>
      </c>
      <c r="AD304" t="s">
        <v>74</v>
      </c>
      <c r="AE304" t="s">
        <v>74</v>
      </c>
      <c r="AF304" t="s">
        <v>74</v>
      </c>
      <c r="AG304">
        <v>27</v>
      </c>
      <c r="AH304">
        <v>33</v>
      </c>
      <c r="AI304">
        <v>38</v>
      </c>
      <c r="AJ304">
        <v>2</v>
      </c>
      <c r="AK304">
        <v>32</v>
      </c>
      <c r="AL304" t="s">
        <v>3071</v>
      </c>
      <c r="AM304" t="s">
        <v>1522</v>
      </c>
      <c r="AN304" t="s">
        <v>3072</v>
      </c>
      <c r="AO304" t="s">
        <v>5888</v>
      </c>
      <c r="AP304" t="s">
        <v>5889</v>
      </c>
      <c r="AQ304" t="s">
        <v>74</v>
      </c>
      <c r="AR304" t="s">
        <v>5890</v>
      </c>
      <c r="AS304" t="s">
        <v>5891</v>
      </c>
      <c r="AT304" t="s">
        <v>5206</v>
      </c>
      <c r="AU304">
        <v>2010</v>
      </c>
      <c r="AV304">
        <v>24</v>
      </c>
      <c r="AW304">
        <v>9</v>
      </c>
      <c r="AX304" t="s">
        <v>74</v>
      </c>
      <c r="AY304" t="s">
        <v>74</v>
      </c>
      <c r="AZ304" t="s">
        <v>74</v>
      </c>
      <c r="BA304" t="s">
        <v>74</v>
      </c>
      <c r="BB304">
        <v>4646</v>
      </c>
      <c r="BC304">
        <v>4651</v>
      </c>
      <c r="BD304" t="s">
        <v>74</v>
      </c>
      <c r="BE304" t="s">
        <v>5892</v>
      </c>
      <c r="BF304" t="str">
        <f>HYPERLINK("http://dx.doi.org/10.1021/ef901176h","http://dx.doi.org/10.1021/ef901176h")</f>
        <v>http://dx.doi.org/10.1021/ef901176h</v>
      </c>
      <c r="BG304" t="s">
        <v>74</v>
      </c>
      <c r="BH304" t="s">
        <v>74</v>
      </c>
      <c r="BI304">
        <v>6</v>
      </c>
      <c r="BJ304" t="s">
        <v>5893</v>
      </c>
      <c r="BK304" t="s">
        <v>100</v>
      </c>
      <c r="BL304" t="s">
        <v>5894</v>
      </c>
      <c r="BM304" t="s">
        <v>5895</v>
      </c>
      <c r="BN304" t="s">
        <v>74</v>
      </c>
      <c r="BO304" t="s">
        <v>74</v>
      </c>
      <c r="BP304" t="s">
        <v>74</v>
      </c>
      <c r="BQ304" t="s">
        <v>74</v>
      </c>
      <c r="BR304" t="s">
        <v>104</v>
      </c>
      <c r="BS304" t="s">
        <v>5896</v>
      </c>
      <c r="BT304" t="str">
        <f>HYPERLINK("https%3A%2F%2Fwww.webofscience.com%2Fwos%2Fwoscc%2Ffull-record%2FWOS:000283111000004","View Full Record in Web of Science")</f>
        <v>View Full Record in Web of Science</v>
      </c>
    </row>
    <row r="305" spans="1:72" x14ac:dyDescent="0.15">
      <c r="A305" t="s">
        <v>72</v>
      </c>
      <c r="B305" t="s">
        <v>5897</v>
      </c>
      <c r="C305" t="s">
        <v>74</v>
      </c>
      <c r="D305" t="s">
        <v>74</v>
      </c>
      <c r="E305" t="s">
        <v>74</v>
      </c>
      <c r="F305" t="s">
        <v>5898</v>
      </c>
      <c r="G305" t="s">
        <v>74</v>
      </c>
      <c r="H305" t="s">
        <v>74</v>
      </c>
      <c r="I305" t="s">
        <v>5899</v>
      </c>
      <c r="J305" t="s">
        <v>5900</v>
      </c>
      <c r="K305" t="s">
        <v>74</v>
      </c>
      <c r="L305" t="s">
        <v>74</v>
      </c>
      <c r="M305" t="s">
        <v>78</v>
      </c>
      <c r="N305" t="s">
        <v>79</v>
      </c>
      <c r="O305" t="s">
        <v>74</v>
      </c>
      <c r="P305" t="s">
        <v>74</v>
      </c>
      <c r="Q305" t="s">
        <v>74</v>
      </c>
      <c r="R305" t="s">
        <v>74</v>
      </c>
      <c r="S305" t="s">
        <v>74</v>
      </c>
      <c r="T305" t="s">
        <v>5901</v>
      </c>
      <c r="U305" t="s">
        <v>5902</v>
      </c>
      <c r="V305" t="s">
        <v>5903</v>
      </c>
      <c r="W305" t="s">
        <v>5904</v>
      </c>
      <c r="X305" t="s">
        <v>5905</v>
      </c>
      <c r="Y305" t="s">
        <v>5906</v>
      </c>
      <c r="Z305" t="s">
        <v>5907</v>
      </c>
      <c r="AA305" t="s">
        <v>74</v>
      </c>
      <c r="AB305" t="s">
        <v>74</v>
      </c>
      <c r="AC305" t="s">
        <v>74</v>
      </c>
      <c r="AD305" t="s">
        <v>74</v>
      </c>
      <c r="AE305" t="s">
        <v>74</v>
      </c>
      <c r="AF305" t="s">
        <v>74</v>
      </c>
      <c r="AG305">
        <v>23</v>
      </c>
      <c r="AH305">
        <v>5</v>
      </c>
      <c r="AI305">
        <v>8</v>
      </c>
      <c r="AJ305">
        <v>2</v>
      </c>
      <c r="AK305">
        <v>15</v>
      </c>
      <c r="AL305" t="s">
        <v>5908</v>
      </c>
      <c r="AM305" t="s">
        <v>5909</v>
      </c>
      <c r="AN305" t="s">
        <v>5910</v>
      </c>
      <c r="AO305" t="s">
        <v>5911</v>
      </c>
      <c r="AP305" t="s">
        <v>74</v>
      </c>
      <c r="AQ305" t="s">
        <v>74</v>
      </c>
      <c r="AR305" t="s">
        <v>5912</v>
      </c>
      <c r="AS305" t="s">
        <v>5913</v>
      </c>
      <c r="AT305" t="s">
        <v>5206</v>
      </c>
      <c r="AU305">
        <v>2010</v>
      </c>
      <c r="AV305">
        <v>42</v>
      </c>
      <c r="AW305">
        <v>5</v>
      </c>
      <c r="AX305" t="s">
        <v>74</v>
      </c>
      <c r="AY305" t="s">
        <v>74</v>
      </c>
      <c r="AZ305" t="s">
        <v>74</v>
      </c>
      <c r="BA305" t="s">
        <v>74</v>
      </c>
      <c r="BB305">
        <v>707</v>
      </c>
      <c r="BC305">
        <v>717</v>
      </c>
      <c r="BD305" t="s">
        <v>74</v>
      </c>
      <c r="BE305" t="s">
        <v>5914</v>
      </c>
      <c r="BF305" t="str">
        <f>HYPERLINK("http://dx.doi.org/10.1177/0013916509336889","http://dx.doi.org/10.1177/0013916509336889")</f>
        <v>http://dx.doi.org/10.1177/0013916509336889</v>
      </c>
      <c r="BG305" t="s">
        <v>74</v>
      </c>
      <c r="BH305" t="s">
        <v>74</v>
      </c>
      <c r="BI305">
        <v>11</v>
      </c>
      <c r="BJ305" t="s">
        <v>5915</v>
      </c>
      <c r="BK305" t="s">
        <v>1966</v>
      </c>
      <c r="BL305" t="s">
        <v>5916</v>
      </c>
      <c r="BM305" t="s">
        <v>5917</v>
      </c>
      <c r="BN305" t="s">
        <v>74</v>
      </c>
      <c r="BO305" t="s">
        <v>74</v>
      </c>
      <c r="BP305" t="s">
        <v>74</v>
      </c>
      <c r="BQ305" t="s">
        <v>74</v>
      </c>
      <c r="BR305" t="s">
        <v>104</v>
      </c>
      <c r="BS305" t="s">
        <v>5918</v>
      </c>
      <c r="BT305" t="str">
        <f>HYPERLINK("https%3A%2F%2Fwww.webofscience.com%2Fwos%2Fwoscc%2Ffull-record%2FWOS:000280801600008","View Full Record in Web of Science")</f>
        <v>View Full Record in Web of Science</v>
      </c>
    </row>
    <row r="306" spans="1:72" x14ac:dyDescent="0.15">
      <c r="A306" t="s">
        <v>72</v>
      </c>
      <c r="B306" t="s">
        <v>5919</v>
      </c>
      <c r="C306" t="s">
        <v>74</v>
      </c>
      <c r="D306" t="s">
        <v>74</v>
      </c>
      <c r="E306" t="s">
        <v>74</v>
      </c>
      <c r="F306" t="s">
        <v>5920</v>
      </c>
      <c r="G306" t="s">
        <v>74</v>
      </c>
      <c r="H306" t="s">
        <v>74</v>
      </c>
      <c r="I306" t="s">
        <v>5921</v>
      </c>
      <c r="J306" t="s">
        <v>5922</v>
      </c>
      <c r="K306" t="s">
        <v>74</v>
      </c>
      <c r="L306" t="s">
        <v>74</v>
      </c>
      <c r="M306" t="s">
        <v>78</v>
      </c>
      <c r="N306" t="s">
        <v>79</v>
      </c>
      <c r="O306" t="s">
        <v>74</v>
      </c>
      <c r="P306" t="s">
        <v>74</v>
      </c>
      <c r="Q306" t="s">
        <v>74</v>
      </c>
      <c r="R306" t="s">
        <v>74</v>
      </c>
      <c r="S306" t="s">
        <v>74</v>
      </c>
      <c r="T306" t="s">
        <v>5923</v>
      </c>
      <c r="U306" t="s">
        <v>5924</v>
      </c>
      <c r="V306" t="s">
        <v>5925</v>
      </c>
      <c r="W306" t="s">
        <v>5926</v>
      </c>
      <c r="X306" t="s">
        <v>5927</v>
      </c>
      <c r="Y306" t="s">
        <v>5928</v>
      </c>
      <c r="Z306" t="s">
        <v>5929</v>
      </c>
      <c r="AA306" t="s">
        <v>5930</v>
      </c>
      <c r="AB306" t="s">
        <v>5931</v>
      </c>
      <c r="AC306" t="s">
        <v>5932</v>
      </c>
      <c r="AD306" t="s">
        <v>5933</v>
      </c>
      <c r="AE306" t="s">
        <v>5934</v>
      </c>
      <c r="AF306" t="s">
        <v>74</v>
      </c>
      <c r="AG306">
        <v>51</v>
      </c>
      <c r="AH306">
        <v>50</v>
      </c>
      <c r="AI306">
        <v>54</v>
      </c>
      <c r="AJ306">
        <v>13</v>
      </c>
      <c r="AK306">
        <v>70</v>
      </c>
      <c r="AL306" t="s">
        <v>2438</v>
      </c>
      <c r="AM306" t="s">
        <v>265</v>
      </c>
      <c r="AN306" t="s">
        <v>2439</v>
      </c>
      <c r="AO306" t="s">
        <v>5935</v>
      </c>
      <c r="AP306" t="s">
        <v>5936</v>
      </c>
      <c r="AQ306" t="s">
        <v>74</v>
      </c>
      <c r="AR306" t="s">
        <v>5937</v>
      </c>
      <c r="AS306" t="s">
        <v>5938</v>
      </c>
      <c r="AT306" t="s">
        <v>5206</v>
      </c>
      <c r="AU306">
        <v>2010</v>
      </c>
      <c r="AV306">
        <v>158</v>
      </c>
      <c r="AW306">
        <v>9</v>
      </c>
      <c r="AX306" t="s">
        <v>74</v>
      </c>
      <c r="AY306" t="s">
        <v>74</v>
      </c>
      <c r="AZ306" t="s">
        <v>74</v>
      </c>
      <c r="BA306" t="s">
        <v>74</v>
      </c>
      <c r="BB306">
        <v>2985</v>
      </c>
      <c r="BC306">
        <v>2991</v>
      </c>
      <c r="BD306" t="s">
        <v>74</v>
      </c>
      <c r="BE306" t="s">
        <v>5939</v>
      </c>
      <c r="BF306" t="str">
        <f>HYPERLINK("http://dx.doi.org/10.1016/j.envpol.2010.05.024","http://dx.doi.org/10.1016/j.envpol.2010.05.024")</f>
        <v>http://dx.doi.org/10.1016/j.envpol.2010.05.024</v>
      </c>
      <c r="BG306" t="s">
        <v>74</v>
      </c>
      <c r="BH306" t="s">
        <v>74</v>
      </c>
      <c r="BI306">
        <v>7</v>
      </c>
      <c r="BJ306" t="s">
        <v>3562</v>
      </c>
      <c r="BK306" t="s">
        <v>100</v>
      </c>
      <c r="BL306" t="s">
        <v>2797</v>
      </c>
      <c r="BM306" t="s">
        <v>5940</v>
      </c>
      <c r="BN306">
        <v>20584566</v>
      </c>
      <c r="BO306" t="s">
        <v>74</v>
      </c>
      <c r="BP306" t="s">
        <v>74</v>
      </c>
      <c r="BQ306" t="s">
        <v>74</v>
      </c>
      <c r="BR306" t="s">
        <v>104</v>
      </c>
      <c r="BS306" t="s">
        <v>5941</v>
      </c>
      <c r="BT306" t="str">
        <f>HYPERLINK("https%3A%2F%2Fwww.webofscience.com%2Fwos%2Fwoscc%2Ffull-record%2FWOS:000281306400026","View Full Record in Web of Science")</f>
        <v>View Full Record in Web of Science</v>
      </c>
    </row>
    <row r="307" spans="1:72" x14ac:dyDescent="0.15">
      <c r="A307" t="s">
        <v>72</v>
      </c>
      <c r="B307" t="s">
        <v>5942</v>
      </c>
      <c r="C307" t="s">
        <v>74</v>
      </c>
      <c r="D307" t="s">
        <v>74</v>
      </c>
      <c r="E307" t="s">
        <v>74</v>
      </c>
      <c r="F307" t="s">
        <v>5943</v>
      </c>
      <c r="G307" t="s">
        <v>74</v>
      </c>
      <c r="H307" t="s">
        <v>74</v>
      </c>
      <c r="I307" t="s">
        <v>5944</v>
      </c>
      <c r="J307" t="s">
        <v>5945</v>
      </c>
      <c r="K307" t="s">
        <v>74</v>
      </c>
      <c r="L307" t="s">
        <v>74</v>
      </c>
      <c r="M307" t="s">
        <v>78</v>
      </c>
      <c r="N307" t="s">
        <v>79</v>
      </c>
      <c r="O307" t="s">
        <v>74</v>
      </c>
      <c r="P307" t="s">
        <v>74</v>
      </c>
      <c r="Q307" t="s">
        <v>74</v>
      </c>
      <c r="R307" t="s">
        <v>74</v>
      </c>
      <c r="S307" t="s">
        <v>74</v>
      </c>
      <c r="T307" t="s">
        <v>5946</v>
      </c>
      <c r="U307" t="s">
        <v>5947</v>
      </c>
      <c r="V307" t="s">
        <v>5948</v>
      </c>
      <c r="W307" t="s">
        <v>5949</v>
      </c>
      <c r="X307" t="s">
        <v>5950</v>
      </c>
      <c r="Y307" t="s">
        <v>5951</v>
      </c>
      <c r="Z307" t="s">
        <v>5952</v>
      </c>
      <c r="AA307" t="s">
        <v>5953</v>
      </c>
      <c r="AB307" t="s">
        <v>5954</v>
      </c>
      <c r="AC307" t="s">
        <v>5955</v>
      </c>
      <c r="AD307" t="s">
        <v>5955</v>
      </c>
      <c r="AE307" t="s">
        <v>5956</v>
      </c>
      <c r="AF307" t="s">
        <v>74</v>
      </c>
      <c r="AG307">
        <v>29</v>
      </c>
      <c r="AH307">
        <v>10</v>
      </c>
      <c r="AI307">
        <v>11</v>
      </c>
      <c r="AJ307">
        <v>1</v>
      </c>
      <c r="AK307">
        <v>26</v>
      </c>
      <c r="AL307" t="s">
        <v>5957</v>
      </c>
      <c r="AM307" t="s">
        <v>386</v>
      </c>
      <c r="AN307" t="s">
        <v>5958</v>
      </c>
      <c r="AO307" t="s">
        <v>5959</v>
      </c>
      <c r="AP307" t="s">
        <v>5960</v>
      </c>
      <c r="AQ307" t="s">
        <v>74</v>
      </c>
      <c r="AR307" t="s">
        <v>5945</v>
      </c>
      <c r="AS307" t="s">
        <v>5961</v>
      </c>
      <c r="AT307" t="s">
        <v>5206</v>
      </c>
      <c r="AU307">
        <v>2010</v>
      </c>
      <c r="AV307">
        <v>14</v>
      </c>
      <c r="AW307">
        <v>5</v>
      </c>
      <c r="AX307" t="s">
        <v>74</v>
      </c>
      <c r="AY307" t="s">
        <v>74</v>
      </c>
      <c r="AZ307" t="s">
        <v>74</v>
      </c>
      <c r="BA307" t="s">
        <v>74</v>
      </c>
      <c r="BB307">
        <v>475</v>
      </c>
      <c r="BC307">
        <v>481</v>
      </c>
      <c r="BD307" t="s">
        <v>74</v>
      </c>
      <c r="BE307" t="s">
        <v>5962</v>
      </c>
      <c r="BF307" t="str">
        <f>HYPERLINK("http://dx.doi.org/10.1007/s00792-010-0326-3","http://dx.doi.org/10.1007/s00792-010-0326-3")</f>
        <v>http://dx.doi.org/10.1007/s00792-010-0326-3</v>
      </c>
      <c r="BG307" t="s">
        <v>74</v>
      </c>
      <c r="BH307" t="s">
        <v>74</v>
      </c>
      <c r="BI307">
        <v>7</v>
      </c>
      <c r="BJ307" t="s">
        <v>5963</v>
      </c>
      <c r="BK307" t="s">
        <v>100</v>
      </c>
      <c r="BL307" t="s">
        <v>5963</v>
      </c>
      <c r="BM307" t="s">
        <v>5964</v>
      </c>
      <c r="BN307">
        <v>20737178</v>
      </c>
      <c r="BO307" t="s">
        <v>74</v>
      </c>
      <c r="BP307" t="s">
        <v>74</v>
      </c>
      <c r="BQ307" t="s">
        <v>74</v>
      </c>
      <c r="BR307" t="s">
        <v>104</v>
      </c>
      <c r="BS307" t="s">
        <v>5965</v>
      </c>
      <c r="BT307" t="str">
        <f>HYPERLINK("https%3A%2F%2Fwww.webofscience.com%2Fwos%2Fwoscc%2Ffull-record%2FWOS:000283570700006","View Full Record in Web of Science")</f>
        <v>View Full Record in Web of Science</v>
      </c>
    </row>
    <row r="308" spans="1:72" x14ac:dyDescent="0.15">
      <c r="A308" t="s">
        <v>72</v>
      </c>
      <c r="B308" t="s">
        <v>5966</v>
      </c>
      <c r="C308" t="s">
        <v>74</v>
      </c>
      <c r="D308" t="s">
        <v>74</v>
      </c>
      <c r="E308" t="s">
        <v>74</v>
      </c>
      <c r="F308" t="s">
        <v>5967</v>
      </c>
      <c r="G308" t="s">
        <v>74</v>
      </c>
      <c r="H308" t="s">
        <v>74</v>
      </c>
      <c r="I308" t="s">
        <v>5968</v>
      </c>
      <c r="J308" t="s">
        <v>614</v>
      </c>
      <c r="K308" t="s">
        <v>74</v>
      </c>
      <c r="L308" t="s">
        <v>74</v>
      </c>
      <c r="M308" t="s">
        <v>78</v>
      </c>
      <c r="N308" t="s">
        <v>79</v>
      </c>
      <c r="O308" t="s">
        <v>74</v>
      </c>
      <c r="P308" t="s">
        <v>74</v>
      </c>
      <c r="Q308" t="s">
        <v>74</v>
      </c>
      <c r="R308" t="s">
        <v>74</v>
      </c>
      <c r="S308" t="s">
        <v>74</v>
      </c>
      <c r="T308" t="s">
        <v>74</v>
      </c>
      <c r="U308" t="s">
        <v>5969</v>
      </c>
      <c r="V308" t="s">
        <v>5970</v>
      </c>
      <c r="W308" t="s">
        <v>5971</v>
      </c>
      <c r="X308" t="s">
        <v>2560</v>
      </c>
      <c r="Y308" t="s">
        <v>5972</v>
      </c>
      <c r="Z308" t="s">
        <v>5973</v>
      </c>
      <c r="AA308" t="s">
        <v>74</v>
      </c>
      <c r="AB308" t="s">
        <v>74</v>
      </c>
      <c r="AC308" t="s">
        <v>5974</v>
      </c>
      <c r="AD308" t="s">
        <v>307</v>
      </c>
      <c r="AE308" t="s">
        <v>5975</v>
      </c>
      <c r="AF308" t="s">
        <v>74</v>
      </c>
      <c r="AG308">
        <v>74</v>
      </c>
      <c r="AH308">
        <v>48</v>
      </c>
      <c r="AI308">
        <v>51</v>
      </c>
      <c r="AJ308">
        <v>0</v>
      </c>
      <c r="AK308">
        <v>10</v>
      </c>
      <c r="AL308" t="s">
        <v>264</v>
      </c>
      <c r="AM308" t="s">
        <v>265</v>
      </c>
      <c r="AN308" t="s">
        <v>266</v>
      </c>
      <c r="AO308" t="s">
        <v>625</v>
      </c>
      <c r="AP308" t="s">
        <v>626</v>
      </c>
      <c r="AQ308" t="s">
        <v>74</v>
      </c>
      <c r="AR308" t="s">
        <v>627</v>
      </c>
      <c r="AS308" t="s">
        <v>628</v>
      </c>
      <c r="AT308" t="s">
        <v>5730</v>
      </c>
      <c r="AU308">
        <v>2010</v>
      </c>
      <c r="AV308">
        <v>74</v>
      </c>
      <c r="AW308">
        <v>17</v>
      </c>
      <c r="AX308" t="s">
        <v>74</v>
      </c>
      <c r="AY308" t="s">
        <v>74</v>
      </c>
      <c r="AZ308" t="s">
        <v>74</v>
      </c>
      <c r="BA308" t="s">
        <v>74</v>
      </c>
      <c r="BB308">
        <v>5109</v>
      </c>
      <c r="BC308">
        <v>5133</v>
      </c>
      <c r="BD308" t="s">
        <v>74</v>
      </c>
      <c r="BE308" t="s">
        <v>5976</v>
      </c>
      <c r="BF308" t="str">
        <f>HYPERLINK("http://dx.doi.org/10.1016/j.gca.2010.05.026","http://dx.doi.org/10.1016/j.gca.2010.05.026")</f>
        <v>http://dx.doi.org/10.1016/j.gca.2010.05.026</v>
      </c>
      <c r="BG308" t="s">
        <v>74</v>
      </c>
      <c r="BH308" t="s">
        <v>74</v>
      </c>
      <c r="BI308">
        <v>25</v>
      </c>
      <c r="BJ308" t="s">
        <v>558</v>
      </c>
      <c r="BK308" t="s">
        <v>100</v>
      </c>
      <c r="BL308" t="s">
        <v>558</v>
      </c>
      <c r="BM308" t="s">
        <v>5977</v>
      </c>
      <c r="BN308" t="s">
        <v>74</v>
      </c>
      <c r="BO308" t="s">
        <v>74</v>
      </c>
      <c r="BP308" t="s">
        <v>74</v>
      </c>
      <c r="BQ308" t="s">
        <v>74</v>
      </c>
      <c r="BR308" t="s">
        <v>104</v>
      </c>
      <c r="BS308" t="s">
        <v>5978</v>
      </c>
      <c r="BT308" t="str">
        <f>HYPERLINK("https%3A%2F%2Fwww.webofscience.com%2Fwos%2Fwoscc%2Ffull-record%2FWOS:000280751400015","View Full Record in Web of Science")</f>
        <v>View Full Record in Web of Science</v>
      </c>
    </row>
    <row r="309" spans="1:72" x14ac:dyDescent="0.15">
      <c r="A309" t="s">
        <v>72</v>
      </c>
      <c r="B309" t="s">
        <v>5979</v>
      </c>
      <c r="C309" t="s">
        <v>74</v>
      </c>
      <c r="D309" t="s">
        <v>74</v>
      </c>
      <c r="E309" t="s">
        <v>74</v>
      </c>
      <c r="F309" t="s">
        <v>5980</v>
      </c>
      <c r="G309" t="s">
        <v>74</v>
      </c>
      <c r="H309" t="s">
        <v>74</v>
      </c>
      <c r="I309" t="s">
        <v>5981</v>
      </c>
      <c r="J309" t="s">
        <v>3133</v>
      </c>
      <c r="K309" t="s">
        <v>74</v>
      </c>
      <c r="L309" t="s">
        <v>74</v>
      </c>
      <c r="M309" t="s">
        <v>78</v>
      </c>
      <c r="N309" t="s">
        <v>79</v>
      </c>
      <c r="O309" t="s">
        <v>74</v>
      </c>
      <c r="P309" t="s">
        <v>74</v>
      </c>
      <c r="Q309" t="s">
        <v>74</v>
      </c>
      <c r="R309" t="s">
        <v>74</v>
      </c>
      <c r="S309" t="s">
        <v>74</v>
      </c>
      <c r="T309" t="s">
        <v>74</v>
      </c>
      <c r="U309" t="s">
        <v>5982</v>
      </c>
      <c r="V309" t="s">
        <v>5983</v>
      </c>
      <c r="W309" t="s">
        <v>5984</v>
      </c>
      <c r="X309" t="s">
        <v>5985</v>
      </c>
      <c r="Y309" t="s">
        <v>5986</v>
      </c>
      <c r="Z309" t="s">
        <v>74</v>
      </c>
      <c r="AA309" t="s">
        <v>5987</v>
      </c>
      <c r="AB309" t="s">
        <v>5988</v>
      </c>
      <c r="AC309" t="s">
        <v>5989</v>
      </c>
      <c r="AD309" t="s">
        <v>3179</v>
      </c>
      <c r="AE309" t="s">
        <v>5990</v>
      </c>
      <c r="AF309" t="s">
        <v>74</v>
      </c>
      <c r="AG309">
        <v>30</v>
      </c>
      <c r="AH309">
        <v>41</v>
      </c>
      <c r="AI309">
        <v>43</v>
      </c>
      <c r="AJ309">
        <v>1</v>
      </c>
      <c r="AK309">
        <v>24</v>
      </c>
      <c r="AL309" t="s">
        <v>3145</v>
      </c>
      <c r="AM309" t="s">
        <v>91</v>
      </c>
      <c r="AN309" t="s">
        <v>3146</v>
      </c>
      <c r="AO309" t="s">
        <v>3147</v>
      </c>
      <c r="AP309" t="s">
        <v>74</v>
      </c>
      <c r="AQ309" t="s">
        <v>74</v>
      </c>
      <c r="AR309" t="s">
        <v>3133</v>
      </c>
      <c r="AS309" t="s">
        <v>807</v>
      </c>
      <c r="AT309" t="s">
        <v>5206</v>
      </c>
      <c r="AU309">
        <v>2010</v>
      </c>
      <c r="AV309">
        <v>38</v>
      </c>
      <c r="AW309">
        <v>9</v>
      </c>
      <c r="AX309" t="s">
        <v>74</v>
      </c>
      <c r="AY309" t="s">
        <v>74</v>
      </c>
      <c r="AZ309" t="s">
        <v>74</v>
      </c>
      <c r="BA309" t="s">
        <v>74</v>
      </c>
      <c r="BB309">
        <v>783</v>
      </c>
      <c r="BC309">
        <v>786</v>
      </c>
      <c r="BD309" t="s">
        <v>74</v>
      </c>
      <c r="BE309" t="s">
        <v>5991</v>
      </c>
      <c r="BF309" t="str">
        <f>HYPERLINK("http://dx.doi.org/10.1130/G31043.1","http://dx.doi.org/10.1130/G31043.1")</f>
        <v>http://dx.doi.org/10.1130/G31043.1</v>
      </c>
      <c r="BG309" t="s">
        <v>74</v>
      </c>
      <c r="BH309" t="s">
        <v>74</v>
      </c>
      <c r="BI309">
        <v>4</v>
      </c>
      <c r="BJ309" t="s">
        <v>807</v>
      </c>
      <c r="BK309" t="s">
        <v>100</v>
      </c>
      <c r="BL309" t="s">
        <v>807</v>
      </c>
      <c r="BM309" t="s">
        <v>5992</v>
      </c>
      <c r="BN309" t="s">
        <v>74</v>
      </c>
      <c r="BO309" t="s">
        <v>74</v>
      </c>
      <c r="BP309" t="s">
        <v>74</v>
      </c>
      <c r="BQ309" t="s">
        <v>74</v>
      </c>
      <c r="BR309" t="s">
        <v>104</v>
      </c>
      <c r="BS309" t="s">
        <v>5993</v>
      </c>
      <c r="BT309" t="str">
        <f>HYPERLINK("https%3A%2F%2Fwww.webofscience.com%2Fwos%2Fwoscc%2Ffull-record%2FWOS:000281126600004","View Full Record in Web of Science")</f>
        <v>View Full Record in Web of Science</v>
      </c>
    </row>
    <row r="310" spans="1:72" x14ac:dyDescent="0.15">
      <c r="A310" t="s">
        <v>72</v>
      </c>
      <c r="B310" t="s">
        <v>5994</v>
      </c>
      <c r="C310" t="s">
        <v>74</v>
      </c>
      <c r="D310" t="s">
        <v>74</v>
      </c>
      <c r="E310" t="s">
        <v>74</v>
      </c>
      <c r="F310" t="s">
        <v>5995</v>
      </c>
      <c r="G310" t="s">
        <v>74</v>
      </c>
      <c r="H310" t="s">
        <v>74</v>
      </c>
      <c r="I310" t="s">
        <v>5996</v>
      </c>
      <c r="J310" t="s">
        <v>1538</v>
      </c>
      <c r="K310" t="s">
        <v>74</v>
      </c>
      <c r="L310" t="s">
        <v>74</v>
      </c>
      <c r="M310" t="s">
        <v>78</v>
      </c>
      <c r="N310" t="s">
        <v>79</v>
      </c>
      <c r="O310" t="s">
        <v>74</v>
      </c>
      <c r="P310" t="s">
        <v>74</v>
      </c>
      <c r="Q310" t="s">
        <v>74</v>
      </c>
      <c r="R310" t="s">
        <v>74</v>
      </c>
      <c r="S310" t="s">
        <v>74</v>
      </c>
      <c r="T310" t="s">
        <v>74</v>
      </c>
      <c r="U310" t="s">
        <v>5997</v>
      </c>
      <c r="V310" t="s">
        <v>5998</v>
      </c>
      <c r="W310" t="s">
        <v>5999</v>
      </c>
      <c r="X310" t="s">
        <v>6000</v>
      </c>
      <c r="Y310" t="s">
        <v>6001</v>
      </c>
      <c r="Z310" t="s">
        <v>74</v>
      </c>
      <c r="AA310" t="s">
        <v>6002</v>
      </c>
      <c r="AB310" t="s">
        <v>6003</v>
      </c>
      <c r="AC310" t="s">
        <v>6004</v>
      </c>
      <c r="AD310" t="s">
        <v>6005</v>
      </c>
      <c r="AE310" t="s">
        <v>6006</v>
      </c>
      <c r="AF310" t="s">
        <v>74</v>
      </c>
      <c r="AG310">
        <v>18</v>
      </c>
      <c r="AH310">
        <v>47</v>
      </c>
      <c r="AI310">
        <v>55</v>
      </c>
      <c r="AJ310">
        <v>0</v>
      </c>
      <c r="AK310">
        <v>31</v>
      </c>
      <c r="AL310" t="s">
        <v>1521</v>
      </c>
      <c r="AM310" t="s">
        <v>1522</v>
      </c>
      <c r="AN310" t="s">
        <v>1523</v>
      </c>
      <c r="AO310" t="s">
        <v>1550</v>
      </c>
      <c r="AP310" t="s">
        <v>74</v>
      </c>
      <c r="AQ310" t="s">
        <v>74</v>
      </c>
      <c r="AR310" t="s">
        <v>1552</v>
      </c>
      <c r="AS310" t="s">
        <v>1553</v>
      </c>
      <c r="AT310" t="s">
        <v>5730</v>
      </c>
      <c r="AU310">
        <v>2010</v>
      </c>
      <c r="AV310">
        <v>37</v>
      </c>
      <c r="AW310" t="s">
        <v>74</v>
      </c>
      <c r="AX310" t="s">
        <v>74</v>
      </c>
      <c r="AY310" t="s">
        <v>74</v>
      </c>
      <c r="AZ310" t="s">
        <v>74</v>
      </c>
      <c r="BA310" t="s">
        <v>74</v>
      </c>
      <c r="BB310" t="s">
        <v>74</v>
      </c>
      <c r="BC310" t="s">
        <v>74</v>
      </c>
      <c r="BD310" t="s">
        <v>6007</v>
      </c>
      <c r="BE310" t="s">
        <v>6008</v>
      </c>
      <c r="BF310" t="str">
        <f>HYPERLINK("http://dx.doi.org/10.1029/2010GL044090","http://dx.doi.org/10.1029/2010GL044090")</f>
        <v>http://dx.doi.org/10.1029/2010GL044090</v>
      </c>
      <c r="BG310" t="s">
        <v>74</v>
      </c>
      <c r="BH310" t="s">
        <v>74</v>
      </c>
      <c r="BI310">
        <v>5</v>
      </c>
      <c r="BJ310" t="s">
        <v>1194</v>
      </c>
      <c r="BK310" t="s">
        <v>100</v>
      </c>
      <c r="BL310" t="s">
        <v>807</v>
      </c>
      <c r="BM310" t="s">
        <v>6009</v>
      </c>
      <c r="BN310" t="s">
        <v>74</v>
      </c>
      <c r="BO310" t="s">
        <v>394</v>
      </c>
      <c r="BP310" t="s">
        <v>74</v>
      </c>
      <c r="BQ310" t="s">
        <v>74</v>
      </c>
      <c r="BR310" t="s">
        <v>104</v>
      </c>
      <c r="BS310" t="s">
        <v>6010</v>
      </c>
      <c r="BT310" t="str">
        <f>HYPERLINK("https%3A%2F%2Fwww.webofscience.com%2Fwos%2Fwoscc%2Ffull-record%2FWOS:000281572900001","View Full Record in Web of Science")</f>
        <v>View Full Record in Web of Science</v>
      </c>
    </row>
    <row r="311" spans="1:72" x14ac:dyDescent="0.15">
      <c r="A311" t="s">
        <v>72</v>
      </c>
      <c r="B311" t="s">
        <v>6011</v>
      </c>
      <c r="C311" t="s">
        <v>74</v>
      </c>
      <c r="D311" t="s">
        <v>74</v>
      </c>
      <c r="E311" t="s">
        <v>74</v>
      </c>
      <c r="F311" t="s">
        <v>6012</v>
      </c>
      <c r="G311" t="s">
        <v>74</v>
      </c>
      <c r="H311" t="s">
        <v>74</v>
      </c>
      <c r="I311" t="s">
        <v>6013</v>
      </c>
      <c r="J311" t="s">
        <v>660</v>
      </c>
      <c r="K311" t="s">
        <v>74</v>
      </c>
      <c r="L311" t="s">
        <v>74</v>
      </c>
      <c r="M311" t="s">
        <v>78</v>
      </c>
      <c r="N311" t="s">
        <v>79</v>
      </c>
      <c r="O311" t="s">
        <v>74</v>
      </c>
      <c r="P311" t="s">
        <v>74</v>
      </c>
      <c r="Q311" t="s">
        <v>74</v>
      </c>
      <c r="R311" t="s">
        <v>74</v>
      </c>
      <c r="S311" t="s">
        <v>74</v>
      </c>
      <c r="T311" t="s">
        <v>6014</v>
      </c>
      <c r="U311" t="s">
        <v>6015</v>
      </c>
      <c r="V311" t="s">
        <v>6016</v>
      </c>
      <c r="W311" t="s">
        <v>6017</v>
      </c>
      <c r="X311" t="s">
        <v>690</v>
      </c>
      <c r="Y311" t="s">
        <v>6018</v>
      </c>
      <c r="Z311" t="s">
        <v>3753</v>
      </c>
      <c r="AA311" t="s">
        <v>74</v>
      </c>
      <c r="AB311" t="s">
        <v>74</v>
      </c>
      <c r="AC311" t="s">
        <v>6019</v>
      </c>
      <c r="AD311" t="s">
        <v>337</v>
      </c>
      <c r="AE311" t="s">
        <v>74</v>
      </c>
      <c r="AF311" t="s">
        <v>74</v>
      </c>
      <c r="AG311">
        <v>55</v>
      </c>
      <c r="AH311">
        <v>101</v>
      </c>
      <c r="AI311">
        <v>106</v>
      </c>
      <c r="AJ311">
        <v>0</v>
      </c>
      <c r="AK311">
        <v>52</v>
      </c>
      <c r="AL311" t="s">
        <v>923</v>
      </c>
      <c r="AM311" t="s">
        <v>339</v>
      </c>
      <c r="AN311" t="s">
        <v>340</v>
      </c>
      <c r="AO311" t="s">
        <v>675</v>
      </c>
      <c r="AP311" t="s">
        <v>6020</v>
      </c>
      <c r="AQ311" t="s">
        <v>74</v>
      </c>
      <c r="AR311" t="s">
        <v>676</v>
      </c>
      <c r="AS311" t="s">
        <v>677</v>
      </c>
      <c r="AT311" t="s">
        <v>5206</v>
      </c>
      <c r="AU311">
        <v>2010</v>
      </c>
      <c r="AV311">
        <v>16</v>
      </c>
      <c r="AW311">
        <v>9</v>
      </c>
      <c r="AX311" t="s">
        <v>74</v>
      </c>
      <c r="AY311" t="s">
        <v>74</v>
      </c>
      <c r="AZ311" t="s">
        <v>74</v>
      </c>
      <c r="BA311" t="s">
        <v>74</v>
      </c>
      <c r="BB311">
        <v>2614</v>
      </c>
      <c r="BC311">
        <v>2623</v>
      </c>
      <c r="BD311" t="s">
        <v>74</v>
      </c>
      <c r="BE311" t="s">
        <v>6021</v>
      </c>
      <c r="BF311" t="str">
        <f>HYPERLINK("http://dx.doi.org/10.1111/j.1365-2486.2009.02071.x","http://dx.doi.org/10.1111/j.1365-2486.2009.02071.x")</f>
        <v>http://dx.doi.org/10.1111/j.1365-2486.2009.02071.x</v>
      </c>
      <c r="BG311" t="s">
        <v>74</v>
      </c>
      <c r="BH311" t="s">
        <v>74</v>
      </c>
      <c r="BI311">
        <v>10</v>
      </c>
      <c r="BJ311" t="s">
        <v>679</v>
      </c>
      <c r="BK311" t="s">
        <v>100</v>
      </c>
      <c r="BL311" t="s">
        <v>680</v>
      </c>
      <c r="BM311" t="s">
        <v>6022</v>
      </c>
      <c r="BN311" t="s">
        <v>74</v>
      </c>
      <c r="BO311" t="s">
        <v>74</v>
      </c>
      <c r="BP311" t="s">
        <v>74</v>
      </c>
      <c r="BQ311" t="s">
        <v>74</v>
      </c>
      <c r="BR311" t="s">
        <v>104</v>
      </c>
      <c r="BS311" t="s">
        <v>6023</v>
      </c>
      <c r="BT311" t="str">
        <f>HYPERLINK("https%3A%2F%2Fwww.webofscience.com%2Fwos%2Fwoscc%2Ffull-record%2FWOS:000280633700017","View Full Record in Web of Science")</f>
        <v>View Full Record in Web of Science</v>
      </c>
    </row>
    <row r="312" spans="1:72" x14ac:dyDescent="0.15">
      <c r="A312" t="s">
        <v>72</v>
      </c>
      <c r="B312" t="s">
        <v>6024</v>
      </c>
      <c r="C312" t="s">
        <v>74</v>
      </c>
      <c r="D312" t="s">
        <v>74</v>
      </c>
      <c r="E312" t="s">
        <v>74</v>
      </c>
      <c r="F312" t="s">
        <v>6025</v>
      </c>
      <c r="G312" t="s">
        <v>74</v>
      </c>
      <c r="H312" t="s">
        <v>74</v>
      </c>
      <c r="I312" t="s">
        <v>6026</v>
      </c>
      <c r="J312" t="s">
        <v>6027</v>
      </c>
      <c r="K312" t="s">
        <v>74</v>
      </c>
      <c r="L312" t="s">
        <v>74</v>
      </c>
      <c r="M312" t="s">
        <v>78</v>
      </c>
      <c r="N312" t="s">
        <v>79</v>
      </c>
      <c r="O312" t="s">
        <v>74</v>
      </c>
      <c r="P312" t="s">
        <v>74</v>
      </c>
      <c r="Q312" t="s">
        <v>74</v>
      </c>
      <c r="R312" t="s">
        <v>74</v>
      </c>
      <c r="S312" t="s">
        <v>74</v>
      </c>
      <c r="T312" t="s">
        <v>6028</v>
      </c>
      <c r="U312" t="s">
        <v>6029</v>
      </c>
      <c r="V312" t="s">
        <v>6030</v>
      </c>
      <c r="W312" t="s">
        <v>6031</v>
      </c>
      <c r="X312" t="s">
        <v>6032</v>
      </c>
      <c r="Y312" t="s">
        <v>6033</v>
      </c>
      <c r="Z312" t="s">
        <v>6034</v>
      </c>
      <c r="AA312" t="s">
        <v>6035</v>
      </c>
      <c r="AB312" t="s">
        <v>6036</v>
      </c>
      <c r="AC312" t="s">
        <v>6037</v>
      </c>
      <c r="AD312" t="s">
        <v>6038</v>
      </c>
      <c r="AE312" t="s">
        <v>6039</v>
      </c>
      <c r="AF312" t="s">
        <v>74</v>
      </c>
      <c r="AG312">
        <v>42</v>
      </c>
      <c r="AH312">
        <v>76</v>
      </c>
      <c r="AI312">
        <v>81</v>
      </c>
      <c r="AJ312">
        <v>0</v>
      </c>
      <c r="AK312">
        <v>17</v>
      </c>
      <c r="AL312" t="s">
        <v>945</v>
      </c>
      <c r="AM312" t="s">
        <v>946</v>
      </c>
      <c r="AN312" t="s">
        <v>947</v>
      </c>
      <c r="AO312" t="s">
        <v>6040</v>
      </c>
      <c r="AP312" t="s">
        <v>74</v>
      </c>
      <c r="AQ312" t="s">
        <v>74</v>
      </c>
      <c r="AR312" t="s">
        <v>6041</v>
      </c>
      <c r="AS312" t="s">
        <v>6042</v>
      </c>
      <c r="AT312" t="s">
        <v>5206</v>
      </c>
      <c r="AU312">
        <v>2010</v>
      </c>
      <c r="AV312">
        <v>14</v>
      </c>
      <c r="AW312">
        <v>4</v>
      </c>
      <c r="AX312" t="s">
        <v>74</v>
      </c>
      <c r="AY312" t="s">
        <v>74</v>
      </c>
      <c r="AZ312" t="s">
        <v>74</v>
      </c>
      <c r="BA312" t="s">
        <v>74</v>
      </c>
      <c r="BB312">
        <v>331</v>
      </c>
      <c r="BC312">
        <v>341</v>
      </c>
      <c r="BD312" t="s">
        <v>74</v>
      </c>
      <c r="BE312" t="s">
        <v>6043</v>
      </c>
      <c r="BF312" t="str">
        <f>HYPERLINK("http://dx.doi.org/10.1007/s10291-009-0156-x","http://dx.doi.org/10.1007/s10291-009-0156-x")</f>
        <v>http://dx.doi.org/10.1007/s10291-009-0156-x</v>
      </c>
      <c r="BG312" t="s">
        <v>74</v>
      </c>
      <c r="BH312" t="s">
        <v>74</v>
      </c>
      <c r="BI312">
        <v>11</v>
      </c>
      <c r="BJ312" t="s">
        <v>2763</v>
      </c>
      <c r="BK312" t="s">
        <v>100</v>
      </c>
      <c r="BL312" t="s">
        <v>2763</v>
      </c>
      <c r="BM312" t="s">
        <v>6044</v>
      </c>
      <c r="BN312" t="s">
        <v>74</v>
      </c>
      <c r="BO312" t="s">
        <v>74</v>
      </c>
      <c r="BP312" t="s">
        <v>74</v>
      </c>
      <c r="BQ312" t="s">
        <v>74</v>
      </c>
      <c r="BR312" t="s">
        <v>104</v>
      </c>
      <c r="BS312" t="s">
        <v>6045</v>
      </c>
      <c r="BT312" t="str">
        <f>HYPERLINK("https%3A%2F%2Fwww.webofscience.com%2Fwos%2Fwoscc%2Ffull-record%2FWOS:000281597800004","View Full Record in Web of Science")</f>
        <v>View Full Record in Web of Science</v>
      </c>
    </row>
    <row r="313" spans="1:72" x14ac:dyDescent="0.15">
      <c r="A313" t="s">
        <v>72</v>
      </c>
      <c r="B313" t="s">
        <v>4879</v>
      </c>
      <c r="C313" t="s">
        <v>74</v>
      </c>
      <c r="D313" t="s">
        <v>74</v>
      </c>
      <c r="E313" t="s">
        <v>74</v>
      </c>
      <c r="F313" t="s">
        <v>4880</v>
      </c>
      <c r="G313" t="s">
        <v>74</v>
      </c>
      <c r="H313" t="s">
        <v>74</v>
      </c>
      <c r="I313" t="s">
        <v>6046</v>
      </c>
      <c r="J313" t="s">
        <v>6047</v>
      </c>
      <c r="K313" t="s">
        <v>74</v>
      </c>
      <c r="L313" t="s">
        <v>74</v>
      </c>
      <c r="M313" t="s">
        <v>78</v>
      </c>
      <c r="N313" t="s">
        <v>79</v>
      </c>
      <c r="O313" t="s">
        <v>74</v>
      </c>
      <c r="P313" t="s">
        <v>74</v>
      </c>
      <c r="Q313" t="s">
        <v>74</v>
      </c>
      <c r="R313" t="s">
        <v>74</v>
      </c>
      <c r="S313" t="s">
        <v>74</v>
      </c>
      <c r="T313" t="s">
        <v>6048</v>
      </c>
      <c r="U313" t="s">
        <v>6049</v>
      </c>
      <c r="V313" t="s">
        <v>6050</v>
      </c>
      <c r="W313" t="s">
        <v>6051</v>
      </c>
      <c r="X313" t="s">
        <v>4887</v>
      </c>
      <c r="Y313" t="s">
        <v>6052</v>
      </c>
      <c r="Z313" t="s">
        <v>6053</v>
      </c>
      <c r="AA313" t="s">
        <v>6054</v>
      </c>
      <c r="AB313" t="s">
        <v>6055</v>
      </c>
      <c r="AC313" t="s">
        <v>6056</v>
      </c>
      <c r="AD313" t="s">
        <v>4893</v>
      </c>
      <c r="AE313" t="s">
        <v>6057</v>
      </c>
      <c r="AF313" t="s">
        <v>74</v>
      </c>
      <c r="AG313">
        <v>27</v>
      </c>
      <c r="AH313">
        <v>9</v>
      </c>
      <c r="AI313">
        <v>10</v>
      </c>
      <c r="AJ313">
        <v>0</v>
      </c>
      <c r="AK313">
        <v>3</v>
      </c>
      <c r="AL313" t="s">
        <v>1597</v>
      </c>
      <c r="AM313" t="s">
        <v>1598</v>
      </c>
      <c r="AN313" t="s">
        <v>1599</v>
      </c>
      <c r="AO313" t="s">
        <v>6058</v>
      </c>
      <c r="AP313" t="s">
        <v>6059</v>
      </c>
      <c r="AQ313" t="s">
        <v>74</v>
      </c>
      <c r="AR313" t="s">
        <v>6060</v>
      </c>
      <c r="AS313" t="s">
        <v>6061</v>
      </c>
      <c r="AT313" t="s">
        <v>5206</v>
      </c>
      <c r="AU313">
        <v>2010</v>
      </c>
      <c r="AV313">
        <v>64</v>
      </c>
      <c r="AW313">
        <v>3</v>
      </c>
      <c r="AX313" t="s">
        <v>74</v>
      </c>
      <c r="AY313" t="s">
        <v>74</v>
      </c>
      <c r="AZ313" t="s">
        <v>74</v>
      </c>
      <c r="BA313" t="s">
        <v>74</v>
      </c>
      <c r="BB313">
        <v>169</v>
      </c>
      <c r="BC313">
        <v>180</v>
      </c>
      <c r="BD313" t="s">
        <v>74</v>
      </c>
      <c r="BE313" t="s">
        <v>6062</v>
      </c>
      <c r="BF313" t="str">
        <f>HYPERLINK("http://dx.doi.org/10.1007/s10152-009-0176-5","http://dx.doi.org/10.1007/s10152-009-0176-5")</f>
        <v>http://dx.doi.org/10.1007/s10152-009-0176-5</v>
      </c>
      <c r="BG313" t="s">
        <v>74</v>
      </c>
      <c r="BH313" t="s">
        <v>74</v>
      </c>
      <c r="BI313">
        <v>12</v>
      </c>
      <c r="BJ313" t="s">
        <v>930</v>
      </c>
      <c r="BK313" t="s">
        <v>100</v>
      </c>
      <c r="BL313" t="s">
        <v>930</v>
      </c>
      <c r="BM313" t="s">
        <v>6063</v>
      </c>
      <c r="BN313" t="s">
        <v>74</v>
      </c>
      <c r="BO313" t="s">
        <v>6064</v>
      </c>
      <c r="BP313" t="s">
        <v>74</v>
      </c>
      <c r="BQ313" t="s">
        <v>74</v>
      </c>
      <c r="BR313" t="s">
        <v>104</v>
      </c>
      <c r="BS313" t="s">
        <v>6065</v>
      </c>
      <c r="BT313" t="str">
        <f>HYPERLINK("https%3A%2F%2Fwww.webofscience.com%2Fwos%2Fwoscc%2Ffull-record%2FWOS:000281026300003","View Full Record in Web of Science")</f>
        <v>View Full Record in Web of Science</v>
      </c>
    </row>
    <row r="314" spans="1:72" x14ac:dyDescent="0.15">
      <c r="A314" t="s">
        <v>72</v>
      </c>
      <c r="B314" t="s">
        <v>6066</v>
      </c>
      <c r="C314" t="s">
        <v>74</v>
      </c>
      <c r="D314" t="s">
        <v>74</v>
      </c>
      <c r="E314" t="s">
        <v>74</v>
      </c>
      <c r="F314" t="s">
        <v>6067</v>
      </c>
      <c r="G314" t="s">
        <v>74</v>
      </c>
      <c r="H314" t="s">
        <v>74</v>
      </c>
      <c r="I314" t="s">
        <v>6068</v>
      </c>
      <c r="J314" t="s">
        <v>6069</v>
      </c>
      <c r="K314" t="s">
        <v>74</v>
      </c>
      <c r="L314" t="s">
        <v>74</v>
      </c>
      <c r="M314" t="s">
        <v>78</v>
      </c>
      <c r="N314" t="s">
        <v>79</v>
      </c>
      <c r="O314" t="s">
        <v>74</v>
      </c>
      <c r="P314" t="s">
        <v>74</v>
      </c>
      <c r="Q314" t="s">
        <v>74</v>
      </c>
      <c r="R314" t="s">
        <v>74</v>
      </c>
      <c r="S314" t="s">
        <v>74</v>
      </c>
      <c r="T314" t="s">
        <v>6070</v>
      </c>
      <c r="U314" t="s">
        <v>6071</v>
      </c>
      <c r="V314" t="s">
        <v>6072</v>
      </c>
      <c r="W314" t="s">
        <v>6073</v>
      </c>
      <c r="X314" t="s">
        <v>6074</v>
      </c>
      <c r="Y314" t="s">
        <v>6075</v>
      </c>
      <c r="Z314" t="s">
        <v>6076</v>
      </c>
      <c r="AA314" t="s">
        <v>6077</v>
      </c>
      <c r="AB314" t="s">
        <v>74</v>
      </c>
      <c r="AC314" t="s">
        <v>6078</v>
      </c>
      <c r="AD314" t="s">
        <v>6079</v>
      </c>
      <c r="AE314" t="s">
        <v>6080</v>
      </c>
      <c r="AF314" t="s">
        <v>74</v>
      </c>
      <c r="AG314">
        <v>24</v>
      </c>
      <c r="AH314">
        <v>25</v>
      </c>
      <c r="AI314">
        <v>32</v>
      </c>
      <c r="AJ314">
        <v>1</v>
      </c>
      <c r="AK314">
        <v>21</v>
      </c>
      <c r="AL314" t="s">
        <v>6081</v>
      </c>
      <c r="AM314" t="s">
        <v>6082</v>
      </c>
      <c r="AN314" t="s">
        <v>6083</v>
      </c>
      <c r="AO314" t="s">
        <v>6084</v>
      </c>
      <c r="AP314" t="s">
        <v>6085</v>
      </c>
      <c r="AQ314" t="s">
        <v>74</v>
      </c>
      <c r="AR314" t="s">
        <v>6086</v>
      </c>
      <c r="AS314" t="s">
        <v>6087</v>
      </c>
      <c r="AT314" t="s">
        <v>5206</v>
      </c>
      <c r="AU314">
        <v>2010</v>
      </c>
      <c r="AV314">
        <v>48</v>
      </c>
      <c r="AW314">
        <v>9</v>
      </c>
      <c r="AX314" t="s">
        <v>74</v>
      </c>
      <c r="AY314" t="s">
        <v>74</v>
      </c>
      <c r="AZ314" t="s">
        <v>74</v>
      </c>
      <c r="BA314" t="s">
        <v>74</v>
      </c>
      <c r="BB314">
        <v>3331</v>
      </c>
      <c r="BC314">
        <v>3339</v>
      </c>
      <c r="BD314" t="s">
        <v>74</v>
      </c>
      <c r="BE314" t="s">
        <v>6088</v>
      </c>
      <c r="BF314" t="str">
        <f>HYPERLINK("http://dx.doi.org/10.1109/TGRS.2010.2046495","http://dx.doi.org/10.1109/TGRS.2010.2046495")</f>
        <v>http://dx.doi.org/10.1109/TGRS.2010.2046495</v>
      </c>
      <c r="BG314" t="s">
        <v>74</v>
      </c>
      <c r="BH314" t="s">
        <v>74</v>
      </c>
      <c r="BI314">
        <v>9</v>
      </c>
      <c r="BJ314" t="s">
        <v>6089</v>
      </c>
      <c r="BK314" t="s">
        <v>100</v>
      </c>
      <c r="BL314" t="s">
        <v>6090</v>
      </c>
      <c r="BM314" t="s">
        <v>6091</v>
      </c>
      <c r="BN314" t="s">
        <v>74</v>
      </c>
      <c r="BO314" t="s">
        <v>74</v>
      </c>
      <c r="BP314" t="s">
        <v>74</v>
      </c>
      <c r="BQ314" t="s">
        <v>74</v>
      </c>
      <c r="BR314" t="s">
        <v>104</v>
      </c>
      <c r="BS314" t="s">
        <v>6092</v>
      </c>
      <c r="BT314" t="str">
        <f>HYPERLINK("https%3A%2F%2Fwww.webofscience.com%2Fwos%2Fwoscc%2Ffull-record%2FWOS:000283142800001","View Full Record in Web of Science")</f>
        <v>View Full Record in Web of Science</v>
      </c>
    </row>
    <row r="315" spans="1:72" x14ac:dyDescent="0.15">
      <c r="A315" t="s">
        <v>72</v>
      </c>
      <c r="B315" t="s">
        <v>6093</v>
      </c>
      <c r="C315" t="s">
        <v>74</v>
      </c>
      <c r="D315" t="s">
        <v>74</v>
      </c>
      <c r="E315" t="s">
        <v>74</v>
      </c>
      <c r="F315" t="s">
        <v>6094</v>
      </c>
      <c r="G315" t="s">
        <v>74</v>
      </c>
      <c r="H315" t="s">
        <v>74</v>
      </c>
      <c r="I315" t="s">
        <v>6095</v>
      </c>
      <c r="J315" t="s">
        <v>6096</v>
      </c>
      <c r="K315" t="s">
        <v>74</v>
      </c>
      <c r="L315" t="s">
        <v>74</v>
      </c>
      <c r="M315" t="s">
        <v>78</v>
      </c>
      <c r="N315" t="s">
        <v>79</v>
      </c>
      <c r="O315" t="s">
        <v>74</v>
      </c>
      <c r="P315" t="s">
        <v>74</v>
      </c>
      <c r="Q315" t="s">
        <v>74</v>
      </c>
      <c r="R315" t="s">
        <v>74</v>
      </c>
      <c r="S315" t="s">
        <v>74</v>
      </c>
      <c r="T315" t="s">
        <v>6097</v>
      </c>
      <c r="U315" t="s">
        <v>74</v>
      </c>
      <c r="V315" t="s">
        <v>6098</v>
      </c>
      <c r="W315" t="s">
        <v>6099</v>
      </c>
      <c r="X315" t="s">
        <v>6100</v>
      </c>
      <c r="Y315" t="s">
        <v>6101</v>
      </c>
      <c r="Z315" t="s">
        <v>6102</v>
      </c>
      <c r="AA315" t="s">
        <v>74</v>
      </c>
      <c r="AB315" t="s">
        <v>74</v>
      </c>
      <c r="AC315" t="s">
        <v>74</v>
      </c>
      <c r="AD315" t="s">
        <v>74</v>
      </c>
      <c r="AE315" t="s">
        <v>74</v>
      </c>
      <c r="AF315" t="s">
        <v>74</v>
      </c>
      <c r="AG315">
        <v>46</v>
      </c>
      <c r="AH315">
        <v>22</v>
      </c>
      <c r="AI315">
        <v>27</v>
      </c>
      <c r="AJ315">
        <v>0</v>
      </c>
      <c r="AK315">
        <v>25</v>
      </c>
      <c r="AL315" t="s">
        <v>464</v>
      </c>
      <c r="AM315" t="s">
        <v>576</v>
      </c>
      <c r="AN315" t="s">
        <v>577</v>
      </c>
      <c r="AO315" t="s">
        <v>6103</v>
      </c>
      <c r="AP315" t="s">
        <v>6104</v>
      </c>
      <c r="AQ315" t="s">
        <v>74</v>
      </c>
      <c r="AR315" t="s">
        <v>6105</v>
      </c>
      <c r="AS315" t="s">
        <v>6106</v>
      </c>
      <c r="AT315" t="s">
        <v>5206</v>
      </c>
      <c r="AU315">
        <v>2010</v>
      </c>
      <c r="AV315">
        <v>10</v>
      </c>
      <c r="AW315">
        <v>3</v>
      </c>
      <c r="AX315" t="s">
        <v>74</v>
      </c>
      <c r="AY315" t="s">
        <v>74</v>
      </c>
      <c r="AZ315" t="s">
        <v>74</v>
      </c>
      <c r="BA315" t="s">
        <v>74</v>
      </c>
      <c r="BB315">
        <v>187</v>
      </c>
      <c r="BC315">
        <v>208</v>
      </c>
      <c r="BD315" t="s">
        <v>74</v>
      </c>
      <c r="BE315" t="s">
        <v>6107</v>
      </c>
      <c r="BF315" t="str">
        <f>HYPERLINK("http://dx.doi.org/10.1007/s10784-010-9119-5","http://dx.doi.org/10.1007/s10784-010-9119-5")</f>
        <v>http://dx.doi.org/10.1007/s10784-010-9119-5</v>
      </c>
      <c r="BG315" t="s">
        <v>74</v>
      </c>
      <c r="BH315" t="s">
        <v>74</v>
      </c>
      <c r="BI315">
        <v>22</v>
      </c>
      <c r="BJ315" t="s">
        <v>6108</v>
      </c>
      <c r="BK315" t="s">
        <v>1966</v>
      </c>
      <c r="BL315" t="s">
        <v>6109</v>
      </c>
      <c r="BM315" t="s">
        <v>6110</v>
      </c>
      <c r="BN315" t="s">
        <v>74</v>
      </c>
      <c r="BO315" t="s">
        <v>74</v>
      </c>
      <c r="BP315" t="s">
        <v>74</v>
      </c>
      <c r="BQ315" t="s">
        <v>74</v>
      </c>
      <c r="BR315" t="s">
        <v>104</v>
      </c>
      <c r="BS315" t="s">
        <v>6111</v>
      </c>
      <c r="BT315" t="str">
        <f>HYPERLINK("https%3A%2F%2Fwww.webofscience.com%2Fwos%2Fwoscc%2Ffull-record%2FWOS:000280795600002","View Full Record in Web of Science")</f>
        <v>View Full Record in Web of Science</v>
      </c>
    </row>
    <row r="316" spans="1:72" x14ac:dyDescent="0.15">
      <c r="A316" t="s">
        <v>72</v>
      </c>
      <c r="B316" t="s">
        <v>6112</v>
      </c>
      <c r="C316" t="s">
        <v>74</v>
      </c>
      <c r="D316" t="s">
        <v>74</v>
      </c>
      <c r="E316" t="s">
        <v>74</v>
      </c>
      <c r="F316" t="s">
        <v>6113</v>
      </c>
      <c r="G316" t="s">
        <v>74</v>
      </c>
      <c r="H316" t="s">
        <v>74</v>
      </c>
      <c r="I316" t="s">
        <v>6114</v>
      </c>
      <c r="J316" t="s">
        <v>6115</v>
      </c>
      <c r="K316" t="s">
        <v>74</v>
      </c>
      <c r="L316" t="s">
        <v>74</v>
      </c>
      <c r="M316" t="s">
        <v>78</v>
      </c>
      <c r="N316" t="s">
        <v>79</v>
      </c>
      <c r="O316" t="s">
        <v>74</v>
      </c>
      <c r="P316" t="s">
        <v>74</v>
      </c>
      <c r="Q316" t="s">
        <v>74</v>
      </c>
      <c r="R316" t="s">
        <v>74</v>
      </c>
      <c r="S316" t="s">
        <v>74</v>
      </c>
      <c r="T316" t="s">
        <v>6116</v>
      </c>
      <c r="U316" t="s">
        <v>74</v>
      </c>
      <c r="V316" t="s">
        <v>6117</v>
      </c>
      <c r="W316" t="s">
        <v>6118</v>
      </c>
      <c r="X316" t="s">
        <v>6119</v>
      </c>
      <c r="Y316" t="s">
        <v>6120</v>
      </c>
      <c r="Z316" t="s">
        <v>6121</v>
      </c>
      <c r="AA316" t="s">
        <v>74</v>
      </c>
      <c r="AB316" t="s">
        <v>74</v>
      </c>
      <c r="AC316" t="s">
        <v>6122</v>
      </c>
      <c r="AD316" t="s">
        <v>6123</v>
      </c>
      <c r="AE316" t="s">
        <v>6124</v>
      </c>
      <c r="AF316" t="s">
        <v>74</v>
      </c>
      <c r="AG316">
        <v>23</v>
      </c>
      <c r="AH316">
        <v>18</v>
      </c>
      <c r="AI316">
        <v>21</v>
      </c>
      <c r="AJ316">
        <v>0</v>
      </c>
      <c r="AK316">
        <v>18</v>
      </c>
      <c r="AL316" t="s">
        <v>464</v>
      </c>
      <c r="AM316" t="s">
        <v>310</v>
      </c>
      <c r="AN316" t="s">
        <v>465</v>
      </c>
      <c r="AO316" t="s">
        <v>6125</v>
      </c>
      <c r="AP316" t="s">
        <v>6126</v>
      </c>
      <c r="AQ316" t="s">
        <v>74</v>
      </c>
      <c r="AR316" t="s">
        <v>6127</v>
      </c>
      <c r="AS316" t="s">
        <v>6128</v>
      </c>
      <c r="AT316" t="s">
        <v>5206</v>
      </c>
      <c r="AU316">
        <v>2010</v>
      </c>
      <c r="AV316">
        <v>15</v>
      </c>
      <c r="AW316">
        <v>3</v>
      </c>
      <c r="AX316" t="s">
        <v>74</v>
      </c>
      <c r="AY316" t="s">
        <v>74</v>
      </c>
      <c r="AZ316" t="s">
        <v>74</v>
      </c>
      <c r="BA316" t="s">
        <v>74</v>
      </c>
      <c r="BB316">
        <v>327</v>
      </c>
      <c r="BC316">
        <v>345</v>
      </c>
      <c r="BD316" t="s">
        <v>74</v>
      </c>
      <c r="BE316" t="s">
        <v>6129</v>
      </c>
      <c r="BF316" t="str">
        <f>HYPERLINK("http://dx.doi.org/10.1007/s13253-010-0024-8","http://dx.doi.org/10.1007/s13253-010-0024-8")</f>
        <v>http://dx.doi.org/10.1007/s13253-010-0024-8</v>
      </c>
      <c r="BG316" t="s">
        <v>74</v>
      </c>
      <c r="BH316" t="s">
        <v>74</v>
      </c>
      <c r="BI316">
        <v>19</v>
      </c>
      <c r="BJ316" t="s">
        <v>6130</v>
      </c>
      <c r="BK316" t="s">
        <v>100</v>
      </c>
      <c r="BL316" t="s">
        <v>6131</v>
      </c>
      <c r="BM316" t="s">
        <v>6132</v>
      </c>
      <c r="BN316" t="s">
        <v>74</v>
      </c>
      <c r="BO316" t="s">
        <v>74</v>
      </c>
      <c r="BP316" t="s">
        <v>74</v>
      </c>
      <c r="BQ316" t="s">
        <v>74</v>
      </c>
      <c r="BR316" t="s">
        <v>104</v>
      </c>
      <c r="BS316" t="s">
        <v>6133</v>
      </c>
      <c r="BT316" t="str">
        <f>HYPERLINK("https%3A%2F%2Fwww.webofscience.com%2Fwos%2Fwoscc%2Ffull-record%2FWOS:000284912600004","View Full Record in Web of Science")</f>
        <v>View Full Record in Web of Science</v>
      </c>
    </row>
    <row r="317" spans="1:72" x14ac:dyDescent="0.15">
      <c r="A317" t="s">
        <v>72</v>
      </c>
      <c r="B317" t="s">
        <v>6134</v>
      </c>
      <c r="C317" t="s">
        <v>74</v>
      </c>
      <c r="D317" t="s">
        <v>74</v>
      </c>
      <c r="E317" t="s">
        <v>74</v>
      </c>
      <c r="F317" t="s">
        <v>6135</v>
      </c>
      <c r="G317" t="s">
        <v>74</v>
      </c>
      <c r="H317" t="s">
        <v>74</v>
      </c>
      <c r="I317" t="s">
        <v>6136</v>
      </c>
      <c r="J317" t="s">
        <v>6137</v>
      </c>
      <c r="K317" t="s">
        <v>74</v>
      </c>
      <c r="L317" t="s">
        <v>74</v>
      </c>
      <c r="M317" t="s">
        <v>78</v>
      </c>
      <c r="N317" t="s">
        <v>79</v>
      </c>
      <c r="O317" t="s">
        <v>74</v>
      </c>
      <c r="P317" t="s">
        <v>74</v>
      </c>
      <c r="Q317" t="s">
        <v>74</v>
      </c>
      <c r="R317" t="s">
        <v>74</v>
      </c>
      <c r="S317" t="s">
        <v>74</v>
      </c>
      <c r="T317" t="s">
        <v>6138</v>
      </c>
      <c r="U317" t="s">
        <v>6139</v>
      </c>
      <c r="V317" t="s">
        <v>6140</v>
      </c>
      <c r="W317" t="s">
        <v>3286</v>
      </c>
      <c r="X317" t="s">
        <v>690</v>
      </c>
      <c r="Y317" t="s">
        <v>6141</v>
      </c>
      <c r="Z317" t="s">
        <v>6142</v>
      </c>
      <c r="AA317" t="s">
        <v>74</v>
      </c>
      <c r="AB317" t="s">
        <v>74</v>
      </c>
      <c r="AC317" t="s">
        <v>6143</v>
      </c>
      <c r="AD317" t="s">
        <v>2843</v>
      </c>
      <c r="AE317" t="s">
        <v>74</v>
      </c>
      <c r="AF317" t="s">
        <v>74</v>
      </c>
      <c r="AG317">
        <v>18</v>
      </c>
      <c r="AH317">
        <v>0</v>
      </c>
      <c r="AI317">
        <v>0</v>
      </c>
      <c r="AJ317">
        <v>0</v>
      </c>
      <c r="AK317">
        <v>3</v>
      </c>
      <c r="AL317" t="s">
        <v>264</v>
      </c>
      <c r="AM317" t="s">
        <v>265</v>
      </c>
      <c r="AN317" t="s">
        <v>266</v>
      </c>
      <c r="AO317" t="s">
        <v>6144</v>
      </c>
      <c r="AP317" t="s">
        <v>6145</v>
      </c>
      <c r="AQ317" t="s">
        <v>74</v>
      </c>
      <c r="AR317" t="s">
        <v>6146</v>
      </c>
      <c r="AS317" t="s">
        <v>6147</v>
      </c>
      <c r="AT317" t="s">
        <v>5206</v>
      </c>
      <c r="AU317">
        <v>2010</v>
      </c>
      <c r="AV317">
        <v>72</v>
      </c>
      <c r="AW317" t="s">
        <v>6148</v>
      </c>
      <c r="AX317" t="s">
        <v>74</v>
      </c>
      <c r="AY317" t="s">
        <v>74</v>
      </c>
      <c r="AZ317" t="s">
        <v>74</v>
      </c>
      <c r="BA317" t="s">
        <v>74</v>
      </c>
      <c r="BB317">
        <v>1110</v>
      </c>
      <c r="BC317">
        <v>1113</v>
      </c>
      <c r="BD317" t="s">
        <v>74</v>
      </c>
      <c r="BE317" t="s">
        <v>6149</v>
      </c>
      <c r="BF317" t="str">
        <f>HYPERLINK("http://dx.doi.org/10.1016/j.jastp.2010.07.015","http://dx.doi.org/10.1016/j.jastp.2010.07.015")</f>
        <v>http://dx.doi.org/10.1016/j.jastp.2010.07.015</v>
      </c>
      <c r="BG317" t="s">
        <v>74</v>
      </c>
      <c r="BH317" t="s">
        <v>74</v>
      </c>
      <c r="BI317">
        <v>4</v>
      </c>
      <c r="BJ317" t="s">
        <v>2631</v>
      </c>
      <c r="BK317" t="s">
        <v>100</v>
      </c>
      <c r="BL317" t="s">
        <v>2631</v>
      </c>
      <c r="BM317" t="s">
        <v>6150</v>
      </c>
      <c r="BN317" t="s">
        <v>74</v>
      </c>
      <c r="BO317" t="s">
        <v>74</v>
      </c>
      <c r="BP317" t="s">
        <v>74</v>
      </c>
      <c r="BQ317" t="s">
        <v>74</v>
      </c>
      <c r="BR317" t="s">
        <v>104</v>
      </c>
      <c r="BS317" t="s">
        <v>6151</v>
      </c>
      <c r="BT317" t="str">
        <f>HYPERLINK("https%3A%2F%2Fwww.webofscience.com%2Fwos%2Fwoscc%2Ffull-record%2FWOS:000281578100006","View Full Record in Web of Science")</f>
        <v>View Full Record in Web of Science</v>
      </c>
    </row>
    <row r="318" spans="1:72" x14ac:dyDescent="0.15">
      <c r="A318" t="s">
        <v>72</v>
      </c>
      <c r="B318" t="s">
        <v>6152</v>
      </c>
      <c r="C318" t="s">
        <v>74</v>
      </c>
      <c r="D318" t="s">
        <v>74</v>
      </c>
      <c r="E318" t="s">
        <v>74</v>
      </c>
      <c r="F318" t="s">
        <v>6153</v>
      </c>
      <c r="G318" t="s">
        <v>74</v>
      </c>
      <c r="H318" t="s">
        <v>74</v>
      </c>
      <c r="I318" t="s">
        <v>6154</v>
      </c>
      <c r="J318" t="s">
        <v>6155</v>
      </c>
      <c r="K318" t="s">
        <v>74</v>
      </c>
      <c r="L318" t="s">
        <v>74</v>
      </c>
      <c r="M318" t="s">
        <v>78</v>
      </c>
      <c r="N318" t="s">
        <v>79</v>
      </c>
      <c r="O318" t="s">
        <v>74</v>
      </c>
      <c r="P318" t="s">
        <v>74</v>
      </c>
      <c r="Q318" t="s">
        <v>74</v>
      </c>
      <c r="R318" t="s">
        <v>74</v>
      </c>
      <c r="S318" t="s">
        <v>74</v>
      </c>
      <c r="T318" t="s">
        <v>74</v>
      </c>
      <c r="U318" t="s">
        <v>6156</v>
      </c>
      <c r="V318" t="s">
        <v>6157</v>
      </c>
      <c r="W318" t="s">
        <v>6158</v>
      </c>
      <c r="X318" t="s">
        <v>6159</v>
      </c>
      <c r="Y318" t="s">
        <v>6160</v>
      </c>
      <c r="Z318" t="s">
        <v>6161</v>
      </c>
      <c r="AA318" t="s">
        <v>6162</v>
      </c>
      <c r="AB318" t="s">
        <v>6163</v>
      </c>
      <c r="AC318" t="s">
        <v>6164</v>
      </c>
      <c r="AD318" t="s">
        <v>6165</v>
      </c>
      <c r="AE318" t="s">
        <v>6166</v>
      </c>
      <c r="AF318" t="s">
        <v>74</v>
      </c>
      <c r="AG318">
        <v>73</v>
      </c>
      <c r="AH318">
        <v>41</v>
      </c>
      <c r="AI318">
        <v>43</v>
      </c>
      <c r="AJ318">
        <v>1</v>
      </c>
      <c r="AK318">
        <v>53</v>
      </c>
      <c r="AL318" t="s">
        <v>923</v>
      </c>
      <c r="AM318" t="s">
        <v>339</v>
      </c>
      <c r="AN318" t="s">
        <v>340</v>
      </c>
      <c r="AO318" t="s">
        <v>6167</v>
      </c>
      <c r="AP318" t="s">
        <v>6168</v>
      </c>
      <c r="AQ318" t="s">
        <v>74</v>
      </c>
      <c r="AR318" t="s">
        <v>6169</v>
      </c>
      <c r="AS318" t="s">
        <v>6170</v>
      </c>
      <c r="AT318" t="s">
        <v>5206</v>
      </c>
      <c r="AU318">
        <v>2010</v>
      </c>
      <c r="AV318">
        <v>41</v>
      </c>
      <c r="AW318">
        <v>5</v>
      </c>
      <c r="AX318" t="s">
        <v>74</v>
      </c>
      <c r="AY318" t="s">
        <v>74</v>
      </c>
      <c r="AZ318" t="s">
        <v>74</v>
      </c>
      <c r="BA318" t="s">
        <v>74</v>
      </c>
      <c r="BB318">
        <v>532</v>
      </c>
      <c r="BC318">
        <v>542</v>
      </c>
      <c r="BD318" t="s">
        <v>74</v>
      </c>
      <c r="BE318" t="s">
        <v>6171</v>
      </c>
      <c r="BF318" t="str">
        <f>HYPERLINK("http://dx.doi.org/10.1111/j.1600-048X.2010.05125.x","http://dx.doi.org/10.1111/j.1600-048X.2010.05125.x")</f>
        <v>http://dx.doi.org/10.1111/j.1600-048X.2010.05125.x</v>
      </c>
      <c r="BG318" t="s">
        <v>74</v>
      </c>
      <c r="BH318" t="s">
        <v>74</v>
      </c>
      <c r="BI318">
        <v>11</v>
      </c>
      <c r="BJ318" t="s">
        <v>491</v>
      </c>
      <c r="BK318" t="s">
        <v>100</v>
      </c>
      <c r="BL318" t="s">
        <v>492</v>
      </c>
      <c r="BM318" t="s">
        <v>6172</v>
      </c>
      <c r="BN318" t="s">
        <v>74</v>
      </c>
      <c r="BO318" t="s">
        <v>74</v>
      </c>
      <c r="BP318" t="s">
        <v>74</v>
      </c>
      <c r="BQ318" t="s">
        <v>74</v>
      </c>
      <c r="BR318" t="s">
        <v>104</v>
      </c>
      <c r="BS318" t="s">
        <v>6173</v>
      </c>
      <c r="BT318" t="str">
        <f>HYPERLINK("https%3A%2F%2Fwww.webofscience.com%2Fwos%2Fwoscc%2Ffull-record%2FWOS:000281849500005","View Full Record in Web of Science")</f>
        <v>View Full Record in Web of Science</v>
      </c>
    </row>
    <row r="319" spans="1:72" x14ac:dyDescent="0.15">
      <c r="A319" t="s">
        <v>72</v>
      </c>
      <c r="B319" t="s">
        <v>6174</v>
      </c>
      <c r="C319" t="s">
        <v>74</v>
      </c>
      <c r="D319" t="s">
        <v>74</v>
      </c>
      <c r="E319" t="s">
        <v>74</v>
      </c>
      <c r="F319" t="s">
        <v>6175</v>
      </c>
      <c r="G319" t="s">
        <v>74</v>
      </c>
      <c r="H319" t="s">
        <v>74</v>
      </c>
      <c r="I319" t="s">
        <v>6176</v>
      </c>
      <c r="J319" t="s">
        <v>6177</v>
      </c>
      <c r="K319" t="s">
        <v>74</v>
      </c>
      <c r="L319" t="s">
        <v>74</v>
      </c>
      <c r="M319" t="s">
        <v>78</v>
      </c>
      <c r="N319" t="s">
        <v>79</v>
      </c>
      <c r="O319" t="s">
        <v>74</v>
      </c>
      <c r="P319" t="s">
        <v>74</v>
      </c>
      <c r="Q319" t="s">
        <v>74</v>
      </c>
      <c r="R319" t="s">
        <v>74</v>
      </c>
      <c r="S319" t="s">
        <v>74</v>
      </c>
      <c r="T319" t="s">
        <v>6178</v>
      </c>
      <c r="U319" t="s">
        <v>6179</v>
      </c>
      <c r="V319" t="s">
        <v>6180</v>
      </c>
      <c r="W319" t="s">
        <v>6181</v>
      </c>
      <c r="X319" t="s">
        <v>6182</v>
      </c>
      <c r="Y319" t="s">
        <v>691</v>
      </c>
      <c r="Z319" t="s">
        <v>692</v>
      </c>
      <c r="AA319" t="s">
        <v>74</v>
      </c>
      <c r="AB319" t="s">
        <v>74</v>
      </c>
      <c r="AC319" t="s">
        <v>6183</v>
      </c>
      <c r="AD319" t="s">
        <v>6184</v>
      </c>
      <c r="AE319" t="s">
        <v>6185</v>
      </c>
      <c r="AF319" t="s">
        <v>74</v>
      </c>
      <c r="AG319">
        <v>35</v>
      </c>
      <c r="AH319">
        <v>41</v>
      </c>
      <c r="AI319">
        <v>42</v>
      </c>
      <c r="AJ319">
        <v>0</v>
      </c>
      <c r="AK319">
        <v>20</v>
      </c>
      <c r="AL319" t="s">
        <v>338</v>
      </c>
      <c r="AM319" t="s">
        <v>673</v>
      </c>
      <c r="AN319" t="s">
        <v>674</v>
      </c>
      <c r="AO319" t="s">
        <v>6186</v>
      </c>
      <c r="AP319" t="s">
        <v>74</v>
      </c>
      <c r="AQ319" t="s">
        <v>74</v>
      </c>
      <c r="AR319" t="s">
        <v>6187</v>
      </c>
      <c r="AS319" t="s">
        <v>6188</v>
      </c>
      <c r="AT319" t="s">
        <v>5206</v>
      </c>
      <c r="AU319">
        <v>2010</v>
      </c>
      <c r="AV319">
        <v>37</v>
      </c>
      <c r="AW319">
        <v>9</v>
      </c>
      <c r="AX319" t="s">
        <v>74</v>
      </c>
      <c r="AY319" t="s">
        <v>74</v>
      </c>
      <c r="AZ319" t="s">
        <v>74</v>
      </c>
      <c r="BA319" t="s">
        <v>74</v>
      </c>
      <c r="BB319">
        <v>1648</v>
      </c>
      <c r="BC319">
        <v>1656</v>
      </c>
      <c r="BD319" t="s">
        <v>74</v>
      </c>
      <c r="BE319" t="s">
        <v>6189</v>
      </c>
      <c r="BF319" t="str">
        <f>HYPERLINK("http://dx.doi.org/10.1111/j.1365-2699.2010.02320.x","http://dx.doi.org/10.1111/j.1365-2699.2010.02320.x")</f>
        <v>http://dx.doi.org/10.1111/j.1365-2699.2010.02320.x</v>
      </c>
      <c r="BG319" t="s">
        <v>74</v>
      </c>
      <c r="BH319" t="s">
        <v>74</v>
      </c>
      <c r="BI319">
        <v>9</v>
      </c>
      <c r="BJ319" t="s">
        <v>6190</v>
      </c>
      <c r="BK319" t="s">
        <v>100</v>
      </c>
      <c r="BL319" t="s">
        <v>101</v>
      </c>
      <c r="BM319" t="s">
        <v>6191</v>
      </c>
      <c r="BN319" t="s">
        <v>74</v>
      </c>
      <c r="BO319" t="s">
        <v>74</v>
      </c>
      <c r="BP319" t="s">
        <v>74</v>
      </c>
      <c r="BQ319" t="s">
        <v>74</v>
      </c>
      <c r="BR319" t="s">
        <v>104</v>
      </c>
      <c r="BS319" t="s">
        <v>6192</v>
      </c>
      <c r="BT319" t="str">
        <f>HYPERLINK("https%3A%2F%2Fwww.webofscience.com%2Fwos%2Fwoscc%2Ffull-record%2FWOS:000280980600003","View Full Record in Web of Science")</f>
        <v>View Full Record in Web of Science</v>
      </c>
    </row>
    <row r="320" spans="1:72" x14ac:dyDescent="0.15">
      <c r="A320" t="s">
        <v>72</v>
      </c>
      <c r="B320" t="s">
        <v>6193</v>
      </c>
      <c r="C320" t="s">
        <v>74</v>
      </c>
      <c r="D320" t="s">
        <v>74</v>
      </c>
      <c r="E320" t="s">
        <v>74</v>
      </c>
      <c r="F320" t="s">
        <v>6194</v>
      </c>
      <c r="G320" t="s">
        <v>74</v>
      </c>
      <c r="H320" t="s">
        <v>74</v>
      </c>
      <c r="I320" t="s">
        <v>6195</v>
      </c>
      <c r="J320" t="s">
        <v>3420</v>
      </c>
      <c r="K320" t="s">
        <v>74</v>
      </c>
      <c r="L320" t="s">
        <v>74</v>
      </c>
      <c r="M320" t="s">
        <v>78</v>
      </c>
      <c r="N320" t="s">
        <v>79</v>
      </c>
      <c r="O320" t="s">
        <v>74</v>
      </c>
      <c r="P320" t="s">
        <v>74</v>
      </c>
      <c r="Q320" t="s">
        <v>74</v>
      </c>
      <c r="R320" t="s">
        <v>74</v>
      </c>
      <c r="S320" t="s">
        <v>74</v>
      </c>
      <c r="T320" t="s">
        <v>74</v>
      </c>
      <c r="U320" t="s">
        <v>6196</v>
      </c>
      <c r="V320" t="s">
        <v>6197</v>
      </c>
      <c r="W320" t="s">
        <v>6198</v>
      </c>
      <c r="X320" t="s">
        <v>6199</v>
      </c>
      <c r="Y320" t="s">
        <v>6200</v>
      </c>
      <c r="Z320" t="s">
        <v>6201</v>
      </c>
      <c r="AA320" t="s">
        <v>74</v>
      </c>
      <c r="AB320" t="s">
        <v>74</v>
      </c>
      <c r="AC320" t="s">
        <v>6202</v>
      </c>
      <c r="AD320" t="s">
        <v>6203</v>
      </c>
      <c r="AE320" t="s">
        <v>6204</v>
      </c>
      <c r="AF320" t="s">
        <v>74</v>
      </c>
      <c r="AG320">
        <v>68</v>
      </c>
      <c r="AH320">
        <v>176</v>
      </c>
      <c r="AI320">
        <v>194</v>
      </c>
      <c r="AJ320">
        <v>0</v>
      </c>
      <c r="AK320">
        <v>44</v>
      </c>
      <c r="AL320" t="s">
        <v>3432</v>
      </c>
      <c r="AM320" t="s">
        <v>3433</v>
      </c>
      <c r="AN320" t="s">
        <v>3434</v>
      </c>
      <c r="AO320" t="s">
        <v>3435</v>
      </c>
      <c r="AP320" t="s">
        <v>3436</v>
      </c>
      <c r="AQ320" t="s">
        <v>74</v>
      </c>
      <c r="AR320" t="s">
        <v>3437</v>
      </c>
      <c r="AS320" t="s">
        <v>3438</v>
      </c>
      <c r="AT320" t="s">
        <v>5206</v>
      </c>
      <c r="AU320">
        <v>2010</v>
      </c>
      <c r="AV320">
        <v>23</v>
      </c>
      <c r="AW320">
        <v>17</v>
      </c>
      <c r="AX320" t="s">
        <v>74</v>
      </c>
      <c r="AY320" t="s">
        <v>74</v>
      </c>
      <c r="AZ320" t="s">
        <v>74</v>
      </c>
      <c r="BA320" t="s">
        <v>74</v>
      </c>
      <c r="BB320">
        <v>4508</v>
      </c>
      <c r="BC320">
        <v>4524</v>
      </c>
      <c r="BD320" t="s">
        <v>74</v>
      </c>
      <c r="BE320" t="s">
        <v>6205</v>
      </c>
      <c r="BF320" t="str">
        <f>HYPERLINK("http://dx.doi.org/10.1175/2010JCLI3284.1","http://dx.doi.org/10.1175/2010JCLI3284.1")</f>
        <v>http://dx.doi.org/10.1175/2010JCLI3284.1</v>
      </c>
      <c r="BG320" t="s">
        <v>74</v>
      </c>
      <c r="BH320" t="s">
        <v>74</v>
      </c>
      <c r="BI320">
        <v>17</v>
      </c>
      <c r="BJ320" t="s">
        <v>319</v>
      </c>
      <c r="BK320" t="s">
        <v>100</v>
      </c>
      <c r="BL320" t="s">
        <v>319</v>
      </c>
      <c r="BM320" t="s">
        <v>6206</v>
      </c>
      <c r="BN320" t="s">
        <v>74</v>
      </c>
      <c r="BO320" t="s">
        <v>1000</v>
      </c>
      <c r="BP320" t="s">
        <v>74</v>
      </c>
      <c r="BQ320" t="s">
        <v>74</v>
      </c>
      <c r="BR320" t="s">
        <v>104</v>
      </c>
      <c r="BS320" t="s">
        <v>6207</v>
      </c>
      <c r="BT320" t="str">
        <f>HYPERLINK("https%3A%2F%2Fwww.webofscience.com%2Fwos%2Fwoscc%2Ffull-record%2FWOS:000281655600004","View Full Record in Web of Science")</f>
        <v>View Full Record in Web of Science</v>
      </c>
    </row>
    <row r="321" spans="1:72" x14ac:dyDescent="0.15">
      <c r="A321" t="s">
        <v>72</v>
      </c>
      <c r="B321" t="s">
        <v>6208</v>
      </c>
      <c r="C321" t="s">
        <v>74</v>
      </c>
      <c r="D321" t="s">
        <v>74</v>
      </c>
      <c r="E321" t="s">
        <v>74</v>
      </c>
      <c r="F321" t="s">
        <v>6209</v>
      </c>
      <c r="G321" t="s">
        <v>74</v>
      </c>
      <c r="H321" t="s">
        <v>74</v>
      </c>
      <c r="I321" t="s">
        <v>6210</v>
      </c>
      <c r="J321" t="s">
        <v>3420</v>
      </c>
      <c r="K321" t="s">
        <v>74</v>
      </c>
      <c r="L321" t="s">
        <v>74</v>
      </c>
      <c r="M321" t="s">
        <v>78</v>
      </c>
      <c r="N321" t="s">
        <v>79</v>
      </c>
      <c r="O321" t="s">
        <v>74</v>
      </c>
      <c r="P321" t="s">
        <v>74</v>
      </c>
      <c r="Q321" t="s">
        <v>74</v>
      </c>
      <c r="R321" t="s">
        <v>74</v>
      </c>
      <c r="S321" t="s">
        <v>74</v>
      </c>
      <c r="T321" t="s">
        <v>74</v>
      </c>
      <c r="U321" t="s">
        <v>6211</v>
      </c>
      <c r="V321" t="s">
        <v>6212</v>
      </c>
      <c r="W321" t="s">
        <v>6213</v>
      </c>
      <c r="X321" t="s">
        <v>6214</v>
      </c>
      <c r="Y321" t="s">
        <v>6215</v>
      </c>
      <c r="Z321" t="s">
        <v>6216</v>
      </c>
      <c r="AA321" t="s">
        <v>6217</v>
      </c>
      <c r="AB321" t="s">
        <v>6218</v>
      </c>
      <c r="AC321" t="s">
        <v>6219</v>
      </c>
      <c r="AD321" t="s">
        <v>6220</v>
      </c>
      <c r="AE321" t="s">
        <v>6221</v>
      </c>
      <c r="AF321" t="s">
        <v>74</v>
      </c>
      <c r="AG321">
        <v>61</v>
      </c>
      <c r="AH321">
        <v>16</v>
      </c>
      <c r="AI321">
        <v>17</v>
      </c>
      <c r="AJ321">
        <v>0</v>
      </c>
      <c r="AK321">
        <v>14</v>
      </c>
      <c r="AL321" t="s">
        <v>3432</v>
      </c>
      <c r="AM321" t="s">
        <v>3433</v>
      </c>
      <c r="AN321" t="s">
        <v>3434</v>
      </c>
      <c r="AO321" t="s">
        <v>3435</v>
      </c>
      <c r="AP321" t="s">
        <v>3436</v>
      </c>
      <c r="AQ321" t="s">
        <v>74</v>
      </c>
      <c r="AR321" t="s">
        <v>3437</v>
      </c>
      <c r="AS321" t="s">
        <v>3438</v>
      </c>
      <c r="AT321" t="s">
        <v>5206</v>
      </c>
      <c r="AU321">
        <v>2010</v>
      </c>
      <c r="AV321">
        <v>23</v>
      </c>
      <c r="AW321">
        <v>18</v>
      </c>
      <c r="AX321" t="s">
        <v>74</v>
      </c>
      <c r="AY321" t="s">
        <v>74</v>
      </c>
      <c r="AZ321" t="s">
        <v>74</v>
      </c>
      <c r="BA321" t="s">
        <v>74</v>
      </c>
      <c r="BB321">
        <v>4737</v>
      </c>
      <c r="BC321">
        <v>4749</v>
      </c>
      <c r="BD321" t="s">
        <v>74</v>
      </c>
      <c r="BE321" t="s">
        <v>6222</v>
      </c>
      <c r="BF321" t="str">
        <f>HYPERLINK("http://dx.doi.org/10.1175/2010JCLI3701.1","http://dx.doi.org/10.1175/2010JCLI3701.1")</f>
        <v>http://dx.doi.org/10.1175/2010JCLI3701.1</v>
      </c>
      <c r="BG321" t="s">
        <v>74</v>
      </c>
      <c r="BH321" t="s">
        <v>74</v>
      </c>
      <c r="BI321">
        <v>13</v>
      </c>
      <c r="BJ321" t="s">
        <v>319</v>
      </c>
      <c r="BK321" t="s">
        <v>100</v>
      </c>
      <c r="BL321" t="s">
        <v>319</v>
      </c>
      <c r="BM321" t="s">
        <v>6223</v>
      </c>
      <c r="BN321" t="s">
        <v>74</v>
      </c>
      <c r="BO321" t="s">
        <v>1000</v>
      </c>
      <c r="BP321" t="s">
        <v>74</v>
      </c>
      <c r="BQ321" t="s">
        <v>74</v>
      </c>
      <c r="BR321" t="s">
        <v>104</v>
      </c>
      <c r="BS321" t="s">
        <v>6224</v>
      </c>
      <c r="BT321" t="str">
        <f>HYPERLINK("https%3A%2F%2Fwww.webofscience.com%2Fwos%2Fwoscc%2Ffull-record%2FWOS:000282678000002","View Full Record in Web of Science")</f>
        <v>View Full Record in Web of Science</v>
      </c>
    </row>
    <row r="322" spans="1:72" x14ac:dyDescent="0.15">
      <c r="A322" t="s">
        <v>72</v>
      </c>
      <c r="B322" t="s">
        <v>6225</v>
      </c>
      <c r="C322" t="s">
        <v>74</v>
      </c>
      <c r="D322" t="s">
        <v>74</v>
      </c>
      <c r="E322" t="s">
        <v>74</v>
      </c>
      <c r="F322" t="s">
        <v>6226</v>
      </c>
      <c r="G322" t="s">
        <v>74</v>
      </c>
      <c r="H322" t="s">
        <v>74</v>
      </c>
      <c r="I322" t="s">
        <v>6227</v>
      </c>
      <c r="J322" t="s">
        <v>6228</v>
      </c>
      <c r="K322" t="s">
        <v>74</v>
      </c>
      <c r="L322" t="s">
        <v>74</v>
      </c>
      <c r="M322" t="s">
        <v>78</v>
      </c>
      <c r="N322" t="s">
        <v>79</v>
      </c>
      <c r="O322" t="s">
        <v>74</v>
      </c>
      <c r="P322" t="s">
        <v>74</v>
      </c>
      <c r="Q322" t="s">
        <v>74</v>
      </c>
      <c r="R322" t="s">
        <v>74</v>
      </c>
      <c r="S322" t="s">
        <v>74</v>
      </c>
      <c r="T322" t="s">
        <v>74</v>
      </c>
      <c r="U322" t="s">
        <v>6229</v>
      </c>
      <c r="V322" t="s">
        <v>6230</v>
      </c>
      <c r="W322" t="s">
        <v>6231</v>
      </c>
      <c r="X322" t="s">
        <v>6232</v>
      </c>
      <c r="Y322" t="s">
        <v>6233</v>
      </c>
      <c r="Z322" t="s">
        <v>6234</v>
      </c>
      <c r="AA322" t="s">
        <v>74</v>
      </c>
      <c r="AB322" t="s">
        <v>74</v>
      </c>
      <c r="AC322" t="s">
        <v>6235</v>
      </c>
      <c r="AD322" t="s">
        <v>6236</v>
      </c>
      <c r="AE322" t="s">
        <v>6237</v>
      </c>
      <c r="AF322" t="s">
        <v>74</v>
      </c>
      <c r="AG322">
        <v>69</v>
      </c>
      <c r="AH322">
        <v>150</v>
      </c>
      <c r="AI322">
        <v>173</v>
      </c>
      <c r="AJ322">
        <v>0</v>
      </c>
      <c r="AK322">
        <v>33</v>
      </c>
      <c r="AL322" t="s">
        <v>6238</v>
      </c>
      <c r="AM322" t="s">
        <v>6239</v>
      </c>
      <c r="AN322" t="s">
        <v>6240</v>
      </c>
      <c r="AO322" t="s">
        <v>6241</v>
      </c>
      <c r="AP322" t="s">
        <v>6242</v>
      </c>
      <c r="AQ322" t="s">
        <v>74</v>
      </c>
      <c r="AR322" t="s">
        <v>6243</v>
      </c>
      <c r="AS322" t="s">
        <v>6244</v>
      </c>
      <c r="AT322" t="s">
        <v>5206</v>
      </c>
      <c r="AU322">
        <v>2010</v>
      </c>
      <c r="AV322">
        <v>120</v>
      </c>
      <c r="AW322">
        <v>9</v>
      </c>
      <c r="AX322" t="s">
        <v>74</v>
      </c>
      <c r="AY322" t="s">
        <v>74</v>
      </c>
      <c r="AZ322" t="s">
        <v>74</v>
      </c>
      <c r="BA322" t="s">
        <v>74</v>
      </c>
      <c r="BB322">
        <v>3179</v>
      </c>
      <c r="BC322">
        <v>3190</v>
      </c>
      <c r="BD322" t="s">
        <v>74</v>
      </c>
      <c r="BE322" t="s">
        <v>6245</v>
      </c>
      <c r="BF322" t="str">
        <f>HYPERLINK("http://dx.doi.org/10.1172/JCI42868","http://dx.doi.org/10.1172/JCI42868")</f>
        <v>http://dx.doi.org/10.1172/JCI42868</v>
      </c>
      <c r="BG322" t="s">
        <v>74</v>
      </c>
      <c r="BH322" t="s">
        <v>74</v>
      </c>
      <c r="BI322">
        <v>12</v>
      </c>
      <c r="BJ322" t="s">
        <v>6246</v>
      </c>
      <c r="BK322" t="s">
        <v>100</v>
      </c>
      <c r="BL322" t="s">
        <v>6247</v>
      </c>
      <c r="BM322" t="s">
        <v>6248</v>
      </c>
      <c r="BN322">
        <v>20739755</v>
      </c>
      <c r="BO322" t="s">
        <v>1533</v>
      </c>
      <c r="BP322" t="s">
        <v>74</v>
      </c>
      <c r="BQ322" t="s">
        <v>74</v>
      </c>
      <c r="BR322" t="s">
        <v>104</v>
      </c>
      <c r="BS322" t="s">
        <v>6249</v>
      </c>
      <c r="BT322" t="str">
        <f>HYPERLINK("https%3A%2F%2Fwww.webofscience.com%2Fwos%2Fwoscc%2Ffull-record%2FWOS:000281458800024","View Full Record in Web of Science")</f>
        <v>View Full Record in Web of Science</v>
      </c>
    </row>
    <row r="323" spans="1:72" x14ac:dyDescent="0.15">
      <c r="A323" t="s">
        <v>72</v>
      </c>
      <c r="B323" t="s">
        <v>6250</v>
      </c>
      <c r="C323" t="s">
        <v>74</v>
      </c>
      <c r="D323" t="s">
        <v>74</v>
      </c>
      <c r="E323" t="s">
        <v>74</v>
      </c>
      <c r="F323" t="s">
        <v>6251</v>
      </c>
      <c r="G323" t="s">
        <v>74</v>
      </c>
      <c r="H323" t="s">
        <v>74</v>
      </c>
      <c r="I323" t="s">
        <v>6252</v>
      </c>
      <c r="J323" t="s">
        <v>813</v>
      </c>
      <c r="K323" t="s">
        <v>74</v>
      </c>
      <c r="L323" t="s">
        <v>74</v>
      </c>
      <c r="M323" t="s">
        <v>78</v>
      </c>
      <c r="N323" t="s">
        <v>79</v>
      </c>
      <c r="O323" t="s">
        <v>74</v>
      </c>
      <c r="P323" t="s">
        <v>74</v>
      </c>
      <c r="Q323" t="s">
        <v>74</v>
      </c>
      <c r="R323" t="s">
        <v>74</v>
      </c>
      <c r="S323" t="s">
        <v>74</v>
      </c>
      <c r="T323" t="s">
        <v>6253</v>
      </c>
      <c r="U323" t="s">
        <v>6254</v>
      </c>
      <c r="V323" t="s">
        <v>6255</v>
      </c>
      <c r="W323" t="s">
        <v>6256</v>
      </c>
      <c r="X323" t="s">
        <v>6257</v>
      </c>
      <c r="Y323" t="s">
        <v>6258</v>
      </c>
      <c r="Z323" t="s">
        <v>6259</v>
      </c>
      <c r="AA323" t="s">
        <v>6260</v>
      </c>
      <c r="AB323" t="s">
        <v>6261</v>
      </c>
      <c r="AC323" t="s">
        <v>6262</v>
      </c>
      <c r="AD323" t="s">
        <v>2843</v>
      </c>
      <c r="AE323" t="s">
        <v>74</v>
      </c>
      <c r="AF323" t="s">
        <v>74</v>
      </c>
      <c r="AG323">
        <v>80</v>
      </c>
      <c r="AH323">
        <v>29</v>
      </c>
      <c r="AI323">
        <v>31</v>
      </c>
      <c r="AJ323">
        <v>0</v>
      </c>
      <c r="AK323">
        <v>20</v>
      </c>
      <c r="AL323" t="s">
        <v>826</v>
      </c>
      <c r="AM323" t="s">
        <v>827</v>
      </c>
      <c r="AN323" t="s">
        <v>828</v>
      </c>
      <c r="AO323" t="s">
        <v>829</v>
      </c>
      <c r="AP323" t="s">
        <v>830</v>
      </c>
      <c r="AQ323" t="s">
        <v>74</v>
      </c>
      <c r="AR323" t="s">
        <v>831</v>
      </c>
      <c r="AS323" t="s">
        <v>832</v>
      </c>
      <c r="AT323" t="s">
        <v>5441</v>
      </c>
      <c r="AU323">
        <v>2010</v>
      </c>
      <c r="AV323">
        <v>101</v>
      </c>
      <c r="AW323">
        <v>5</v>
      </c>
      <c r="AX323" t="s">
        <v>74</v>
      </c>
      <c r="AY323" t="s">
        <v>74</v>
      </c>
      <c r="AZ323" t="s">
        <v>74</v>
      </c>
      <c r="BA323" t="s">
        <v>74</v>
      </c>
      <c r="BB323">
        <v>527</v>
      </c>
      <c r="BC323">
        <v>538</v>
      </c>
      <c r="BD323" t="s">
        <v>74</v>
      </c>
      <c r="BE323" t="s">
        <v>6263</v>
      </c>
      <c r="BF323" t="str">
        <f>HYPERLINK("http://dx.doi.org/10.1093/jhered/esq045","http://dx.doi.org/10.1093/jhered/esq045")</f>
        <v>http://dx.doi.org/10.1093/jhered/esq045</v>
      </c>
      <c r="BG323" t="s">
        <v>74</v>
      </c>
      <c r="BH323" t="s">
        <v>74</v>
      </c>
      <c r="BI323">
        <v>12</v>
      </c>
      <c r="BJ323" t="s">
        <v>834</v>
      </c>
      <c r="BK323" t="s">
        <v>100</v>
      </c>
      <c r="BL323" t="s">
        <v>834</v>
      </c>
      <c r="BM323" t="s">
        <v>6264</v>
      </c>
      <c r="BN323">
        <v>20457622</v>
      </c>
      <c r="BO323" t="s">
        <v>394</v>
      </c>
      <c r="BP323" t="s">
        <v>74</v>
      </c>
      <c r="BQ323" t="s">
        <v>74</v>
      </c>
      <c r="BR323" t="s">
        <v>104</v>
      </c>
      <c r="BS323" t="s">
        <v>6265</v>
      </c>
      <c r="BT323" t="str">
        <f>HYPERLINK("https%3A%2F%2Fwww.webofscience.com%2Fwos%2Fwoscc%2Ffull-record%2FWOS:000280316600001","View Full Record in Web of Science")</f>
        <v>View Full Record in Web of Science</v>
      </c>
    </row>
    <row r="324" spans="1:72" x14ac:dyDescent="0.15">
      <c r="A324" t="s">
        <v>72</v>
      </c>
      <c r="B324" t="s">
        <v>6266</v>
      </c>
      <c r="C324" t="s">
        <v>74</v>
      </c>
      <c r="D324" t="s">
        <v>74</v>
      </c>
      <c r="E324" t="s">
        <v>74</v>
      </c>
      <c r="F324" t="s">
        <v>6267</v>
      </c>
      <c r="G324" t="s">
        <v>74</v>
      </c>
      <c r="H324" t="s">
        <v>74</v>
      </c>
      <c r="I324" t="s">
        <v>6268</v>
      </c>
      <c r="J324" t="s">
        <v>813</v>
      </c>
      <c r="K324" t="s">
        <v>74</v>
      </c>
      <c r="L324" t="s">
        <v>74</v>
      </c>
      <c r="M324" t="s">
        <v>78</v>
      </c>
      <c r="N324" t="s">
        <v>79</v>
      </c>
      <c r="O324" t="s">
        <v>74</v>
      </c>
      <c r="P324" t="s">
        <v>74</v>
      </c>
      <c r="Q324" t="s">
        <v>74</v>
      </c>
      <c r="R324" t="s">
        <v>74</v>
      </c>
      <c r="S324" t="s">
        <v>74</v>
      </c>
      <c r="T324" t="s">
        <v>6269</v>
      </c>
      <c r="U324" t="s">
        <v>6270</v>
      </c>
      <c r="V324" t="s">
        <v>6271</v>
      </c>
      <c r="W324" t="s">
        <v>6272</v>
      </c>
      <c r="X324" t="s">
        <v>6273</v>
      </c>
      <c r="Y324" t="s">
        <v>6258</v>
      </c>
      <c r="Z324" t="s">
        <v>6259</v>
      </c>
      <c r="AA324" t="s">
        <v>6260</v>
      </c>
      <c r="AB324" t="s">
        <v>6274</v>
      </c>
      <c r="AC324" t="s">
        <v>6275</v>
      </c>
      <c r="AD324" t="s">
        <v>6276</v>
      </c>
      <c r="AE324" t="s">
        <v>6277</v>
      </c>
      <c r="AF324" t="s">
        <v>74</v>
      </c>
      <c r="AG324">
        <v>52</v>
      </c>
      <c r="AH324">
        <v>19</v>
      </c>
      <c r="AI324">
        <v>20</v>
      </c>
      <c r="AJ324">
        <v>0</v>
      </c>
      <c r="AK324">
        <v>19</v>
      </c>
      <c r="AL324" t="s">
        <v>826</v>
      </c>
      <c r="AM324" t="s">
        <v>827</v>
      </c>
      <c r="AN324" t="s">
        <v>828</v>
      </c>
      <c r="AO324" t="s">
        <v>829</v>
      </c>
      <c r="AP324" t="s">
        <v>74</v>
      </c>
      <c r="AQ324" t="s">
        <v>74</v>
      </c>
      <c r="AR324" t="s">
        <v>831</v>
      </c>
      <c r="AS324" t="s">
        <v>832</v>
      </c>
      <c r="AT324" t="s">
        <v>5441</v>
      </c>
      <c r="AU324">
        <v>2010</v>
      </c>
      <c r="AV324">
        <v>101</v>
      </c>
      <c r="AW324">
        <v>5</v>
      </c>
      <c r="AX324" t="s">
        <v>74</v>
      </c>
      <c r="AY324" t="s">
        <v>74</v>
      </c>
      <c r="AZ324" t="s">
        <v>74</v>
      </c>
      <c r="BA324" t="s">
        <v>74</v>
      </c>
      <c r="BB324">
        <v>539</v>
      </c>
      <c r="BC324">
        <v>552</v>
      </c>
      <c r="BD324" t="s">
        <v>74</v>
      </c>
      <c r="BE324" t="s">
        <v>6278</v>
      </c>
      <c r="BF324" t="str">
        <f>HYPERLINK("http://dx.doi.org/10.1093/jhered/esq046","http://dx.doi.org/10.1093/jhered/esq046")</f>
        <v>http://dx.doi.org/10.1093/jhered/esq046</v>
      </c>
      <c r="BG324" t="s">
        <v>74</v>
      </c>
      <c r="BH324" t="s">
        <v>74</v>
      </c>
      <c r="BI324">
        <v>14</v>
      </c>
      <c r="BJ324" t="s">
        <v>834</v>
      </c>
      <c r="BK324" t="s">
        <v>100</v>
      </c>
      <c r="BL324" t="s">
        <v>834</v>
      </c>
      <c r="BM324" t="s">
        <v>6264</v>
      </c>
      <c r="BN324">
        <v>20457623</v>
      </c>
      <c r="BO324" t="s">
        <v>74</v>
      </c>
      <c r="BP324" t="s">
        <v>74</v>
      </c>
      <c r="BQ324" t="s">
        <v>74</v>
      </c>
      <c r="BR324" t="s">
        <v>104</v>
      </c>
      <c r="BS324" t="s">
        <v>6279</v>
      </c>
      <c r="BT324" t="str">
        <f>HYPERLINK("https%3A%2F%2Fwww.webofscience.com%2Fwos%2Fwoscc%2Ffull-record%2FWOS:000280316600002","View Full Record in Web of Science")</f>
        <v>View Full Record in Web of Science</v>
      </c>
    </row>
    <row r="325" spans="1:72" x14ac:dyDescent="0.15">
      <c r="A325" t="s">
        <v>72</v>
      </c>
      <c r="B325" t="s">
        <v>6280</v>
      </c>
      <c r="C325" t="s">
        <v>74</v>
      </c>
      <c r="D325" t="s">
        <v>74</v>
      </c>
      <c r="E325" t="s">
        <v>74</v>
      </c>
      <c r="F325" t="s">
        <v>6281</v>
      </c>
      <c r="G325" t="s">
        <v>74</v>
      </c>
      <c r="H325" t="s">
        <v>74</v>
      </c>
      <c r="I325" t="s">
        <v>6282</v>
      </c>
      <c r="J325" t="s">
        <v>6283</v>
      </c>
      <c r="K325" t="s">
        <v>74</v>
      </c>
      <c r="L325" t="s">
        <v>74</v>
      </c>
      <c r="M325" t="s">
        <v>78</v>
      </c>
      <c r="N325" t="s">
        <v>79</v>
      </c>
      <c r="O325" t="s">
        <v>74</v>
      </c>
      <c r="P325" t="s">
        <v>74</v>
      </c>
      <c r="Q325" t="s">
        <v>74</v>
      </c>
      <c r="R325" t="s">
        <v>74</v>
      </c>
      <c r="S325" t="s">
        <v>74</v>
      </c>
      <c r="T325" t="s">
        <v>6284</v>
      </c>
      <c r="U325" t="s">
        <v>6285</v>
      </c>
      <c r="V325" t="s">
        <v>6286</v>
      </c>
      <c r="W325" t="s">
        <v>6287</v>
      </c>
      <c r="X325" t="s">
        <v>6288</v>
      </c>
      <c r="Y325" t="s">
        <v>6289</v>
      </c>
      <c r="Z325" t="s">
        <v>6290</v>
      </c>
      <c r="AA325" t="s">
        <v>6291</v>
      </c>
      <c r="AB325" t="s">
        <v>6292</v>
      </c>
      <c r="AC325" t="s">
        <v>6293</v>
      </c>
      <c r="AD325" t="s">
        <v>6294</v>
      </c>
      <c r="AE325" t="s">
        <v>6295</v>
      </c>
      <c r="AF325" t="s">
        <v>74</v>
      </c>
      <c r="AG325">
        <v>60</v>
      </c>
      <c r="AH325">
        <v>15</v>
      </c>
      <c r="AI325">
        <v>16</v>
      </c>
      <c r="AJ325">
        <v>0</v>
      </c>
      <c r="AK325">
        <v>20</v>
      </c>
      <c r="AL325" t="s">
        <v>1038</v>
      </c>
      <c r="AM325" t="s">
        <v>550</v>
      </c>
      <c r="AN325" t="s">
        <v>1039</v>
      </c>
      <c r="AO325" t="s">
        <v>6296</v>
      </c>
      <c r="AP325" t="s">
        <v>6297</v>
      </c>
      <c r="AQ325" t="s">
        <v>74</v>
      </c>
      <c r="AR325" t="s">
        <v>6298</v>
      </c>
      <c r="AS325" t="s">
        <v>6299</v>
      </c>
      <c r="AT325" t="s">
        <v>5206</v>
      </c>
      <c r="AU325">
        <v>2010</v>
      </c>
      <c r="AV325">
        <v>82</v>
      </c>
      <c r="AW325">
        <v>4</v>
      </c>
      <c r="AX325" t="s">
        <v>74</v>
      </c>
      <c r="AY325" t="s">
        <v>74</v>
      </c>
      <c r="AZ325" t="s">
        <v>74</v>
      </c>
      <c r="BA325" t="s">
        <v>74</v>
      </c>
      <c r="BB325">
        <v>295</v>
      </c>
      <c r="BC325">
        <v>303</v>
      </c>
      <c r="BD325" t="s">
        <v>74</v>
      </c>
      <c r="BE325" t="s">
        <v>6300</v>
      </c>
      <c r="BF325" t="str">
        <f>HYPERLINK("http://dx.doi.org/10.1016/j.jmarsys.2010.06.004","http://dx.doi.org/10.1016/j.jmarsys.2010.06.004")</f>
        <v>http://dx.doi.org/10.1016/j.jmarsys.2010.06.004</v>
      </c>
      <c r="BG325" t="s">
        <v>74</v>
      </c>
      <c r="BH325" t="s">
        <v>74</v>
      </c>
      <c r="BI325">
        <v>9</v>
      </c>
      <c r="BJ325" t="s">
        <v>6301</v>
      </c>
      <c r="BK325" t="s">
        <v>100</v>
      </c>
      <c r="BL325" t="s">
        <v>6302</v>
      </c>
      <c r="BM325" t="s">
        <v>6303</v>
      </c>
      <c r="BN325" t="s">
        <v>74</v>
      </c>
      <c r="BO325" t="s">
        <v>74</v>
      </c>
      <c r="BP325" t="s">
        <v>74</v>
      </c>
      <c r="BQ325" t="s">
        <v>74</v>
      </c>
      <c r="BR325" t="s">
        <v>104</v>
      </c>
      <c r="BS325" t="s">
        <v>6304</v>
      </c>
      <c r="BT325" t="str">
        <f>HYPERLINK("https%3A%2F%2Fwww.webofscience.com%2Fwos%2Fwoscc%2Ffull-record%2FWOS:000281620700011","View Full Record in Web of Science")</f>
        <v>View Full Record in Web of Science</v>
      </c>
    </row>
    <row r="326" spans="1:72" x14ac:dyDescent="0.15">
      <c r="A326" t="s">
        <v>72</v>
      </c>
      <c r="B326" t="s">
        <v>6305</v>
      </c>
      <c r="C326" t="s">
        <v>74</v>
      </c>
      <c r="D326" t="s">
        <v>74</v>
      </c>
      <c r="E326" t="s">
        <v>74</v>
      </c>
      <c r="F326" t="s">
        <v>6306</v>
      </c>
      <c r="G326" t="s">
        <v>74</v>
      </c>
      <c r="H326" t="s">
        <v>74</v>
      </c>
      <c r="I326" t="s">
        <v>6307</v>
      </c>
      <c r="J326" t="s">
        <v>6283</v>
      </c>
      <c r="K326" t="s">
        <v>74</v>
      </c>
      <c r="L326" t="s">
        <v>74</v>
      </c>
      <c r="M326" t="s">
        <v>78</v>
      </c>
      <c r="N326" t="s">
        <v>79</v>
      </c>
      <c r="O326" t="s">
        <v>74</v>
      </c>
      <c r="P326" t="s">
        <v>74</v>
      </c>
      <c r="Q326" t="s">
        <v>74</v>
      </c>
      <c r="R326" t="s">
        <v>74</v>
      </c>
      <c r="S326" t="s">
        <v>74</v>
      </c>
      <c r="T326" t="s">
        <v>6308</v>
      </c>
      <c r="U326" t="s">
        <v>6309</v>
      </c>
      <c r="V326" t="s">
        <v>6310</v>
      </c>
      <c r="W326" t="s">
        <v>6311</v>
      </c>
      <c r="X326" t="s">
        <v>6312</v>
      </c>
      <c r="Y326" t="s">
        <v>6313</v>
      </c>
      <c r="Z326" t="s">
        <v>6314</v>
      </c>
      <c r="AA326" t="s">
        <v>6315</v>
      </c>
      <c r="AB326" t="s">
        <v>6316</v>
      </c>
      <c r="AC326" t="s">
        <v>6317</v>
      </c>
      <c r="AD326" t="s">
        <v>6318</v>
      </c>
      <c r="AE326" t="s">
        <v>6319</v>
      </c>
      <c r="AF326" t="s">
        <v>74</v>
      </c>
      <c r="AG326">
        <v>38</v>
      </c>
      <c r="AH326">
        <v>16</v>
      </c>
      <c r="AI326">
        <v>19</v>
      </c>
      <c r="AJ326">
        <v>2</v>
      </c>
      <c r="AK326">
        <v>17</v>
      </c>
      <c r="AL326" t="s">
        <v>1038</v>
      </c>
      <c r="AM326" t="s">
        <v>550</v>
      </c>
      <c r="AN326" t="s">
        <v>1039</v>
      </c>
      <c r="AO326" t="s">
        <v>6296</v>
      </c>
      <c r="AP326" t="s">
        <v>6297</v>
      </c>
      <c r="AQ326" t="s">
        <v>74</v>
      </c>
      <c r="AR326" t="s">
        <v>6298</v>
      </c>
      <c r="AS326" t="s">
        <v>6299</v>
      </c>
      <c r="AT326" t="s">
        <v>5206</v>
      </c>
      <c r="AU326">
        <v>2010</v>
      </c>
      <c r="AV326">
        <v>82</v>
      </c>
      <c r="AW326">
        <v>4</v>
      </c>
      <c r="AX326" t="s">
        <v>74</v>
      </c>
      <c r="AY326" t="s">
        <v>74</v>
      </c>
      <c r="AZ326" t="s">
        <v>74</v>
      </c>
      <c r="BA326" t="s">
        <v>74</v>
      </c>
      <c r="BB326">
        <v>304</v>
      </c>
      <c r="BC326">
        <v>310</v>
      </c>
      <c r="BD326" t="s">
        <v>74</v>
      </c>
      <c r="BE326" t="s">
        <v>6320</v>
      </c>
      <c r="BF326" t="str">
        <f>HYPERLINK("http://dx.doi.org/10.1016/j.jmarsys.2010.06.005","http://dx.doi.org/10.1016/j.jmarsys.2010.06.005")</f>
        <v>http://dx.doi.org/10.1016/j.jmarsys.2010.06.005</v>
      </c>
      <c r="BG326" t="s">
        <v>74</v>
      </c>
      <c r="BH326" t="s">
        <v>74</v>
      </c>
      <c r="BI326">
        <v>7</v>
      </c>
      <c r="BJ326" t="s">
        <v>6301</v>
      </c>
      <c r="BK326" t="s">
        <v>100</v>
      </c>
      <c r="BL326" t="s">
        <v>6302</v>
      </c>
      <c r="BM326" t="s">
        <v>6303</v>
      </c>
      <c r="BN326" t="s">
        <v>74</v>
      </c>
      <c r="BO326" t="s">
        <v>74</v>
      </c>
      <c r="BP326" t="s">
        <v>74</v>
      </c>
      <c r="BQ326" t="s">
        <v>74</v>
      </c>
      <c r="BR326" t="s">
        <v>104</v>
      </c>
      <c r="BS326" t="s">
        <v>6321</v>
      </c>
      <c r="BT326" t="str">
        <f>HYPERLINK("https%3A%2F%2Fwww.webofscience.com%2Fwos%2Fwoscc%2Ffull-record%2FWOS:000281620700012","View Full Record in Web of Science")</f>
        <v>View Full Record in Web of Science</v>
      </c>
    </row>
    <row r="327" spans="1:72" x14ac:dyDescent="0.15">
      <c r="A327" t="s">
        <v>72</v>
      </c>
      <c r="B327" t="s">
        <v>6322</v>
      </c>
      <c r="C327" t="s">
        <v>74</v>
      </c>
      <c r="D327" t="s">
        <v>74</v>
      </c>
      <c r="E327" t="s">
        <v>74</v>
      </c>
      <c r="F327" t="s">
        <v>6323</v>
      </c>
      <c r="G327" t="s">
        <v>74</v>
      </c>
      <c r="H327" t="s">
        <v>74</v>
      </c>
      <c r="I327" t="s">
        <v>6324</v>
      </c>
      <c r="J327" t="s">
        <v>6325</v>
      </c>
      <c r="K327" t="s">
        <v>74</v>
      </c>
      <c r="L327" t="s">
        <v>74</v>
      </c>
      <c r="M327" t="s">
        <v>78</v>
      </c>
      <c r="N327" t="s">
        <v>52</v>
      </c>
      <c r="O327" t="s">
        <v>74</v>
      </c>
      <c r="P327" t="s">
        <v>74</v>
      </c>
      <c r="Q327" t="s">
        <v>74</v>
      </c>
      <c r="R327" t="s">
        <v>74</v>
      </c>
      <c r="S327" t="s">
        <v>74</v>
      </c>
      <c r="T327" t="s">
        <v>74</v>
      </c>
      <c r="U327" t="s">
        <v>74</v>
      </c>
      <c r="V327" t="s">
        <v>74</v>
      </c>
      <c r="W327" t="s">
        <v>6326</v>
      </c>
      <c r="X327" t="s">
        <v>6327</v>
      </c>
      <c r="Y327" t="s">
        <v>74</v>
      </c>
      <c r="Z327" t="s">
        <v>74</v>
      </c>
      <c r="AA327" t="s">
        <v>6328</v>
      </c>
      <c r="AB327" t="s">
        <v>6329</v>
      </c>
      <c r="AC327" t="s">
        <v>74</v>
      </c>
      <c r="AD327" t="s">
        <v>74</v>
      </c>
      <c r="AE327" t="s">
        <v>74</v>
      </c>
      <c r="AF327" t="s">
        <v>74</v>
      </c>
      <c r="AG327">
        <v>0</v>
      </c>
      <c r="AH327">
        <v>0</v>
      </c>
      <c r="AI327">
        <v>0</v>
      </c>
      <c r="AJ327">
        <v>0</v>
      </c>
      <c r="AK327">
        <v>6</v>
      </c>
      <c r="AL327" t="s">
        <v>6330</v>
      </c>
      <c r="AM327" t="s">
        <v>6331</v>
      </c>
      <c r="AN327" t="s">
        <v>6332</v>
      </c>
      <c r="AO327" t="s">
        <v>6333</v>
      </c>
      <c r="AP327" t="s">
        <v>74</v>
      </c>
      <c r="AQ327" t="s">
        <v>74</v>
      </c>
      <c r="AR327" t="s">
        <v>6334</v>
      </c>
      <c r="AS327" t="s">
        <v>6335</v>
      </c>
      <c r="AT327" t="s">
        <v>5206</v>
      </c>
      <c r="AU327">
        <v>2010</v>
      </c>
      <c r="AV327">
        <v>42</v>
      </c>
      <c r="AW327">
        <v>3</v>
      </c>
      <c r="AX327" t="s">
        <v>74</v>
      </c>
      <c r="AY327" t="s">
        <v>74</v>
      </c>
      <c r="AZ327" t="s">
        <v>74</v>
      </c>
      <c r="BA327">
        <v>72</v>
      </c>
      <c r="BB327">
        <v>255</v>
      </c>
      <c r="BC327">
        <v>255</v>
      </c>
      <c r="BD327" t="s">
        <v>74</v>
      </c>
      <c r="BE327" t="s">
        <v>74</v>
      </c>
      <c r="BF327" t="s">
        <v>74</v>
      </c>
      <c r="BG327" t="s">
        <v>74</v>
      </c>
      <c r="BH327" t="s">
        <v>74</v>
      </c>
      <c r="BI327">
        <v>1</v>
      </c>
      <c r="BJ327" t="s">
        <v>492</v>
      </c>
      <c r="BK327" t="s">
        <v>100</v>
      </c>
      <c r="BL327" t="s">
        <v>492</v>
      </c>
      <c r="BM327" t="s">
        <v>6336</v>
      </c>
      <c r="BN327" t="s">
        <v>74</v>
      </c>
      <c r="BO327" t="s">
        <v>74</v>
      </c>
      <c r="BP327" t="s">
        <v>74</v>
      </c>
      <c r="BQ327" t="s">
        <v>74</v>
      </c>
      <c r="BR327" t="s">
        <v>104</v>
      </c>
      <c r="BS327" t="s">
        <v>6337</v>
      </c>
      <c r="BT327" t="str">
        <f>HYPERLINK("https%3A%2F%2Fwww.webofscience.com%2Fwos%2Fwoscc%2Ffull-record%2FWOS:000292715400079","View Full Record in Web of Science")</f>
        <v>View Full Record in Web of Science</v>
      </c>
    </row>
    <row r="328" spans="1:72" x14ac:dyDescent="0.15">
      <c r="A328" t="s">
        <v>72</v>
      </c>
      <c r="B328" t="s">
        <v>6338</v>
      </c>
      <c r="C328" t="s">
        <v>74</v>
      </c>
      <c r="D328" t="s">
        <v>74</v>
      </c>
      <c r="E328" t="s">
        <v>74</v>
      </c>
      <c r="F328" t="s">
        <v>6339</v>
      </c>
      <c r="G328" t="s">
        <v>74</v>
      </c>
      <c r="H328" t="s">
        <v>74</v>
      </c>
      <c r="I328" t="s">
        <v>6340</v>
      </c>
      <c r="J328" t="s">
        <v>3631</v>
      </c>
      <c r="K328" t="s">
        <v>74</v>
      </c>
      <c r="L328" t="s">
        <v>74</v>
      </c>
      <c r="M328" t="s">
        <v>78</v>
      </c>
      <c r="N328" t="s">
        <v>79</v>
      </c>
      <c r="O328" t="s">
        <v>74</v>
      </c>
      <c r="P328" t="s">
        <v>74</v>
      </c>
      <c r="Q328" t="s">
        <v>74</v>
      </c>
      <c r="R328" t="s">
        <v>74</v>
      </c>
      <c r="S328" t="s">
        <v>74</v>
      </c>
      <c r="T328" t="s">
        <v>74</v>
      </c>
      <c r="U328" t="s">
        <v>6341</v>
      </c>
      <c r="V328" t="s">
        <v>6342</v>
      </c>
      <c r="W328" t="s">
        <v>6343</v>
      </c>
      <c r="X328" t="s">
        <v>6344</v>
      </c>
      <c r="Y328" t="s">
        <v>6345</v>
      </c>
      <c r="Z328" t="s">
        <v>6346</v>
      </c>
      <c r="AA328" t="s">
        <v>74</v>
      </c>
      <c r="AB328" t="s">
        <v>74</v>
      </c>
      <c r="AC328" t="s">
        <v>6347</v>
      </c>
      <c r="AD328" t="s">
        <v>6348</v>
      </c>
      <c r="AE328" t="s">
        <v>6349</v>
      </c>
      <c r="AF328" t="s">
        <v>74</v>
      </c>
      <c r="AG328">
        <v>90</v>
      </c>
      <c r="AH328">
        <v>29</v>
      </c>
      <c r="AI328">
        <v>34</v>
      </c>
      <c r="AJ328">
        <v>0</v>
      </c>
      <c r="AK328">
        <v>38</v>
      </c>
      <c r="AL328" t="s">
        <v>3432</v>
      </c>
      <c r="AM328" t="s">
        <v>3433</v>
      </c>
      <c r="AN328" t="s">
        <v>3434</v>
      </c>
      <c r="AO328" t="s">
        <v>3640</v>
      </c>
      <c r="AP328" t="s">
        <v>6350</v>
      </c>
      <c r="AQ328" t="s">
        <v>74</v>
      </c>
      <c r="AR328" t="s">
        <v>3641</v>
      </c>
      <c r="AS328" t="s">
        <v>3642</v>
      </c>
      <c r="AT328" t="s">
        <v>5206</v>
      </c>
      <c r="AU328">
        <v>2010</v>
      </c>
      <c r="AV328">
        <v>40</v>
      </c>
      <c r="AW328">
        <v>9</v>
      </c>
      <c r="AX328" t="s">
        <v>74</v>
      </c>
      <c r="AY328" t="s">
        <v>74</v>
      </c>
      <c r="AZ328" t="s">
        <v>74</v>
      </c>
      <c r="BA328" t="s">
        <v>74</v>
      </c>
      <c r="BB328">
        <v>2107</v>
      </c>
      <c r="BC328">
        <v>2121</v>
      </c>
      <c r="BD328" t="s">
        <v>74</v>
      </c>
      <c r="BE328" t="s">
        <v>6351</v>
      </c>
      <c r="BF328" t="str">
        <f>HYPERLINK("http://dx.doi.org/10.1175/2010JPO4415.1","http://dx.doi.org/10.1175/2010JPO4415.1")</f>
        <v>http://dx.doi.org/10.1175/2010JPO4415.1</v>
      </c>
      <c r="BG328" t="s">
        <v>74</v>
      </c>
      <c r="BH328" t="s">
        <v>74</v>
      </c>
      <c r="BI328">
        <v>15</v>
      </c>
      <c r="BJ328" t="s">
        <v>1531</v>
      </c>
      <c r="BK328" t="s">
        <v>100</v>
      </c>
      <c r="BL328" t="s">
        <v>1531</v>
      </c>
      <c r="BM328" t="s">
        <v>6352</v>
      </c>
      <c r="BN328" t="s">
        <v>74</v>
      </c>
      <c r="BO328" t="s">
        <v>1000</v>
      </c>
      <c r="BP328" t="s">
        <v>74</v>
      </c>
      <c r="BQ328" t="s">
        <v>74</v>
      </c>
      <c r="BR328" t="s">
        <v>104</v>
      </c>
      <c r="BS328" t="s">
        <v>6353</v>
      </c>
      <c r="BT328" t="str">
        <f>HYPERLINK("https%3A%2F%2Fwww.webofscience.com%2Fwos%2Fwoscc%2Ffull-record%2FWOS:000282198900011","View Full Record in Web of Science")</f>
        <v>View Full Record in Web of Science</v>
      </c>
    </row>
    <row r="329" spans="1:72" x14ac:dyDescent="0.15">
      <c r="A329" t="s">
        <v>72</v>
      </c>
      <c r="B329" t="s">
        <v>6354</v>
      </c>
      <c r="C329" t="s">
        <v>74</v>
      </c>
      <c r="D329" t="s">
        <v>74</v>
      </c>
      <c r="E329" t="s">
        <v>74</v>
      </c>
      <c r="F329" t="s">
        <v>6355</v>
      </c>
      <c r="G329" t="s">
        <v>74</v>
      </c>
      <c r="H329" t="s">
        <v>74</v>
      </c>
      <c r="I329" t="s">
        <v>6356</v>
      </c>
      <c r="J329" t="s">
        <v>2408</v>
      </c>
      <c r="K329" t="s">
        <v>74</v>
      </c>
      <c r="L329" t="s">
        <v>74</v>
      </c>
      <c r="M329" t="s">
        <v>78</v>
      </c>
      <c r="N329" t="s">
        <v>79</v>
      </c>
      <c r="O329" t="s">
        <v>74</v>
      </c>
      <c r="P329" t="s">
        <v>74</v>
      </c>
      <c r="Q329" t="s">
        <v>74</v>
      </c>
      <c r="R329" t="s">
        <v>74</v>
      </c>
      <c r="S329" t="s">
        <v>74</v>
      </c>
      <c r="T329" t="s">
        <v>6357</v>
      </c>
      <c r="U329" t="s">
        <v>6358</v>
      </c>
      <c r="V329" t="s">
        <v>6359</v>
      </c>
      <c r="W329" t="s">
        <v>6360</v>
      </c>
      <c r="X329" t="s">
        <v>6361</v>
      </c>
      <c r="Y329" t="s">
        <v>6362</v>
      </c>
      <c r="Z329" t="s">
        <v>6363</v>
      </c>
      <c r="AA329" t="s">
        <v>6364</v>
      </c>
      <c r="AB329" t="s">
        <v>74</v>
      </c>
      <c r="AC329" t="s">
        <v>74</v>
      </c>
      <c r="AD329" t="s">
        <v>74</v>
      </c>
      <c r="AE329" t="s">
        <v>74</v>
      </c>
      <c r="AF329" t="s">
        <v>74</v>
      </c>
      <c r="AG329">
        <v>38</v>
      </c>
      <c r="AH329">
        <v>26</v>
      </c>
      <c r="AI329">
        <v>29</v>
      </c>
      <c r="AJ329">
        <v>0</v>
      </c>
      <c r="AK329">
        <v>6</v>
      </c>
      <c r="AL329" t="s">
        <v>923</v>
      </c>
      <c r="AM329" t="s">
        <v>339</v>
      </c>
      <c r="AN329" t="s">
        <v>340</v>
      </c>
      <c r="AO329" t="s">
        <v>2420</v>
      </c>
      <c r="AP329" t="s">
        <v>2421</v>
      </c>
      <c r="AQ329" t="s">
        <v>74</v>
      </c>
      <c r="AR329" t="s">
        <v>2422</v>
      </c>
      <c r="AS329" t="s">
        <v>2423</v>
      </c>
      <c r="AT329" t="s">
        <v>5206</v>
      </c>
      <c r="AU329">
        <v>2010</v>
      </c>
      <c r="AV329">
        <v>25</v>
      </c>
      <c r="AW329">
        <v>6</v>
      </c>
      <c r="AX329" t="s">
        <v>74</v>
      </c>
      <c r="AY329" t="s">
        <v>74</v>
      </c>
      <c r="AZ329" t="s">
        <v>74</v>
      </c>
      <c r="BA329" t="s">
        <v>74</v>
      </c>
      <c r="BB329">
        <v>844</v>
      </c>
      <c r="BC329">
        <v>849</v>
      </c>
      <c r="BD329" t="s">
        <v>74</v>
      </c>
      <c r="BE329" t="s">
        <v>6365</v>
      </c>
      <c r="BF329" t="str">
        <f>HYPERLINK("http://dx.doi.org/10.1002/jqs.1427","http://dx.doi.org/10.1002/jqs.1427")</f>
        <v>http://dx.doi.org/10.1002/jqs.1427</v>
      </c>
      <c r="BG329" t="s">
        <v>74</v>
      </c>
      <c r="BH329" t="s">
        <v>74</v>
      </c>
      <c r="BI329">
        <v>6</v>
      </c>
      <c r="BJ329" t="s">
        <v>1409</v>
      </c>
      <c r="BK329" t="s">
        <v>100</v>
      </c>
      <c r="BL329" t="s">
        <v>1410</v>
      </c>
      <c r="BM329" t="s">
        <v>6366</v>
      </c>
      <c r="BN329" t="s">
        <v>74</v>
      </c>
      <c r="BO329" t="s">
        <v>74</v>
      </c>
      <c r="BP329" t="s">
        <v>74</v>
      </c>
      <c r="BQ329" t="s">
        <v>74</v>
      </c>
      <c r="BR329" t="s">
        <v>104</v>
      </c>
      <c r="BS329" t="s">
        <v>6367</v>
      </c>
      <c r="BT329" t="str">
        <f>HYPERLINK("https%3A%2F%2Fwww.webofscience.com%2Fwos%2Fwoscc%2Ffull-record%2FWOS:000281858800003","View Full Record in Web of Science")</f>
        <v>View Full Record in Web of Science</v>
      </c>
    </row>
    <row r="330" spans="1:72" x14ac:dyDescent="0.15">
      <c r="A330" t="s">
        <v>72</v>
      </c>
      <c r="B330" t="s">
        <v>6368</v>
      </c>
      <c r="C330" t="s">
        <v>74</v>
      </c>
      <c r="D330" t="s">
        <v>74</v>
      </c>
      <c r="E330" t="s">
        <v>74</v>
      </c>
      <c r="F330" t="s">
        <v>6369</v>
      </c>
      <c r="G330" t="s">
        <v>74</v>
      </c>
      <c r="H330" t="s">
        <v>74</v>
      </c>
      <c r="I330" t="s">
        <v>6370</v>
      </c>
      <c r="J330" t="s">
        <v>6371</v>
      </c>
      <c r="K330" t="s">
        <v>74</v>
      </c>
      <c r="L330" t="s">
        <v>74</v>
      </c>
      <c r="M330" t="s">
        <v>78</v>
      </c>
      <c r="N330" t="s">
        <v>79</v>
      </c>
      <c r="O330" t="s">
        <v>74</v>
      </c>
      <c r="P330" t="s">
        <v>74</v>
      </c>
      <c r="Q330" t="s">
        <v>74</v>
      </c>
      <c r="R330" t="s">
        <v>74</v>
      </c>
      <c r="S330" t="s">
        <v>74</v>
      </c>
      <c r="T330" t="s">
        <v>74</v>
      </c>
      <c r="U330" t="s">
        <v>6372</v>
      </c>
      <c r="V330" t="s">
        <v>6373</v>
      </c>
      <c r="W330" t="s">
        <v>6374</v>
      </c>
      <c r="X330" t="s">
        <v>6375</v>
      </c>
      <c r="Y330" t="s">
        <v>6376</v>
      </c>
      <c r="Z330" t="s">
        <v>6377</v>
      </c>
      <c r="AA330" t="s">
        <v>6378</v>
      </c>
      <c r="AB330" t="s">
        <v>6379</v>
      </c>
      <c r="AC330" t="s">
        <v>6380</v>
      </c>
      <c r="AD330" t="s">
        <v>6381</v>
      </c>
      <c r="AE330" t="s">
        <v>6382</v>
      </c>
      <c r="AF330" t="s">
        <v>74</v>
      </c>
      <c r="AG330">
        <v>81</v>
      </c>
      <c r="AH330">
        <v>16</v>
      </c>
      <c r="AI330">
        <v>17</v>
      </c>
      <c r="AJ330">
        <v>1</v>
      </c>
      <c r="AK330">
        <v>4</v>
      </c>
      <c r="AL330" t="s">
        <v>6383</v>
      </c>
      <c r="AM330" t="s">
        <v>6384</v>
      </c>
      <c r="AN330" t="s">
        <v>6385</v>
      </c>
      <c r="AO330" t="s">
        <v>6386</v>
      </c>
      <c r="AP330" t="s">
        <v>74</v>
      </c>
      <c r="AQ330" t="s">
        <v>74</v>
      </c>
      <c r="AR330" t="s">
        <v>6387</v>
      </c>
      <c r="AS330" t="s">
        <v>6388</v>
      </c>
      <c r="AT330" t="s">
        <v>5206</v>
      </c>
      <c r="AU330">
        <v>2010</v>
      </c>
      <c r="AV330">
        <v>167</v>
      </c>
      <c r="AW330">
        <v>5</v>
      </c>
      <c r="AX330" t="s">
        <v>74</v>
      </c>
      <c r="AY330" t="s">
        <v>74</v>
      </c>
      <c r="AZ330" t="s">
        <v>74</v>
      </c>
      <c r="BA330" t="s">
        <v>74</v>
      </c>
      <c r="BB330">
        <v>1033</v>
      </c>
      <c r="BC330">
        <v>1048</v>
      </c>
      <c r="BD330" t="s">
        <v>74</v>
      </c>
      <c r="BE330" t="s">
        <v>6389</v>
      </c>
      <c r="BF330" t="str">
        <f>HYPERLINK("http://dx.doi.org/10.1144/0016-76492009-147","http://dx.doi.org/10.1144/0016-76492009-147")</f>
        <v>http://dx.doi.org/10.1144/0016-76492009-147</v>
      </c>
      <c r="BG330" t="s">
        <v>74</v>
      </c>
      <c r="BH330" t="s">
        <v>74</v>
      </c>
      <c r="BI330">
        <v>16</v>
      </c>
      <c r="BJ330" t="s">
        <v>1194</v>
      </c>
      <c r="BK330" t="s">
        <v>100</v>
      </c>
      <c r="BL330" t="s">
        <v>807</v>
      </c>
      <c r="BM330" t="s">
        <v>6390</v>
      </c>
      <c r="BN330" t="s">
        <v>74</v>
      </c>
      <c r="BO330" t="s">
        <v>74</v>
      </c>
      <c r="BP330" t="s">
        <v>74</v>
      </c>
      <c r="BQ330" t="s">
        <v>74</v>
      </c>
      <c r="BR330" t="s">
        <v>104</v>
      </c>
      <c r="BS330" t="s">
        <v>6391</v>
      </c>
      <c r="BT330" t="str">
        <f>HYPERLINK("https%3A%2F%2Fwww.webofscience.com%2Fwos%2Fwoscc%2Ffull-record%2FWOS:000281190700016","View Full Record in Web of Science")</f>
        <v>View Full Record in Web of Science</v>
      </c>
    </row>
    <row r="331" spans="1:72" x14ac:dyDescent="0.15">
      <c r="A331" t="s">
        <v>72</v>
      </c>
      <c r="B331" t="s">
        <v>6392</v>
      </c>
      <c r="C331" t="s">
        <v>74</v>
      </c>
      <c r="D331" t="s">
        <v>74</v>
      </c>
      <c r="E331" t="s">
        <v>74</v>
      </c>
      <c r="F331" t="s">
        <v>6393</v>
      </c>
      <c r="G331" t="s">
        <v>74</v>
      </c>
      <c r="H331" t="s">
        <v>74</v>
      </c>
      <c r="I331" t="s">
        <v>6394</v>
      </c>
      <c r="J331" t="s">
        <v>6371</v>
      </c>
      <c r="K331" t="s">
        <v>74</v>
      </c>
      <c r="L331" t="s">
        <v>74</v>
      </c>
      <c r="M331" t="s">
        <v>78</v>
      </c>
      <c r="N331" t="s">
        <v>79</v>
      </c>
      <c r="O331" t="s">
        <v>74</v>
      </c>
      <c r="P331" t="s">
        <v>74</v>
      </c>
      <c r="Q331" t="s">
        <v>74</v>
      </c>
      <c r="R331" t="s">
        <v>74</v>
      </c>
      <c r="S331" t="s">
        <v>74</v>
      </c>
      <c r="T331" t="s">
        <v>74</v>
      </c>
      <c r="U331" t="s">
        <v>6395</v>
      </c>
      <c r="V331" t="s">
        <v>6396</v>
      </c>
      <c r="W331" t="s">
        <v>6397</v>
      </c>
      <c r="X331" t="s">
        <v>6398</v>
      </c>
      <c r="Y331" t="s">
        <v>6399</v>
      </c>
      <c r="Z331" t="s">
        <v>6400</v>
      </c>
      <c r="AA331" t="s">
        <v>6401</v>
      </c>
      <c r="AB331" t="s">
        <v>6402</v>
      </c>
      <c r="AC331" t="s">
        <v>6403</v>
      </c>
      <c r="AD331" t="s">
        <v>6404</v>
      </c>
      <c r="AE331" t="s">
        <v>6405</v>
      </c>
      <c r="AF331" t="s">
        <v>74</v>
      </c>
      <c r="AG331">
        <v>59</v>
      </c>
      <c r="AH331">
        <v>22</v>
      </c>
      <c r="AI331">
        <v>28</v>
      </c>
      <c r="AJ331">
        <v>1</v>
      </c>
      <c r="AK331">
        <v>11</v>
      </c>
      <c r="AL331" t="s">
        <v>6383</v>
      </c>
      <c r="AM331" t="s">
        <v>6384</v>
      </c>
      <c r="AN331" t="s">
        <v>6385</v>
      </c>
      <c r="AO331" t="s">
        <v>6386</v>
      </c>
      <c r="AP331" t="s">
        <v>6406</v>
      </c>
      <c r="AQ331" t="s">
        <v>74</v>
      </c>
      <c r="AR331" t="s">
        <v>6387</v>
      </c>
      <c r="AS331" t="s">
        <v>6388</v>
      </c>
      <c r="AT331" t="s">
        <v>5206</v>
      </c>
      <c r="AU331">
        <v>2010</v>
      </c>
      <c r="AV331">
        <v>167</v>
      </c>
      <c r="AW331">
        <v>5</v>
      </c>
      <c r="AX331" t="s">
        <v>74</v>
      </c>
      <c r="AY331" t="s">
        <v>74</v>
      </c>
      <c r="AZ331" t="s">
        <v>74</v>
      </c>
      <c r="BA331" t="s">
        <v>74</v>
      </c>
      <c r="BB331">
        <v>1063</v>
      </c>
      <c r="BC331">
        <v>1079</v>
      </c>
      <c r="BD331" t="s">
        <v>74</v>
      </c>
      <c r="BE331" t="s">
        <v>6407</v>
      </c>
      <c r="BF331" t="str">
        <f>HYPERLINK("http://dx.doi.org/10.1144/0016-76492009-177","http://dx.doi.org/10.1144/0016-76492009-177")</f>
        <v>http://dx.doi.org/10.1144/0016-76492009-177</v>
      </c>
      <c r="BG331" t="s">
        <v>74</v>
      </c>
      <c r="BH331" t="s">
        <v>74</v>
      </c>
      <c r="BI331">
        <v>17</v>
      </c>
      <c r="BJ331" t="s">
        <v>1194</v>
      </c>
      <c r="BK331" t="s">
        <v>100</v>
      </c>
      <c r="BL331" t="s">
        <v>807</v>
      </c>
      <c r="BM331" t="s">
        <v>6390</v>
      </c>
      <c r="BN331" t="s">
        <v>74</v>
      </c>
      <c r="BO331" t="s">
        <v>74</v>
      </c>
      <c r="BP331" t="s">
        <v>74</v>
      </c>
      <c r="BQ331" t="s">
        <v>74</v>
      </c>
      <c r="BR331" t="s">
        <v>104</v>
      </c>
      <c r="BS331" t="s">
        <v>6408</v>
      </c>
      <c r="BT331" t="str">
        <f>HYPERLINK("https%3A%2F%2Fwww.webofscience.com%2Fwos%2Fwoscc%2Ffull-record%2FWOS:000281190700018","View Full Record in Web of Science")</f>
        <v>View Full Record in Web of Science</v>
      </c>
    </row>
    <row r="332" spans="1:72" x14ac:dyDescent="0.15">
      <c r="A332" t="s">
        <v>72</v>
      </c>
      <c r="B332" t="s">
        <v>6409</v>
      </c>
      <c r="C332" t="s">
        <v>74</v>
      </c>
      <c r="D332" t="s">
        <v>74</v>
      </c>
      <c r="E332" t="s">
        <v>74</v>
      </c>
      <c r="F332" t="s">
        <v>6410</v>
      </c>
      <c r="G332" t="s">
        <v>74</v>
      </c>
      <c r="H332" t="s">
        <v>74</v>
      </c>
      <c r="I332" t="s">
        <v>6411</v>
      </c>
      <c r="J332" t="s">
        <v>912</v>
      </c>
      <c r="K332" t="s">
        <v>74</v>
      </c>
      <c r="L332" t="s">
        <v>74</v>
      </c>
      <c r="M332" t="s">
        <v>78</v>
      </c>
      <c r="N332" t="s">
        <v>79</v>
      </c>
      <c r="O332" t="s">
        <v>74</v>
      </c>
      <c r="P332" t="s">
        <v>74</v>
      </c>
      <c r="Q332" t="s">
        <v>74</v>
      </c>
      <c r="R332" t="s">
        <v>74</v>
      </c>
      <c r="S332" t="s">
        <v>74</v>
      </c>
      <c r="T332" t="s">
        <v>74</v>
      </c>
      <c r="U332" t="s">
        <v>6412</v>
      </c>
      <c r="V332" t="s">
        <v>6413</v>
      </c>
      <c r="W332" t="s">
        <v>6414</v>
      </c>
      <c r="X332" t="s">
        <v>6415</v>
      </c>
      <c r="Y332" t="s">
        <v>6416</v>
      </c>
      <c r="Z332" t="s">
        <v>6417</v>
      </c>
      <c r="AA332" t="s">
        <v>6418</v>
      </c>
      <c r="AB332" t="s">
        <v>6419</v>
      </c>
      <c r="AC332" t="s">
        <v>6420</v>
      </c>
      <c r="AD332" t="s">
        <v>6421</v>
      </c>
      <c r="AE332" t="s">
        <v>6422</v>
      </c>
      <c r="AF332" t="s">
        <v>74</v>
      </c>
      <c r="AG332">
        <v>30</v>
      </c>
      <c r="AH332">
        <v>30</v>
      </c>
      <c r="AI332">
        <v>31</v>
      </c>
      <c r="AJ332">
        <v>0</v>
      </c>
      <c r="AK332">
        <v>17</v>
      </c>
      <c r="AL332" t="s">
        <v>6423</v>
      </c>
      <c r="AM332" t="s">
        <v>6424</v>
      </c>
      <c r="AN332" t="s">
        <v>6425</v>
      </c>
      <c r="AO332" t="s">
        <v>924</v>
      </c>
      <c r="AP332" t="s">
        <v>74</v>
      </c>
      <c r="AQ332" t="s">
        <v>74</v>
      </c>
      <c r="AR332" t="s">
        <v>926</v>
      </c>
      <c r="AS332" t="s">
        <v>927</v>
      </c>
      <c r="AT332" t="s">
        <v>5206</v>
      </c>
      <c r="AU332">
        <v>2010</v>
      </c>
      <c r="AV332">
        <v>55</v>
      </c>
      <c r="AW332">
        <v>5</v>
      </c>
      <c r="AX332" t="s">
        <v>74</v>
      </c>
      <c r="AY332" t="s">
        <v>74</v>
      </c>
      <c r="AZ332" t="s">
        <v>74</v>
      </c>
      <c r="BA332" t="s">
        <v>74</v>
      </c>
      <c r="BB332">
        <v>1860</v>
      </c>
      <c r="BC332">
        <v>1864</v>
      </c>
      <c r="BD332" t="s">
        <v>74</v>
      </c>
      <c r="BE332" t="s">
        <v>6426</v>
      </c>
      <c r="BF332" t="str">
        <f>HYPERLINK("http://dx.doi.org/10.4319/lo.2010.55.5.1860","http://dx.doi.org/10.4319/lo.2010.55.5.1860")</f>
        <v>http://dx.doi.org/10.4319/lo.2010.55.5.1860</v>
      </c>
      <c r="BG332" t="s">
        <v>74</v>
      </c>
      <c r="BH332" t="s">
        <v>74</v>
      </c>
      <c r="BI332">
        <v>5</v>
      </c>
      <c r="BJ332" t="s">
        <v>929</v>
      </c>
      <c r="BK332" t="s">
        <v>100</v>
      </c>
      <c r="BL332" t="s">
        <v>930</v>
      </c>
      <c r="BM332" t="s">
        <v>6427</v>
      </c>
      <c r="BN332" t="s">
        <v>74</v>
      </c>
      <c r="BO332" t="s">
        <v>394</v>
      </c>
      <c r="BP332" t="s">
        <v>74</v>
      </c>
      <c r="BQ332" t="s">
        <v>74</v>
      </c>
      <c r="BR332" t="s">
        <v>104</v>
      </c>
      <c r="BS332" t="s">
        <v>6428</v>
      </c>
      <c r="BT332" t="str">
        <f>HYPERLINK("https%3A%2F%2Fwww.webofscience.com%2Fwos%2Fwoscc%2Ffull-record%2FWOS:000283667100005","View Full Record in Web of Science")</f>
        <v>View Full Record in Web of Science</v>
      </c>
    </row>
    <row r="333" spans="1:72" x14ac:dyDescent="0.15">
      <c r="A333" t="s">
        <v>72</v>
      </c>
      <c r="B333" t="s">
        <v>6429</v>
      </c>
      <c r="C333" t="s">
        <v>74</v>
      </c>
      <c r="D333" t="s">
        <v>74</v>
      </c>
      <c r="E333" t="s">
        <v>74</v>
      </c>
      <c r="F333" t="s">
        <v>6430</v>
      </c>
      <c r="G333" t="s">
        <v>74</v>
      </c>
      <c r="H333" t="s">
        <v>74</v>
      </c>
      <c r="I333" t="s">
        <v>6431</v>
      </c>
      <c r="J333" t="s">
        <v>912</v>
      </c>
      <c r="K333" t="s">
        <v>74</v>
      </c>
      <c r="L333" t="s">
        <v>74</v>
      </c>
      <c r="M333" t="s">
        <v>78</v>
      </c>
      <c r="N333" t="s">
        <v>79</v>
      </c>
      <c r="O333" t="s">
        <v>74</v>
      </c>
      <c r="P333" t="s">
        <v>74</v>
      </c>
      <c r="Q333" t="s">
        <v>74</v>
      </c>
      <c r="R333" t="s">
        <v>74</v>
      </c>
      <c r="S333" t="s">
        <v>74</v>
      </c>
      <c r="T333" t="s">
        <v>74</v>
      </c>
      <c r="U333" t="s">
        <v>6432</v>
      </c>
      <c r="V333" t="s">
        <v>6433</v>
      </c>
      <c r="W333" t="s">
        <v>6434</v>
      </c>
      <c r="X333" t="s">
        <v>6435</v>
      </c>
      <c r="Y333" t="s">
        <v>6436</v>
      </c>
      <c r="Z333" t="s">
        <v>6437</v>
      </c>
      <c r="AA333" t="s">
        <v>74</v>
      </c>
      <c r="AB333" t="s">
        <v>6438</v>
      </c>
      <c r="AC333" t="s">
        <v>6439</v>
      </c>
      <c r="AD333" t="s">
        <v>6440</v>
      </c>
      <c r="AE333" t="s">
        <v>6441</v>
      </c>
      <c r="AF333" t="s">
        <v>74</v>
      </c>
      <c r="AG333">
        <v>46</v>
      </c>
      <c r="AH333">
        <v>181</v>
      </c>
      <c r="AI333">
        <v>206</v>
      </c>
      <c r="AJ333">
        <v>0</v>
      </c>
      <c r="AK333">
        <v>101</v>
      </c>
      <c r="AL333" t="s">
        <v>6423</v>
      </c>
      <c r="AM333" t="s">
        <v>6424</v>
      </c>
      <c r="AN333" t="s">
        <v>6425</v>
      </c>
      <c r="AO333" t="s">
        <v>924</v>
      </c>
      <c r="AP333" t="s">
        <v>74</v>
      </c>
      <c r="AQ333" t="s">
        <v>74</v>
      </c>
      <c r="AR333" t="s">
        <v>926</v>
      </c>
      <c r="AS333" t="s">
        <v>927</v>
      </c>
      <c r="AT333" t="s">
        <v>5206</v>
      </c>
      <c r="AU333">
        <v>2010</v>
      </c>
      <c r="AV333">
        <v>55</v>
      </c>
      <c r="AW333">
        <v>5</v>
      </c>
      <c r="AX333" t="s">
        <v>74</v>
      </c>
      <c r="AY333" t="s">
        <v>74</v>
      </c>
      <c r="AZ333" t="s">
        <v>74</v>
      </c>
      <c r="BA333" t="s">
        <v>74</v>
      </c>
      <c r="BB333">
        <v>2085</v>
      </c>
      <c r="BC333">
        <v>2096</v>
      </c>
      <c r="BD333" t="s">
        <v>74</v>
      </c>
      <c r="BE333" t="s">
        <v>6442</v>
      </c>
      <c r="BF333" t="str">
        <f>HYPERLINK("http://dx.doi.org/10.4319/lo.2010.55.5.2085","http://dx.doi.org/10.4319/lo.2010.55.5.2085")</f>
        <v>http://dx.doi.org/10.4319/lo.2010.55.5.2085</v>
      </c>
      <c r="BG333" t="s">
        <v>74</v>
      </c>
      <c r="BH333" t="s">
        <v>74</v>
      </c>
      <c r="BI333">
        <v>12</v>
      </c>
      <c r="BJ333" t="s">
        <v>929</v>
      </c>
      <c r="BK333" t="s">
        <v>100</v>
      </c>
      <c r="BL333" t="s">
        <v>930</v>
      </c>
      <c r="BM333" t="s">
        <v>6427</v>
      </c>
      <c r="BN333" t="s">
        <v>74</v>
      </c>
      <c r="BO333" t="s">
        <v>123</v>
      </c>
      <c r="BP333" t="s">
        <v>74</v>
      </c>
      <c r="BQ333" t="s">
        <v>74</v>
      </c>
      <c r="BR333" t="s">
        <v>104</v>
      </c>
      <c r="BS333" t="s">
        <v>6443</v>
      </c>
      <c r="BT333" t="str">
        <f>HYPERLINK("https%3A%2F%2Fwww.webofscience.com%2Fwos%2Fwoscc%2Ffull-record%2FWOS:000283667100025","View Full Record in Web of Science")</f>
        <v>View Full Record in Web of Science</v>
      </c>
    </row>
    <row r="334" spans="1:72" x14ac:dyDescent="0.15">
      <c r="A334" t="s">
        <v>72</v>
      </c>
      <c r="B334" t="s">
        <v>6444</v>
      </c>
      <c r="C334" t="s">
        <v>74</v>
      </c>
      <c r="D334" t="s">
        <v>74</v>
      </c>
      <c r="E334" t="s">
        <v>74</v>
      </c>
      <c r="F334" t="s">
        <v>6445</v>
      </c>
      <c r="G334" t="s">
        <v>74</v>
      </c>
      <c r="H334" t="s">
        <v>74</v>
      </c>
      <c r="I334" t="s">
        <v>6446</v>
      </c>
      <c r="J334" t="s">
        <v>6447</v>
      </c>
      <c r="K334" t="s">
        <v>74</v>
      </c>
      <c r="L334" t="s">
        <v>74</v>
      </c>
      <c r="M334" t="s">
        <v>78</v>
      </c>
      <c r="N334" t="s">
        <v>79</v>
      </c>
      <c r="O334" t="s">
        <v>74</v>
      </c>
      <c r="P334" t="s">
        <v>74</v>
      </c>
      <c r="Q334" t="s">
        <v>74</v>
      </c>
      <c r="R334" t="s">
        <v>74</v>
      </c>
      <c r="S334" t="s">
        <v>74</v>
      </c>
      <c r="T334" t="s">
        <v>74</v>
      </c>
      <c r="U334" t="s">
        <v>6448</v>
      </c>
      <c r="V334" t="s">
        <v>6449</v>
      </c>
      <c r="W334" t="s">
        <v>6450</v>
      </c>
      <c r="X334" t="s">
        <v>6451</v>
      </c>
      <c r="Y334" t="s">
        <v>6452</v>
      </c>
      <c r="Z334" t="s">
        <v>6453</v>
      </c>
      <c r="AA334" t="s">
        <v>74</v>
      </c>
      <c r="AB334" t="s">
        <v>74</v>
      </c>
      <c r="AC334" t="s">
        <v>6454</v>
      </c>
      <c r="AD334" t="s">
        <v>6455</v>
      </c>
      <c r="AE334" t="s">
        <v>6456</v>
      </c>
      <c r="AF334" t="s">
        <v>74</v>
      </c>
      <c r="AG334">
        <v>76</v>
      </c>
      <c r="AH334">
        <v>0</v>
      </c>
      <c r="AI334">
        <v>0</v>
      </c>
      <c r="AJ334">
        <v>0</v>
      </c>
      <c r="AK334">
        <v>3</v>
      </c>
      <c r="AL334" t="s">
        <v>6457</v>
      </c>
      <c r="AM334" t="s">
        <v>6458</v>
      </c>
      <c r="AN334" t="s">
        <v>6459</v>
      </c>
      <c r="AO334" t="s">
        <v>6460</v>
      </c>
      <c r="AP334" t="s">
        <v>6461</v>
      </c>
      <c r="AQ334" t="s">
        <v>74</v>
      </c>
      <c r="AR334" t="s">
        <v>6462</v>
      </c>
      <c r="AS334" t="s">
        <v>6463</v>
      </c>
      <c r="AT334" t="s">
        <v>5206</v>
      </c>
      <c r="AU334">
        <v>2010</v>
      </c>
      <c r="AV334">
        <v>45</v>
      </c>
      <c r="AW334">
        <v>5</v>
      </c>
      <c r="AX334" t="s">
        <v>74</v>
      </c>
      <c r="AY334" t="s">
        <v>74</v>
      </c>
      <c r="AZ334" t="s">
        <v>74</v>
      </c>
      <c r="BA334" t="s">
        <v>74</v>
      </c>
      <c r="BB334">
        <v>443</v>
      </c>
      <c r="BC334">
        <v>464</v>
      </c>
      <c r="BD334" t="s">
        <v>74</v>
      </c>
      <c r="BE334" t="s">
        <v>6464</v>
      </c>
      <c r="BF334" t="str">
        <f>HYPERLINK("http://dx.doi.org/10.1134/S0024490210050044","http://dx.doi.org/10.1134/S0024490210050044")</f>
        <v>http://dx.doi.org/10.1134/S0024490210050044</v>
      </c>
      <c r="BG334" t="s">
        <v>74</v>
      </c>
      <c r="BH334" t="s">
        <v>74</v>
      </c>
      <c r="BI334">
        <v>22</v>
      </c>
      <c r="BJ334" t="s">
        <v>6465</v>
      </c>
      <c r="BK334" t="s">
        <v>100</v>
      </c>
      <c r="BL334" t="s">
        <v>6465</v>
      </c>
      <c r="BM334" t="s">
        <v>6466</v>
      </c>
      <c r="BN334" t="s">
        <v>74</v>
      </c>
      <c r="BO334" t="s">
        <v>74</v>
      </c>
      <c r="BP334" t="s">
        <v>74</v>
      </c>
      <c r="BQ334" t="s">
        <v>74</v>
      </c>
      <c r="BR334" t="s">
        <v>104</v>
      </c>
      <c r="BS334" t="s">
        <v>6467</v>
      </c>
      <c r="BT334" t="str">
        <f>HYPERLINK("https%3A%2F%2Fwww.webofscience.com%2Fwos%2Fwoscc%2Ffull-record%2FWOS:000281761000004","View Full Record in Web of Science")</f>
        <v>View Full Record in Web of Science</v>
      </c>
    </row>
    <row r="335" spans="1:72" x14ac:dyDescent="0.15">
      <c r="A335" t="s">
        <v>72</v>
      </c>
      <c r="B335" t="s">
        <v>6468</v>
      </c>
      <c r="C335" t="s">
        <v>74</v>
      </c>
      <c r="D335" t="s">
        <v>74</v>
      </c>
      <c r="E335" t="s">
        <v>74</v>
      </c>
      <c r="F335" t="s">
        <v>6469</v>
      </c>
      <c r="G335" t="s">
        <v>74</v>
      </c>
      <c r="H335" t="s">
        <v>74</v>
      </c>
      <c r="I335" t="s">
        <v>6470</v>
      </c>
      <c r="J335" t="s">
        <v>936</v>
      </c>
      <c r="K335" t="s">
        <v>74</v>
      </c>
      <c r="L335" t="s">
        <v>74</v>
      </c>
      <c r="M335" t="s">
        <v>78</v>
      </c>
      <c r="N335" t="s">
        <v>79</v>
      </c>
      <c r="O335" t="s">
        <v>74</v>
      </c>
      <c r="P335" t="s">
        <v>74</v>
      </c>
      <c r="Q335" t="s">
        <v>74</v>
      </c>
      <c r="R335" t="s">
        <v>74</v>
      </c>
      <c r="S335" t="s">
        <v>74</v>
      </c>
      <c r="T335" t="s">
        <v>74</v>
      </c>
      <c r="U335" t="s">
        <v>6471</v>
      </c>
      <c r="V335" t="s">
        <v>6472</v>
      </c>
      <c r="W335" t="s">
        <v>6473</v>
      </c>
      <c r="X335" t="s">
        <v>6474</v>
      </c>
      <c r="Y335" t="s">
        <v>6475</v>
      </c>
      <c r="Z335" t="s">
        <v>6476</v>
      </c>
      <c r="AA335" t="s">
        <v>6477</v>
      </c>
      <c r="AB335" t="s">
        <v>6478</v>
      </c>
      <c r="AC335" t="s">
        <v>6479</v>
      </c>
      <c r="AD335" t="s">
        <v>6480</v>
      </c>
      <c r="AE335" t="s">
        <v>6481</v>
      </c>
      <c r="AF335" t="s">
        <v>74</v>
      </c>
      <c r="AG335">
        <v>36</v>
      </c>
      <c r="AH335">
        <v>25</v>
      </c>
      <c r="AI335">
        <v>26</v>
      </c>
      <c r="AJ335">
        <v>1</v>
      </c>
      <c r="AK335">
        <v>19</v>
      </c>
      <c r="AL335" t="s">
        <v>464</v>
      </c>
      <c r="AM335" t="s">
        <v>310</v>
      </c>
      <c r="AN335" t="s">
        <v>465</v>
      </c>
      <c r="AO335" t="s">
        <v>948</v>
      </c>
      <c r="AP335" t="s">
        <v>74</v>
      </c>
      <c r="AQ335" t="s">
        <v>74</v>
      </c>
      <c r="AR335" t="s">
        <v>950</v>
      </c>
      <c r="AS335" t="s">
        <v>951</v>
      </c>
      <c r="AT335" t="s">
        <v>5206</v>
      </c>
      <c r="AU335">
        <v>2010</v>
      </c>
      <c r="AV335">
        <v>157</v>
      </c>
      <c r="AW335">
        <v>9</v>
      </c>
      <c r="AX335" t="s">
        <v>74</v>
      </c>
      <c r="AY335" t="s">
        <v>74</v>
      </c>
      <c r="AZ335" t="s">
        <v>74</v>
      </c>
      <c r="BA335" t="s">
        <v>74</v>
      </c>
      <c r="BB335">
        <v>2043</v>
      </c>
      <c r="BC335">
        <v>2050</v>
      </c>
      <c r="BD335" t="s">
        <v>74</v>
      </c>
      <c r="BE335" t="s">
        <v>6482</v>
      </c>
      <c r="BF335" t="str">
        <f>HYPERLINK("http://dx.doi.org/10.1007/s00227-010-1472-y","http://dx.doi.org/10.1007/s00227-010-1472-y")</f>
        <v>http://dx.doi.org/10.1007/s00227-010-1472-y</v>
      </c>
      <c r="BG335" t="s">
        <v>74</v>
      </c>
      <c r="BH335" t="s">
        <v>74</v>
      </c>
      <c r="BI335">
        <v>8</v>
      </c>
      <c r="BJ335" t="s">
        <v>515</v>
      </c>
      <c r="BK335" t="s">
        <v>100</v>
      </c>
      <c r="BL335" t="s">
        <v>515</v>
      </c>
      <c r="BM335" t="s">
        <v>6483</v>
      </c>
      <c r="BN335" t="s">
        <v>74</v>
      </c>
      <c r="BO335" t="s">
        <v>74</v>
      </c>
      <c r="BP335" t="s">
        <v>74</v>
      </c>
      <c r="BQ335" t="s">
        <v>74</v>
      </c>
      <c r="BR335" t="s">
        <v>104</v>
      </c>
      <c r="BS335" t="s">
        <v>6484</v>
      </c>
      <c r="BT335" t="str">
        <f>HYPERLINK("https%3A%2F%2Fwww.webofscience.com%2Fwos%2Fwoscc%2Ffull-record%2FWOS:000281012700013","View Full Record in Web of Science")</f>
        <v>View Full Record in Web of Science</v>
      </c>
    </row>
    <row r="336" spans="1:72" x14ac:dyDescent="0.15">
      <c r="A336" t="s">
        <v>72</v>
      </c>
      <c r="B336" t="s">
        <v>6485</v>
      </c>
      <c r="C336" t="s">
        <v>74</v>
      </c>
      <c r="D336" t="s">
        <v>74</v>
      </c>
      <c r="E336" t="s">
        <v>74</v>
      </c>
      <c r="F336" t="s">
        <v>6486</v>
      </c>
      <c r="G336" t="s">
        <v>74</v>
      </c>
      <c r="H336" t="s">
        <v>74</v>
      </c>
      <c r="I336" t="s">
        <v>6487</v>
      </c>
      <c r="J336" t="s">
        <v>936</v>
      </c>
      <c r="K336" t="s">
        <v>74</v>
      </c>
      <c r="L336" t="s">
        <v>74</v>
      </c>
      <c r="M336" t="s">
        <v>78</v>
      </c>
      <c r="N336" t="s">
        <v>79</v>
      </c>
      <c r="O336" t="s">
        <v>74</v>
      </c>
      <c r="P336" t="s">
        <v>74</v>
      </c>
      <c r="Q336" t="s">
        <v>74</v>
      </c>
      <c r="R336" t="s">
        <v>74</v>
      </c>
      <c r="S336" t="s">
        <v>74</v>
      </c>
      <c r="T336" t="s">
        <v>74</v>
      </c>
      <c r="U336" t="s">
        <v>6488</v>
      </c>
      <c r="V336" t="s">
        <v>6489</v>
      </c>
      <c r="W336" t="s">
        <v>6490</v>
      </c>
      <c r="X336" t="s">
        <v>690</v>
      </c>
      <c r="Y336" t="s">
        <v>6018</v>
      </c>
      <c r="Z336" t="s">
        <v>3753</v>
      </c>
      <c r="AA336" t="s">
        <v>6491</v>
      </c>
      <c r="AB336" t="s">
        <v>6492</v>
      </c>
      <c r="AC336" t="s">
        <v>6493</v>
      </c>
      <c r="AD336" t="s">
        <v>6494</v>
      </c>
      <c r="AE336" t="s">
        <v>6495</v>
      </c>
      <c r="AF336" t="s">
        <v>74</v>
      </c>
      <c r="AG336">
        <v>65</v>
      </c>
      <c r="AH336">
        <v>89</v>
      </c>
      <c r="AI336">
        <v>97</v>
      </c>
      <c r="AJ336">
        <v>0</v>
      </c>
      <c r="AK336">
        <v>53</v>
      </c>
      <c r="AL336" t="s">
        <v>945</v>
      </c>
      <c r="AM336" t="s">
        <v>946</v>
      </c>
      <c r="AN336" t="s">
        <v>947</v>
      </c>
      <c r="AO336" t="s">
        <v>948</v>
      </c>
      <c r="AP336" t="s">
        <v>949</v>
      </c>
      <c r="AQ336" t="s">
        <v>74</v>
      </c>
      <c r="AR336" t="s">
        <v>950</v>
      </c>
      <c r="AS336" t="s">
        <v>951</v>
      </c>
      <c r="AT336" t="s">
        <v>5206</v>
      </c>
      <c r="AU336">
        <v>2010</v>
      </c>
      <c r="AV336">
        <v>157</v>
      </c>
      <c r="AW336">
        <v>9</v>
      </c>
      <c r="AX336" t="s">
        <v>74</v>
      </c>
      <c r="AY336" t="s">
        <v>74</v>
      </c>
      <c r="AZ336" t="s">
        <v>74</v>
      </c>
      <c r="BA336" t="s">
        <v>74</v>
      </c>
      <c r="BB336">
        <v>2051</v>
      </c>
      <c r="BC336">
        <v>2059</v>
      </c>
      <c r="BD336" t="s">
        <v>74</v>
      </c>
      <c r="BE336" t="s">
        <v>6496</v>
      </c>
      <c r="BF336" t="str">
        <f>HYPERLINK("http://dx.doi.org/10.1007/s00227-010-1473-x","http://dx.doi.org/10.1007/s00227-010-1473-x")</f>
        <v>http://dx.doi.org/10.1007/s00227-010-1473-x</v>
      </c>
      <c r="BG336" t="s">
        <v>74</v>
      </c>
      <c r="BH336" t="s">
        <v>74</v>
      </c>
      <c r="BI336">
        <v>9</v>
      </c>
      <c r="BJ336" t="s">
        <v>515</v>
      </c>
      <c r="BK336" t="s">
        <v>100</v>
      </c>
      <c r="BL336" t="s">
        <v>515</v>
      </c>
      <c r="BM336" t="s">
        <v>6483</v>
      </c>
      <c r="BN336" t="s">
        <v>74</v>
      </c>
      <c r="BO336" t="s">
        <v>74</v>
      </c>
      <c r="BP336" t="s">
        <v>74</v>
      </c>
      <c r="BQ336" t="s">
        <v>74</v>
      </c>
      <c r="BR336" t="s">
        <v>104</v>
      </c>
      <c r="BS336" t="s">
        <v>6497</v>
      </c>
      <c r="BT336" t="str">
        <f>HYPERLINK("https%3A%2F%2Fwww.webofscience.com%2Fwos%2Fwoscc%2Ffull-record%2FWOS:000281012700014","View Full Record in Web of Science")</f>
        <v>View Full Record in Web of Science</v>
      </c>
    </row>
    <row r="337" spans="1:72" x14ac:dyDescent="0.15">
      <c r="A337" t="s">
        <v>72</v>
      </c>
      <c r="B337" t="s">
        <v>6498</v>
      </c>
      <c r="C337" t="s">
        <v>74</v>
      </c>
      <c r="D337" t="s">
        <v>74</v>
      </c>
      <c r="E337" t="s">
        <v>74</v>
      </c>
      <c r="F337" t="s">
        <v>6499</v>
      </c>
      <c r="G337" t="s">
        <v>74</v>
      </c>
      <c r="H337" t="s">
        <v>74</v>
      </c>
      <c r="I337" t="s">
        <v>6500</v>
      </c>
      <c r="J337" t="s">
        <v>6501</v>
      </c>
      <c r="K337" t="s">
        <v>74</v>
      </c>
      <c r="L337" t="s">
        <v>74</v>
      </c>
      <c r="M337" t="s">
        <v>78</v>
      </c>
      <c r="N337" t="s">
        <v>79</v>
      </c>
      <c r="O337" t="s">
        <v>74</v>
      </c>
      <c r="P337" t="s">
        <v>74</v>
      </c>
      <c r="Q337" t="s">
        <v>74</v>
      </c>
      <c r="R337" t="s">
        <v>74</v>
      </c>
      <c r="S337" t="s">
        <v>74</v>
      </c>
      <c r="T337" t="s">
        <v>6502</v>
      </c>
      <c r="U337" t="s">
        <v>6503</v>
      </c>
      <c r="V337" t="s">
        <v>6504</v>
      </c>
      <c r="W337" t="s">
        <v>6505</v>
      </c>
      <c r="X337" t="s">
        <v>6506</v>
      </c>
      <c r="Y337" t="s">
        <v>6507</v>
      </c>
      <c r="Z337" t="s">
        <v>6508</v>
      </c>
      <c r="AA337" t="s">
        <v>6509</v>
      </c>
      <c r="AB337" t="s">
        <v>6510</v>
      </c>
      <c r="AC337" t="s">
        <v>6511</v>
      </c>
      <c r="AD337" t="s">
        <v>6512</v>
      </c>
      <c r="AE337" t="s">
        <v>6513</v>
      </c>
      <c r="AF337" t="s">
        <v>74</v>
      </c>
      <c r="AG337">
        <v>48</v>
      </c>
      <c r="AH337">
        <v>47</v>
      </c>
      <c r="AI337">
        <v>51</v>
      </c>
      <c r="AJ337">
        <v>1</v>
      </c>
      <c r="AK337">
        <v>36</v>
      </c>
      <c r="AL337" t="s">
        <v>923</v>
      </c>
      <c r="AM337" t="s">
        <v>339</v>
      </c>
      <c r="AN337" t="s">
        <v>340</v>
      </c>
      <c r="AO337" t="s">
        <v>6514</v>
      </c>
      <c r="AP337" t="s">
        <v>6515</v>
      </c>
      <c r="AQ337" t="s">
        <v>74</v>
      </c>
      <c r="AR337" t="s">
        <v>6516</v>
      </c>
      <c r="AS337" t="s">
        <v>6517</v>
      </c>
      <c r="AT337" t="s">
        <v>5206</v>
      </c>
      <c r="AU337">
        <v>2010</v>
      </c>
      <c r="AV337">
        <v>31</v>
      </c>
      <c r="AW337" t="s">
        <v>74</v>
      </c>
      <c r="AX337" t="s">
        <v>74</v>
      </c>
      <c r="AY337">
        <v>1</v>
      </c>
      <c r="AZ337" t="s">
        <v>74</v>
      </c>
      <c r="BA337" t="s">
        <v>74</v>
      </c>
      <c r="BB337">
        <v>39</v>
      </c>
      <c r="BC337">
        <v>51</v>
      </c>
      <c r="BD337" t="s">
        <v>74</v>
      </c>
      <c r="BE337" t="s">
        <v>6518</v>
      </c>
      <c r="BF337" t="str">
        <f>HYPERLINK("http://dx.doi.org/10.1111/j.1439-0485.2010.00384.x","http://dx.doi.org/10.1111/j.1439-0485.2010.00384.x")</f>
        <v>http://dx.doi.org/10.1111/j.1439-0485.2010.00384.x</v>
      </c>
      <c r="BG337" t="s">
        <v>74</v>
      </c>
      <c r="BH337" t="s">
        <v>74</v>
      </c>
      <c r="BI337">
        <v>13</v>
      </c>
      <c r="BJ337" t="s">
        <v>515</v>
      </c>
      <c r="BK337" t="s">
        <v>100</v>
      </c>
      <c r="BL337" t="s">
        <v>515</v>
      </c>
      <c r="BM337" t="s">
        <v>6519</v>
      </c>
      <c r="BN337" t="s">
        <v>74</v>
      </c>
      <c r="BO337" t="s">
        <v>74</v>
      </c>
      <c r="BP337" t="s">
        <v>74</v>
      </c>
      <c r="BQ337" t="s">
        <v>74</v>
      </c>
      <c r="BR337" t="s">
        <v>104</v>
      </c>
      <c r="BS337" t="s">
        <v>6520</v>
      </c>
      <c r="BT337" t="str">
        <f>HYPERLINK("https%3A%2F%2Fwww.webofscience.com%2Fwos%2Fwoscc%2Ffull-record%2FWOS:000281797000004","View Full Record in Web of Science")</f>
        <v>View Full Record in Web of Science</v>
      </c>
    </row>
    <row r="338" spans="1:72" x14ac:dyDescent="0.15">
      <c r="A338" t="s">
        <v>72</v>
      </c>
      <c r="B338" t="s">
        <v>6521</v>
      </c>
      <c r="C338" t="s">
        <v>74</v>
      </c>
      <c r="D338" t="s">
        <v>74</v>
      </c>
      <c r="E338" t="s">
        <v>74</v>
      </c>
      <c r="F338" t="s">
        <v>6522</v>
      </c>
      <c r="G338" t="s">
        <v>74</v>
      </c>
      <c r="H338" t="s">
        <v>74</v>
      </c>
      <c r="I338" t="s">
        <v>6523</v>
      </c>
      <c r="J338" t="s">
        <v>6524</v>
      </c>
      <c r="K338" t="s">
        <v>74</v>
      </c>
      <c r="L338" t="s">
        <v>74</v>
      </c>
      <c r="M338" t="s">
        <v>78</v>
      </c>
      <c r="N338" t="s">
        <v>79</v>
      </c>
      <c r="O338" t="s">
        <v>74</v>
      </c>
      <c r="P338" t="s">
        <v>74</v>
      </c>
      <c r="Q338" t="s">
        <v>74</v>
      </c>
      <c r="R338" t="s">
        <v>74</v>
      </c>
      <c r="S338" t="s">
        <v>74</v>
      </c>
      <c r="T338" t="s">
        <v>6525</v>
      </c>
      <c r="U338" t="s">
        <v>6526</v>
      </c>
      <c r="V338" t="s">
        <v>6527</v>
      </c>
      <c r="W338" t="s">
        <v>6528</v>
      </c>
      <c r="X338" t="s">
        <v>3694</v>
      </c>
      <c r="Y338" t="s">
        <v>6529</v>
      </c>
      <c r="Z338" t="s">
        <v>6530</v>
      </c>
      <c r="AA338" t="s">
        <v>6531</v>
      </c>
      <c r="AB338" t="s">
        <v>74</v>
      </c>
      <c r="AC338" t="s">
        <v>6532</v>
      </c>
      <c r="AD338" t="s">
        <v>6532</v>
      </c>
      <c r="AE338" t="s">
        <v>6533</v>
      </c>
      <c r="AF338" t="s">
        <v>74</v>
      </c>
      <c r="AG338">
        <v>38</v>
      </c>
      <c r="AH338">
        <v>23</v>
      </c>
      <c r="AI338">
        <v>27</v>
      </c>
      <c r="AJ338">
        <v>1</v>
      </c>
      <c r="AK338">
        <v>33</v>
      </c>
      <c r="AL338" t="s">
        <v>2438</v>
      </c>
      <c r="AM338" t="s">
        <v>265</v>
      </c>
      <c r="AN338" t="s">
        <v>2439</v>
      </c>
      <c r="AO338" t="s">
        <v>6534</v>
      </c>
      <c r="AP338" t="s">
        <v>6535</v>
      </c>
      <c r="AQ338" t="s">
        <v>74</v>
      </c>
      <c r="AR338" t="s">
        <v>6536</v>
      </c>
      <c r="AS338" t="s">
        <v>6537</v>
      </c>
      <c r="AT338" t="s">
        <v>5441</v>
      </c>
      <c r="AU338">
        <v>2010</v>
      </c>
      <c r="AV338">
        <v>70</v>
      </c>
      <c r="AW338" t="s">
        <v>556</v>
      </c>
      <c r="AX338" t="s">
        <v>74</v>
      </c>
      <c r="AY338" t="s">
        <v>74</v>
      </c>
      <c r="AZ338" t="s">
        <v>74</v>
      </c>
      <c r="BA338" t="s">
        <v>74</v>
      </c>
      <c r="BB338">
        <v>272</v>
      </c>
      <c r="BC338">
        <v>282</v>
      </c>
      <c r="BD338" t="s">
        <v>74</v>
      </c>
      <c r="BE338" t="s">
        <v>6538</v>
      </c>
      <c r="BF338" t="str">
        <f>HYPERLINK("http://dx.doi.org/10.1016/j.marenvres.2010.05.009","http://dx.doi.org/10.1016/j.marenvres.2010.05.009")</f>
        <v>http://dx.doi.org/10.1016/j.marenvres.2010.05.009</v>
      </c>
      <c r="BG338" t="s">
        <v>74</v>
      </c>
      <c r="BH338" t="s">
        <v>74</v>
      </c>
      <c r="BI338">
        <v>11</v>
      </c>
      <c r="BJ338" t="s">
        <v>6539</v>
      </c>
      <c r="BK338" t="s">
        <v>100</v>
      </c>
      <c r="BL338" t="s">
        <v>6540</v>
      </c>
      <c r="BM338" t="s">
        <v>6541</v>
      </c>
      <c r="BN338">
        <v>20547419</v>
      </c>
      <c r="BO338" t="s">
        <v>74</v>
      </c>
      <c r="BP338" t="s">
        <v>74</v>
      </c>
      <c r="BQ338" t="s">
        <v>74</v>
      </c>
      <c r="BR338" t="s">
        <v>104</v>
      </c>
      <c r="BS338" t="s">
        <v>6542</v>
      </c>
      <c r="BT338" t="str">
        <f>HYPERLINK("https%3A%2F%2Fwww.webofscience.com%2Fwos%2Fwoscc%2Ffull-record%2FWOS:000281347200003","View Full Record in Web of Science")</f>
        <v>View Full Record in Web of Science</v>
      </c>
    </row>
    <row r="339" spans="1:72" x14ac:dyDescent="0.15">
      <c r="A339" t="s">
        <v>72</v>
      </c>
      <c r="B339" t="s">
        <v>6543</v>
      </c>
      <c r="C339" t="s">
        <v>74</v>
      </c>
      <c r="D339" t="s">
        <v>74</v>
      </c>
      <c r="E339" t="s">
        <v>74</v>
      </c>
      <c r="F339" t="s">
        <v>6544</v>
      </c>
      <c r="G339" t="s">
        <v>74</v>
      </c>
      <c r="H339" t="s">
        <v>74</v>
      </c>
      <c r="I339" t="s">
        <v>6545</v>
      </c>
      <c r="J339" t="s">
        <v>6546</v>
      </c>
      <c r="K339" t="s">
        <v>74</v>
      </c>
      <c r="L339" t="s">
        <v>74</v>
      </c>
      <c r="M339" t="s">
        <v>78</v>
      </c>
      <c r="N339" t="s">
        <v>326</v>
      </c>
      <c r="O339" t="s">
        <v>74</v>
      </c>
      <c r="P339" t="s">
        <v>74</v>
      </c>
      <c r="Q339" t="s">
        <v>74</v>
      </c>
      <c r="R339" t="s">
        <v>74</v>
      </c>
      <c r="S339" t="s">
        <v>74</v>
      </c>
      <c r="T339" t="s">
        <v>6547</v>
      </c>
      <c r="U339" t="s">
        <v>6548</v>
      </c>
      <c r="V339" t="s">
        <v>6549</v>
      </c>
      <c r="W339" t="s">
        <v>6550</v>
      </c>
      <c r="X339" t="s">
        <v>6551</v>
      </c>
      <c r="Y339" t="s">
        <v>6552</v>
      </c>
      <c r="Z339" t="s">
        <v>6553</v>
      </c>
      <c r="AA339" t="s">
        <v>6554</v>
      </c>
      <c r="AB339" t="s">
        <v>6555</v>
      </c>
      <c r="AC339" t="s">
        <v>6556</v>
      </c>
      <c r="AD339" t="s">
        <v>6557</v>
      </c>
      <c r="AE339" t="s">
        <v>6558</v>
      </c>
      <c r="AF339" t="s">
        <v>74</v>
      </c>
      <c r="AG339">
        <v>59</v>
      </c>
      <c r="AH339">
        <v>17</v>
      </c>
      <c r="AI339">
        <v>20</v>
      </c>
      <c r="AJ339">
        <v>2</v>
      </c>
      <c r="AK339">
        <v>24</v>
      </c>
      <c r="AL339" t="s">
        <v>549</v>
      </c>
      <c r="AM339" t="s">
        <v>550</v>
      </c>
      <c r="AN339" t="s">
        <v>551</v>
      </c>
      <c r="AO339" t="s">
        <v>6559</v>
      </c>
      <c r="AP339" t="s">
        <v>6560</v>
      </c>
      <c r="AQ339" t="s">
        <v>74</v>
      </c>
      <c r="AR339" t="s">
        <v>6561</v>
      </c>
      <c r="AS339" t="s">
        <v>6562</v>
      </c>
      <c r="AT339" t="s">
        <v>5235</v>
      </c>
      <c r="AU339">
        <v>2010</v>
      </c>
      <c r="AV339">
        <v>3</v>
      </c>
      <c r="AW339" t="s">
        <v>556</v>
      </c>
      <c r="AX339" t="s">
        <v>74</v>
      </c>
      <c r="AY339" t="s">
        <v>74</v>
      </c>
      <c r="AZ339" t="s">
        <v>74</v>
      </c>
      <c r="BA339" t="s">
        <v>74</v>
      </c>
      <c r="BB339">
        <v>125</v>
      </c>
      <c r="BC339">
        <v>131</v>
      </c>
      <c r="BD339" t="s">
        <v>74</v>
      </c>
      <c r="BE339" t="s">
        <v>6563</v>
      </c>
      <c r="BF339" t="str">
        <f>HYPERLINK("http://dx.doi.org/10.1016/j.margen.2010.09.001","http://dx.doi.org/10.1016/j.margen.2010.09.001")</f>
        <v>http://dx.doi.org/10.1016/j.margen.2010.09.001</v>
      </c>
      <c r="BG339" t="s">
        <v>74</v>
      </c>
      <c r="BH339" t="s">
        <v>74</v>
      </c>
      <c r="BI339">
        <v>7</v>
      </c>
      <c r="BJ339" t="s">
        <v>6564</v>
      </c>
      <c r="BK339" t="s">
        <v>100</v>
      </c>
      <c r="BL339" t="s">
        <v>6564</v>
      </c>
      <c r="BM339" t="s">
        <v>6565</v>
      </c>
      <c r="BN339">
        <v>21798206</v>
      </c>
      <c r="BO339" t="s">
        <v>74</v>
      </c>
      <c r="BP339" t="s">
        <v>74</v>
      </c>
      <c r="BQ339" t="s">
        <v>74</v>
      </c>
      <c r="BR339" t="s">
        <v>104</v>
      </c>
      <c r="BS339" t="s">
        <v>6566</v>
      </c>
      <c r="BT339" t="str">
        <f>HYPERLINK("https%3A%2F%2Fwww.webofscience.com%2Fwos%2Fwoscc%2Ffull-record%2FWOS:000285491200001","View Full Record in Web of Science")</f>
        <v>View Full Record in Web of Science</v>
      </c>
    </row>
    <row r="340" spans="1:72" x14ac:dyDescent="0.15">
      <c r="A340" t="s">
        <v>72</v>
      </c>
      <c r="B340" t="s">
        <v>810</v>
      </c>
      <c r="C340" t="s">
        <v>74</v>
      </c>
      <c r="D340" t="s">
        <v>74</v>
      </c>
      <c r="E340" t="s">
        <v>74</v>
      </c>
      <c r="F340" t="s">
        <v>811</v>
      </c>
      <c r="G340" t="s">
        <v>74</v>
      </c>
      <c r="H340" t="s">
        <v>74</v>
      </c>
      <c r="I340" t="s">
        <v>6567</v>
      </c>
      <c r="J340" t="s">
        <v>6546</v>
      </c>
      <c r="K340" t="s">
        <v>74</v>
      </c>
      <c r="L340" t="s">
        <v>74</v>
      </c>
      <c r="M340" t="s">
        <v>78</v>
      </c>
      <c r="N340" t="s">
        <v>79</v>
      </c>
      <c r="O340" t="s">
        <v>74</v>
      </c>
      <c r="P340" t="s">
        <v>74</v>
      </c>
      <c r="Q340" t="s">
        <v>74</v>
      </c>
      <c r="R340" t="s">
        <v>74</v>
      </c>
      <c r="S340" t="s">
        <v>74</v>
      </c>
      <c r="T340" t="s">
        <v>6568</v>
      </c>
      <c r="U340" t="s">
        <v>6569</v>
      </c>
      <c r="V340" t="s">
        <v>6570</v>
      </c>
      <c r="W340" t="s">
        <v>817</v>
      </c>
      <c r="X340" t="s">
        <v>818</v>
      </c>
      <c r="Y340" t="s">
        <v>6571</v>
      </c>
      <c r="Z340" t="s">
        <v>6572</v>
      </c>
      <c r="AA340" t="s">
        <v>821</v>
      </c>
      <c r="AB340" t="s">
        <v>822</v>
      </c>
      <c r="AC340" t="s">
        <v>6573</v>
      </c>
      <c r="AD340" t="s">
        <v>6574</v>
      </c>
      <c r="AE340" t="s">
        <v>6575</v>
      </c>
      <c r="AF340" t="s">
        <v>74</v>
      </c>
      <c r="AG340">
        <v>59</v>
      </c>
      <c r="AH340">
        <v>49</v>
      </c>
      <c r="AI340">
        <v>61</v>
      </c>
      <c r="AJ340">
        <v>2</v>
      </c>
      <c r="AK340">
        <v>46</v>
      </c>
      <c r="AL340" t="s">
        <v>1038</v>
      </c>
      <c r="AM340" t="s">
        <v>550</v>
      </c>
      <c r="AN340" t="s">
        <v>1039</v>
      </c>
      <c r="AO340" t="s">
        <v>6559</v>
      </c>
      <c r="AP340" t="s">
        <v>6560</v>
      </c>
      <c r="AQ340" t="s">
        <v>74</v>
      </c>
      <c r="AR340" t="s">
        <v>6561</v>
      </c>
      <c r="AS340" t="s">
        <v>6562</v>
      </c>
      <c r="AT340" t="s">
        <v>5235</v>
      </c>
      <c r="AU340">
        <v>2010</v>
      </c>
      <c r="AV340">
        <v>3</v>
      </c>
      <c r="AW340" t="s">
        <v>556</v>
      </c>
      <c r="AX340" t="s">
        <v>74</v>
      </c>
      <c r="AY340" t="s">
        <v>74</v>
      </c>
      <c r="AZ340" t="s">
        <v>74</v>
      </c>
      <c r="BA340" t="s">
        <v>74</v>
      </c>
      <c r="BB340">
        <v>165</v>
      </c>
      <c r="BC340">
        <v>177</v>
      </c>
      <c r="BD340" t="s">
        <v>74</v>
      </c>
      <c r="BE340" t="s">
        <v>6576</v>
      </c>
      <c r="BF340" t="str">
        <f>HYPERLINK("http://dx.doi.org/10.1016/j.margen.2010.09.004","http://dx.doi.org/10.1016/j.margen.2010.09.004")</f>
        <v>http://dx.doi.org/10.1016/j.margen.2010.09.004</v>
      </c>
      <c r="BG340" t="s">
        <v>74</v>
      </c>
      <c r="BH340" t="s">
        <v>74</v>
      </c>
      <c r="BI340">
        <v>13</v>
      </c>
      <c r="BJ340" t="s">
        <v>6564</v>
      </c>
      <c r="BK340" t="s">
        <v>100</v>
      </c>
      <c r="BL340" t="s">
        <v>6564</v>
      </c>
      <c r="BM340" t="s">
        <v>6565</v>
      </c>
      <c r="BN340">
        <v>21798211</v>
      </c>
      <c r="BO340" t="s">
        <v>74</v>
      </c>
      <c r="BP340" t="s">
        <v>74</v>
      </c>
      <c r="BQ340" t="s">
        <v>74</v>
      </c>
      <c r="BR340" t="s">
        <v>104</v>
      </c>
      <c r="BS340" t="s">
        <v>6577</v>
      </c>
      <c r="BT340" t="str">
        <f>HYPERLINK("https%3A%2F%2Fwww.webofscience.com%2Fwos%2Fwoscc%2Ffull-record%2FWOS:000285491200006","View Full Record in Web of Science")</f>
        <v>View Full Record in Web of Science</v>
      </c>
    </row>
    <row r="341" spans="1:72" x14ac:dyDescent="0.15">
      <c r="A341" t="s">
        <v>72</v>
      </c>
      <c r="B341" t="s">
        <v>6578</v>
      </c>
      <c r="C341" t="s">
        <v>74</v>
      </c>
      <c r="D341" t="s">
        <v>74</v>
      </c>
      <c r="E341" t="s">
        <v>74</v>
      </c>
      <c r="F341" t="s">
        <v>6579</v>
      </c>
      <c r="G341" t="s">
        <v>74</v>
      </c>
      <c r="H341" t="s">
        <v>74</v>
      </c>
      <c r="I341" t="s">
        <v>6580</v>
      </c>
      <c r="J341" t="s">
        <v>6546</v>
      </c>
      <c r="K341" t="s">
        <v>74</v>
      </c>
      <c r="L341" t="s">
        <v>74</v>
      </c>
      <c r="M341" t="s">
        <v>78</v>
      </c>
      <c r="N341" t="s">
        <v>79</v>
      </c>
      <c r="O341" t="s">
        <v>74</v>
      </c>
      <c r="P341" t="s">
        <v>74</v>
      </c>
      <c r="Q341" t="s">
        <v>74</v>
      </c>
      <c r="R341" t="s">
        <v>74</v>
      </c>
      <c r="S341" t="s">
        <v>74</v>
      </c>
      <c r="T341" t="s">
        <v>6581</v>
      </c>
      <c r="U341" t="s">
        <v>6582</v>
      </c>
      <c r="V341" t="s">
        <v>6583</v>
      </c>
      <c r="W341" t="s">
        <v>6584</v>
      </c>
      <c r="X341" t="s">
        <v>6585</v>
      </c>
      <c r="Y341" t="s">
        <v>6586</v>
      </c>
      <c r="Z341" t="s">
        <v>6587</v>
      </c>
      <c r="AA341" t="s">
        <v>6588</v>
      </c>
      <c r="AB341" t="s">
        <v>6589</v>
      </c>
      <c r="AC341" t="s">
        <v>6590</v>
      </c>
      <c r="AD341" t="s">
        <v>6591</v>
      </c>
      <c r="AE341" t="s">
        <v>6592</v>
      </c>
      <c r="AF341" t="s">
        <v>74</v>
      </c>
      <c r="AG341">
        <v>67</v>
      </c>
      <c r="AH341">
        <v>21</v>
      </c>
      <c r="AI341">
        <v>24</v>
      </c>
      <c r="AJ341">
        <v>0</v>
      </c>
      <c r="AK341">
        <v>19</v>
      </c>
      <c r="AL341" t="s">
        <v>549</v>
      </c>
      <c r="AM341" t="s">
        <v>550</v>
      </c>
      <c r="AN341" t="s">
        <v>551</v>
      </c>
      <c r="AO341" t="s">
        <v>6559</v>
      </c>
      <c r="AP341" t="s">
        <v>6560</v>
      </c>
      <c r="AQ341" t="s">
        <v>74</v>
      </c>
      <c r="AR341" t="s">
        <v>6561</v>
      </c>
      <c r="AS341" t="s">
        <v>6562</v>
      </c>
      <c r="AT341" t="s">
        <v>5235</v>
      </c>
      <c r="AU341">
        <v>2010</v>
      </c>
      <c r="AV341">
        <v>3</v>
      </c>
      <c r="AW341" t="s">
        <v>556</v>
      </c>
      <c r="AX341" t="s">
        <v>74</v>
      </c>
      <c r="AY341" t="s">
        <v>74</v>
      </c>
      <c r="AZ341" t="s">
        <v>74</v>
      </c>
      <c r="BA341" t="s">
        <v>74</v>
      </c>
      <c r="BB341">
        <v>179</v>
      </c>
      <c r="BC341">
        <v>191</v>
      </c>
      <c r="BD341" t="s">
        <v>74</v>
      </c>
      <c r="BE341" t="s">
        <v>6593</v>
      </c>
      <c r="BF341" t="str">
        <f>HYPERLINK("http://dx.doi.org/10.1016/j.margen.2010.09.005","http://dx.doi.org/10.1016/j.margen.2010.09.005")</f>
        <v>http://dx.doi.org/10.1016/j.margen.2010.09.005</v>
      </c>
      <c r="BG341" t="s">
        <v>74</v>
      </c>
      <c r="BH341" t="s">
        <v>74</v>
      </c>
      <c r="BI341">
        <v>13</v>
      </c>
      <c r="BJ341" t="s">
        <v>6564</v>
      </c>
      <c r="BK341" t="s">
        <v>100</v>
      </c>
      <c r="BL341" t="s">
        <v>6564</v>
      </c>
      <c r="BM341" t="s">
        <v>6565</v>
      </c>
      <c r="BN341">
        <v>21798212</v>
      </c>
      <c r="BO341" t="s">
        <v>74</v>
      </c>
      <c r="BP341" t="s">
        <v>74</v>
      </c>
      <c r="BQ341" t="s">
        <v>74</v>
      </c>
      <c r="BR341" t="s">
        <v>104</v>
      </c>
      <c r="BS341" t="s">
        <v>6594</v>
      </c>
      <c r="BT341" t="str">
        <f>HYPERLINK("https%3A%2F%2Fwww.webofscience.com%2Fwos%2Fwoscc%2Ffull-record%2FWOS:000285491200007","View Full Record in Web of Science")</f>
        <v>View Full Record in Web of Science</v>
      </c>
    </row>
    <row r="342" spans="1:72" x14ac:dyDescent="0.15">
      <c r="A342" t="s">
        <v>72</v>
      </c>
      <c r="B342" t="s">
        <v>6595</v>
      </c>
      <c r="C342" t="s">
        <v>74</v>
      </c>
      <c r="D342" t="s">
        <v>74</v>
      </c>
      <c r="E342" t="s">
        <v>74</v>
      </c>
      <c r="F342" t="s">
        <v>6596</v>
      </c>
      <c r="G342" t="s">
        <v>74</v>
      </c>
      <c r="H342" t="s">
        <v>74</v>
      </c>
      <c r="I342" t="s">
        <v>6597</v>
      </c>
      <c r="J342" t="s">
        <v>6598</v>
      </c>
      <c r="K342" t="s">
        <v>74</v>
      </c>
      <c r="L342" t="s">
        <v>74</v>
      </c>
      <c r="M342" t="s">
        <v>78</v>
      </c>
      <c r="N342" t="s">
        <v>79</v>
      </c>
      <c r="O342" t="s">
        <v>74</v>
      </c>
      <c r="P342" t="s">
        <v>74</v>
      </c>
      <c r="Q342" t="s">
        <v>74</v>
      </c>
      <c r="R342" t="s">
        <v>74</v>
      </c>
      <c r="S342" t="s">
        <v>74</v>
      </c>
      <c r="T342" t="s">
        <v>6599</v>
      </c>
      <c r="U342" t="s">
        <v>6600</v>
      </c>
      <c r="V342" t="s">
        <v>6601</v>
      </c>
      <c r="W342" t="s">
        <v>6602</v>
      </c>
      <c r="X342" t="s">
        <v>6603</v>
      </c>
      <c r="Y342" t="s">
        <v>6604</v>
      </c>
      <c r="Z342" t="s">
        <v>6605</v>
      </c>
      <c r="AA342" t="s">
        <v>6606</v>
      </c>
      <c r="AB342" t="s">
        <v>6607</v>
      </c>
      <c r="AC342" t="s">
        <v>6608</v>
      </c>
      <c r="AD342" t="s">
        <v>6609</v>
      </c>
      <c r="AE342" t="s">
        <v>6610</v>
      </c>
      <c r="AF342" t="s">
        <v>74</v>
      </c>
      <c r="AG342">
        <v>32</v>
      </c>
      <c r="AH342">
        <v>8</v>
      </c>
      <c r="AI342">
        <v>8</v>
      </c>
      <c r="AJ342">
        <v>0</v>
      </c>
      <c r="AK342">
        <v>11</v>
      </c>
      <c r="AL342" t="s">
        <v>264</v>
      </c>
      <c r="AM342" t="s">
        <v>265</v>
      </c>
      <c r="AN342" t="s">
        <v>266</v>
      </c>
      <c r="AO342" t="s">
        <v>6611</v>
      </c>
      <c r="AP342" t="s">
        <v>6612</v>
      </c>
      <c r="AQ342" t="s">
        <v>74</v>
      </c>
      <c r="AR342" t="s">
        <v>6613</v>
      </c>
      <c r="AS342" t="s">
        <v>6614</v>
      </c>
      <c r="AT342" t="s">
        <v>5206</v>
      </c>
      <c r="AU342">
        <v>2010</v>
      </c>
      <c r="AV342">
        <v>60</v>
      </c>
      <c r="AW342">
        <v>9</v>
      </c>
      <c r="AX342" t="s">
        <v>74</v>
      </c>
      <c r="AY342" t="s">
        <v>74</v>
      </c>
      <c r="AZ342" t="s">
        <v>74</v>
      </c>
      <c r="BA342" t="s">
        <v>74</v>
      </c>
      <c r="BB342">
        <v>1541</v>
      </c>
      <c r="BC342">
        <v>1549</v>
      </c>
      <c r="BD342" t="s">
        <v>74</v>
      </c>
      <c r="BE342" t="s">
        <v>6615</v>
      </c>
      <c r="BF342" t="str">
        <f>HYPERLINK("http://dx.doi.org/10.1016/j.marpolbul.2010.04.013","http://dx.doi.org/10.1016/j.marpolbul.2010.04.013")</f>
        <v>http://dx.doi.org/10.1016/j.marpolbul.2010.04.013</v>
      </c>
      <c r="BG342" t="s">
        <v>74</v>
      </c>
      <c r="BH342" t="s">
        <v>74</v>
      </c>
      <c r="BI342">
        <v>9</v>
      </c>
      <c r="BJ342" t="s">
        <v>6616</v>
      </c>
      <c r="BK342" t="s">
        <v>100</v>
      </c>
      <c r="BL342" t="s">
        <v>4516</v>
      </c>
      <c r="BM342" t="s">
        <v>6617</v>
      </c>
      <c r="BN342">
        <v>20488497</v>
      </c>
      <c r="BO342" t="s">
        <v>74</v>
      </c>
      <c r="BP342" t="s">
        <v>74</v>
      </c>
      <c r="BQ342" t="s">
        <v>74</v>
      </c>
      <c r="BR342" t="s">
        <v>104</v>
      </c>
      <c r="BS342" t="s">
        <v>6618</v>
      </c>
      <c r="BT342" t="str">
        <f>HYPERLINK("https%3A%2F%2Fwww.webofscience.com%2Fwos%2Fwoscc%2Ffull-record%2FWOS:000282075500028","View Full Record in Web of Science")</f>
        <v>View Full Record in Web of Science</v>
      </c>
    </row>
    <row r="343" spans="1:72" x14ac:dyDescent="0.15">
      <c r="A343" t="s">
        <v>72</v>
      </c>
      <c r="B343" t="s">
        <v>6619</v>
      </c>
      <c r="C343" t="s">
        <v>74</v>
      </c>
      <c r="D343" t="s">
        <v>74</v>
      </c>
      <c r="E343" t="s">
        <v>74</v>
      </c>
      <c r="F343" t="s">
        <v>6620</v>
      </c>
      <c r="G343" t="s">
        <v>74</v>
      </c>
      <c r="H343" t="s">
        <v>74</v>
      </c>
      <c r="I343" t="s">
        <v>6621</v>
      </c>
      <c r="J343" t="s">
        <v>2234</v>
      </c>
      <c r="K343" t="s">
        <v>74</v>
      </c>
      <c r="L343" t="s">
        <v>74</v>
      </c>
      <c r="M343" t="s">
        <v>78</v>
      </c>
      <c r="N343" t="s">
        <v>79</v>
      </c>
      <c r="O343" t="s">
        <v>74</v>
      </c>
      <c r="P343" t="s">
        <v>74</v>
      </c>
      <c r="Q343" t="s">
        <v>74</v>
      </c>
      <c r="R343" t="s">
        <v>74</v>
      </c>
      <c r="S343" t="s">
        <v>74</v>
      </c>
      <c r="T343" t="s">
        <v>74</v>
      </c>
      <c r="U343" t="s">
        <v>6622</v>
      </c>
      <c r="V343" t="s">
        <v>6623</v>
      </c>
      <c r="W343" t="s">
        <v>6624</v>
      </c>
      <c r="X343" t="s">
        <v>6625</v>
      </c>
      <c r="Y343" t="s">
        <v>6626</v>
      </c>
      <c r="Z343" t="s">
        <v>6627</v>
      </c>
      <c r="AA343" t="s">
        <v>74</v>
      </c>
      <c r="AB343" t="s">
        <v>74</v>
      </c>
      <c r="AC343" t="s">
        <v>6628</v>
      </c>
      <c r="AD343" t="s">
        <v>6629</v>
      </c>
      <c r="AE343" t="s">
        <v>6630</v>
      </c>
      <c r="AF343" t="s">
        <v>74</v>
      </c>
      <c r="AG343">
        <v>43</v>
      </c>
      <c r="AH343">
        <v>41</v>
      </c>
      <c r="AI343">
        <v>45</v>
      </c>
      <c r="AJ343">
        <v>0</v>
      </c>
      <c r="AK343">
        <v>7</v>
      </c>
      <c r="AL343" t="s">
        <v>923</v>
      </c>
      <c r="AM343" t="s">
        <v>339</v>
      </c>
      <c r="AN343" t="s">
        <v>340</v>
      </c>
      <c r="AO343" t="s">
        <v>2246</v>
      </c>
      <c r="AP343" t="s">
        <v>3908</v>
      </c>
      <c r="AQ343" t="s">
        <v>74</v>
      </c>
      <c r="AR343" t="s">
        <v>2247</v>
      </c>
      <c r="AS343" t="s">
        <v>2248</v>
      </c>
      <c r="AT343" t="s">
        <v>5206</v>
      </c>
      <c r="AU343">
        <v>2010</v>
      </c>
      <c r="AV343">
        <v>45</v>
      </c>
      <c r="AW343">
        <v>9</v>
      </c>
      <c r="AX343" t="s">
        <v>74</v>
      </c>
      <c r="AY343" t="s">
        <v>74</v>
      </c>
      <c r="AZ343" t="s">
        <v>74</v>
      </c>
      <c r="BA343" t="s">
        <v>74</v>
      </c>
      <c r="BB343">
        <v>1513</v>
      </c>
      <c r="BC343">
        <v>1526</v>
      </c>
      <c r="BD343" t="s">
        <v>74</v>
      </c>
      <c r="BE343" t="s">
        <v>6631</v>
      </c>
      <c r="BF343" t="str">
        <f>HYPERLINK("http://dx.doi.org/10.1111/j.1945-5100.2010.01129.x","http://dx.doi.org/10.1111/j.1945-5100.2010.01129.x")</f>
        <v>http://dx.doi.org/10.1111/j.1945-5100.2010.01129.x</v>
      </c>
      <c r="BG343" t="s">
        <v>74</v>
      </c>
      <c r="BH343" t="s">
        <v>74</v>
      </c>
      <c r="BI343">
        <v>14</v>
      </c>
      <c r="BJ343" t="s">
        <v>558</v>
      </c>
      <c r="BK343" t="s">
        <v>100</v>
      </c>
      <c r="BL343" t="s">
        <v>558</v>
      </c>
      <c r="BM343" t="s">
        <v>6632</v>
      </c>
      <c r="BN343" t="s">
        <v>74</v>
      </c>
      <c r="BO343" t="s">
        <v>394</v>
      </c>
      <c r="BP343" t="s">
        <v>74</v>
      </c>
      <c r="BQ343" t="s">
        <v>74</v>
      </c>
      <c r="BR343" t="s">
        <v>104</v>
      </c>
      <c r="BS343" t="s">
        <v>6633</v>
      </c>
      <c r="BT343" t="str">
        <f>HYPERLINK("https%3A%2F%2Fwww.webofscience.com%2Fwos%2Fwoscc%2Ffull-record%2FWOS:000285303700008","View Full Record in Web of Science")</f>
        <v>View Full Record in Web of Science</v>
      </c>
    </row>
    <row r="344" spans="1:72" x14ac:dyDescent="0.15">
      <c r="A344" t="s">
        <v>72</v>
      </c>
      <c r="B344" t="s">
        <v>6634</v>
      </c>
      <c r="C344" t="s">
        <v>74</v>
      </c>
      <c r="D344" t="s">
        <v>74</v>
      </c>
      <c r="E344" t="s">
        <v>74</v>
      </c>
      <c r="F344" t="s">
        <v>6635</v>
      </c>
      <c r="G344" t="s">
        <v>74</v>
      </c>
      <c r="H344" t="s">
        <v>74</v>
      </c>
      <c r="I344" t="s">
        <v>6636</v>
      </c>
      <c r="J344" t="s">
        <v>2234</v>
      </c>
      <c r="K344" t="s">
        <v>74</v>
      </c>
      <c r="L344" t="s">
        <v>74</v>
      </c>
      <c r="M344" t="s">
        <v>78</v>
      </c>
      <c r="N344" t="s">
        <v>79</v>
      </c>
      <c r="O344" t="s">
        <v>74</v>
      </c>
      <c r="P344" t="s">
        <v>74</v>
      </c>
      <c r="Q344" t="s">
        <v>74</v>
      </c>
      <c r="R344" t="s">
        <v>74</v>
      </c>
      <c r="S344" t="s">
        <v>74</v>
      </c>
      <c r="T344" t="s">
        <v>74</v>
      </c>
      <c r="U344" t="s">
        <v>74</v>
      </c>
      <c r="V344" t="s">
        <v>6637</v>
      </c>
      <c r="W344" t="s">
        <v>6638</v>
      </c>
      <c r="X344" t="s">
        <v>6639</v>
      </c>
      <c r="Y344" t="s">
        <v>6640</v>
      </c>
      <c r="Z344" t="s">
        <v>6641</v>
      </c>
      <c r="AA344" t="s">
        <v>6642</v>
      </c>
      <c r="AB344" t="s">
        <v>6643</v>
      </c>
      <c r="AC344" t="s">
        <v>6644</v>
      </c>
      <c r="AD344" t="s">
        <v>6645</v>
      </c>
      <c r="AE344" t="s">
        <v>6646</v>
      </c>
      <c r="AF344" t="s">
        <v>74</v>
      </c>
      <c r="AG344">
        <v>3</v>
      </c>
      <c r="AH344">
        <v>16</v>
      </c>
      <c r="AI344">
        <v>19</v>
      </c>
      <c r="AJ344">
        <v>0</v>
      </c>
      <c r="AK344">
        <v>0</v>
      </c>
      <c r="AL344" t="s">
        <v>2245</v>
      </c>
      <c r="AM344" t="s">
        <v>673</v>
      </c>
      <c r="AN344" t="s">
        <v>674</v>
      </c>
      <c r="AO344" t="s">
        <v>2246</v>
      </c>
      <c r="AP344" t="s">
        <v>74</v>
      </c>
      <c r="AQ344" t="s">
        <v>74</v>
      </c>
      <c r="AR344" t="s">
        <v>2247</v>
      </c>
      <c r="AS344" t="s">
        <v>2248</v>
      </c>
      <c r="AT344" t="s">
        <v>5206</v>
      </c>
      <c r="AU344">
        <v>2010</v>
      </c>
      <c r="AV344">
        <v>45</v>
      </c>
      <c r="AW344">
        <v>9</v>
      </c>
      <c r="AX344" t="s">
        <v>74</v>
      </c>
      <c r="AY344" t="s">
        <v>74</v>
      </c>
      <c r="AZ344" t="s">
        <v>74</v>
      </c>
      <c r="BA344" t="s">
        <v>74</v>
      </c>
      <c r="BB344">
        <v>1530</v>
      </c>
      <c r="BC344">
        <v>1551</v>
      </c>
      <c r="BD344" t="s">
        <v>74</v>
      </c>
      <c r="BE344" t="s">
        <v>6647</v>
      </c>
      <c r="BF344" t="str">
        <f>HYPERLINK("http://dx.doi.org/10.1111/j.1945-5100.2010.01119.x","http://dx.doi.org/10.1111/j.1945-5100.2010.01119.x")</f>
        <v>http://dx.doi.org/10.1111/j.1945-5100.2010.01119.x</v>
      </c>
      <c r="BG344" t="s">
        <v>74</v>
      </c>
      <c r="BH344" t="s">
        <v>74</v>
      </c>
      <c r="BI344">
        <v>22</v>
      </c>
      <c r="BJ344" t="s">
        <v>558</v>
      </c>
      <c r="BK344" t="s">
        <v>100</v>
      </c>
      <c r="BL344" t="s">
        <v>558</v>
      </c>
      <c r="BM344" t="s">
        <v>6632</v>
      </c>
      <c r="BN344" t="s">
        <v>74</v>
      </c>
      <c r="BO344" t="s">
        <v>74</v>
      </c>
      <c r="BP344" t="s">
        <v>74</v>
      </c>
      <c r="BQ344" t="s">
        <v>74</v>
      </c>
      <c r="BR344" t="s">
        <v>104</v>
      </c>
      <c r="BS344" t="s">
        <v>6648</v>
      </c>
      <c r="BT344" t="str">
        <f>HYPERLINK("https%3A%2F%2Fwww.webofscience.com%2Fwos%2Fwoscc%2Ffull-record%2FWOS:000285303700011","View Full Record in Web of Science")</f>
        <v>View Full Record in Web of Science</v>
      </c>
    </row>
    <row r="345" spans="1:72" x14ac:dyDescent="0.15">
      <c r="A345" t="s">
        <v>72</v>
      </c>
      <c r="B345" t="s">
        <v>6649</v>
      </c>
      <c r="C345" t="s">
        <v>74</v>
      </c>
      <c r="D345" t="s">
        <v>74</v>
      </c>
      <c r="E345" t="s">
        <v>74</v>
      </c>
      <c r="F345" t="s">
        <v>6650</v>
      </c>
      <c r="G345" t="s">
        <v>74</v>
      </c>
      <c r="H345" t="s">
        <v>74</v>
      </c>
      <c r="I345" t="s">
        <v>6651</v>
      </c>
      <c r="J345" t="s">
        <v>1762</v>
      </c>
      <c r="K345" t="s">
        <v>74</v>
      </c>
      <c r="L345" t="s">
        <v>74</v>
      </c>
      <c r="M345" t="s">
        <v>78</v>
      </c>
      <c r="N345" t="s">
        <v>79</v>
      </c>
      <c r="O345" t="s">
        <v>74</v>
      </c>
      <c r="P345" t="s">
        <v>74</v>
      </c>
      <c r="Q345" t="s">
        <v>74</v>
      </c>
      <c r="R345" t="s">
        <v>74</v>
      </c>
      <c r="S345" t="s">
        <v>74</v>
      </c>
      <c r="T345" t="s">
        <v>74</v>
      </c>
      <c r="U345" t="s">
        <v>6652</v>
      </c>
      <c r="V345" t="s">
        <v>6653</v>
      </c>
      <c r="W345" t="s">
        <v>6654</v>
      </c>
      <c r="X345" t="s">
        <v>2560</v>
      </c>
      <c r="Y345" t="s">
        <v>6655</v>
      </c>
      <c r="Z345" t="s">
        <v>6656</v>
      </c>
      <c r="AA345" t="s">
        <v>6657</v>
      </c>
      <c r="AB345" t="s">
        <v>6658</v>
      </c>
      <c r="AC345" t="s">
        <v>6659</v>
      </c>
      <c r="AD345" t="s">
        <v>6660</v>
      </c>
      <c r="AE345" t="s">
        <v>6661</v>
      </c>
      <c r="AF345" t="s">
        <v>74</v>
      </c>
      <c r="AG345">
        <v>35</v>
      </c>
      <c r="AH345">
        <v>209</v>
      </c>
      <c r="AI345">
        <v>241</v>
      </c>
      <c r="AJ345">
        <v>7</v>
      </c>
      <c r="AK345">
        <v>179</v>
      </c>
      <c r="AL345" t="s">
        <v>1774</v>
      </c>
      <c r="AM345" t="s">
        <v>1598</v>
      </c>
      <c r="AN345" t="s">
        <v>1775</v>
      </c>
      <c r="AO345" t="s">
        <v>1776</v>
      </c>
      <c r="AP345" t="s">
        <v>74</v>
      </c>
      <c r="AQ345" t="s">
        <v>74</v>
      </c>
      <c r="AR345" t="s">
        <v>1762</v>
      </c>
      <c r="AS345" t="s">
        <v>1777</v>
      </c>
      <c r="AT345" t="s">
        <v>5206</v>
      </c>
      <c r="AU345">
        <v>2010</v>
      </c>
      <c r="AV345">
        <v>467</v>
      </c>
      <c r="AW345">
        <v>7315</v>
      </c>
      <c r="AX345" t="s">
        <v>74</v>
      </c>
      <c r="AY345" t="s">
        <v>74</v>
      </c>
      <c r="AZ345" t="s">
        <v>74</v>
      </c>
      <c r="BA345" t="s">
        <v>74</v>
      </c>
      <c r="BB345">
        <v>550</v>
      </c>
      <c r="BC345">
        <v>554</v>
      </c>
      <c r="BD345" t="s">
        <v>74</v>
      </c>
      <c r="BE345" t="s">
        <v>6662</v>
      </c>
      <c r="BF345" t="str">
        <f>HYPERLINK("http://dx.doi.org/10.1038/nature09403","http://dx.doi.org/10.1038/nature09403")</f>
        <v>http://dx.doi.org/10.1038/nature09403</v>
      </c>
      <c r="BG345" t="s">
        <v>74</v>
      </c>
      <c r="BH345" t="s">
        <v>74</v>
      </c>
      <c r="BI345">
        <v>5</v>
      </c>
      <c r="BJ345" t="s">
        <v>444</v>
      </c>
      <c r="BK345" t="s">
        <v>100</v>
      </c>
      <c r="BL345" t="s">
        <v>445</v>
      </c>
      <c r="BM345" t="s">
        <v>6663</v>
      </c>
      <c r="BN345">
        <v>20882009</v>
      </c>
      <c r="BO345" t="s">
        <v>74</v>
      </c>
      <c r="BP345" t="s">
        <v>74</v>
      </c>
      <c r="BQ345" t="s">
        <v>74</v>
      </c>
      <c r="BR345" t="s">
        <v>104</v>
      </c>
      <c r="BS345" t="s">
        <v>6664</v>
      </c>
      <c r="BT345" t="str">
        <f>HYPERLINK("https%3A%2F%2Fwww.webofscience.com%2Fwos%2Fwoscc%2Ffull-record%2FWOS:000282273100030","View Full Record in Web of Science")</f>
        <v>View Full Record in Web of Science</v>
      </c>
    </row>
    <row r="346" spans="1:72" x14ac:dyDescent="0.15">
      <c r="A346" t="s">
        <v>72</v>
      </c>
      <c r="B346" t="s">
        <v>6665</v>
      </c>
      <c r="C346" t="s">
        <v>74</v>
      </c>
      <c r="D346" t="s">
        <v>74</v>
      </c>
      <c r="E346" t="s">
        <v>74</v>
      </c>
      <c r="F346" t="s">
        <v>6666</v>
      </c>
      <c r="G346" t="s">
        <v>74</v>
      </c>
      <c r="H346" t="s">
        <v>74</v>
      </c>
      <c r="I346" t="s">
        <v>6667</v>
      </c>
      <c r="J346" t="s">
        <v>6668</v>
      </c>
      <c r="K346" t="s">
        <v>74</v>
      </c>
      <c r="L346" t="s">
        <v>74</v>
      </c>
      <c r="M346" t="s">
        <v>78</v>
      </c>
      <c r="N346" t="s">
        <v>79</v>
      </c>
      <c r="O346" t="s">
        <v>74</v>
      </c>
      <c r="P346" t="s">
        <v>74</v>
      </c>
      <c r="Q346" t="s">
        <v>74</v>
      </c>
      <c r="R346" t="s">
        <v>74</v>
      </c>
      <c r="S346" t="s">
        <v>74</v>
      </c>
      <c r="T346" t="s">
        <v>74</v>
      </c>
      <c r="U346" t="s">
        <v>6669</v>
      </c>
      <c r="V346" t="s">
        <v>6670</v>
      </c>
      <c r="W346" t="s">
        <v>6671</v>
      </c>
      <c r="X346" t="s">
        <v>6672</v>
      </c>
      <c r="Y346" t="s">
        <v>6673</v>
      </c>
      <c r="Z346" t="s">
        <v>6674</v>
      </c>
      <c r="AA346" t="s">
        <v>6675</v>
      </c>
      <c r="AB346" t="s">
        <v>6676</v>
      </c>
      <c r="AC346" t="s">
        <v>6677</v>
      </c>
      <c r="AD346" t="s">
        <v>6678</v>
      </c>
      <c r="AE346" t="s">
        <v>6679</v>
      </c>
      <c r="AF346" t="s">
        <v>74</v>
      </c>
      <c r="AG346">
        <v>36</v>
      </c>
      <c r="AH346">
        <v>126</v>
      </c>
      <c r="AI346">
        <v>152</v>
      </c>
      <c r="AJ346">
        <v>2</v>
      </c>
      <c r="AK346">
        <v>68</v>
      </c>
      <c r="AL346" t="s">
        <v>1774</v>
      </c>
      <c r="AM346" t="s">
        <v>1598</v>
      </c>
      <c r="AN346" t="s">
        <v>1775</v>
      </c>
      <c r="AO346" t="s">
        <v>6680</v>
      </c>
      <c r="AP346" t="s">
        <v>74</v>
      </c>
      <c r="AQ346" t="s">
        <v>74</v>
      </c>
      <c r="AR346" t="s">
        <v>6681</v>
      </c>
      <c r="AS346" t="s">
        <v>6682</v>
      </c>
      <c r="AT346" t="s">
        <v>5206</v>
      </c>
      <c r="AU346">
        <v>2010</v>
      </c>
      <c r="AV346">
        <v>1</v>
      </c>
      <c r="AW346" t="s">
        <v>74</v>
      </c>
      <c r="AX346" t="s">
        <v>74</v>
      </c>
      <c r="AY346" t="s">
        <v>74</v>
      </c>
      <c r="AZ346" t="s">
        <v>74</v>
      </c>
      <c r="BA346" t="s">
        <v>74</v>
      </c>
      <c r="BB346" t="s">
        <v>74</v>
      </c>
      <c r="BC346" t="s">
        <v>74</v>
      </c>
      <c r="BD346">
        <v>67</v>
      </c>
      <c r="BE346" t="s">
        <v>6683</v>
      </c>
      <c r="BF346" t="str">
        <f>HYPERLINK("http://dx.doi.org/10.1038/ncomms1072","http://dx.doi.org/10.1038/ncomms1072")</f>
        <v>http://dx.doi.org/10.1038/ncomms1072</v>
      </c>
      <c r="BG346" t="s">
        <v>74</v>
      </c>
      <c r="BH346" t="s">
        <v>74</v>
      </c>
      <c r="BI346">
        <v>6</v>
      </c>
      <c r="BJ346" t="s">
        <v>444</v>
      </c>
      <c r="BK346" t="s">
        <v>100</v>
      </c>
      <c r="BL346" t="s">
        <v>445</v>
      </c>
      <c r="BM346" t="s">
        <v>6684</v>
      </c>
      <c r="BN346">
        <v>20842198</v>
      </c>
      <c r="BO346" t="s">
        <v>394</v>
      </c>
      <c r="BP346" t="s">
        <v>74</v>
      </c>
      <c r="BQ346" t="s">
        <v>74</v>
      </c>
      <c r="BR346" t="s">
        <v>104</v>
      </c>
      <c r="BS346" t="s">
        <v>6685</v>
      </c>
      <c r="BT346" t="str">
        <f>HYPERLINK("https%3A%2F%2Fwww.webofscience.com%2Fwos%2Fwoscc%2Ffull-record%2FWOS:000283646500006","View Full Record in Web of Science")</f>
        <v>View Full Record in Web of Science</v>
      </c>
    </row>
    <row r="347" spans="1:72" x14ac:dyDescent="0.15">
      <c r="A347" t="s">
        <v>72</v>
      </c>
      <c r="B347" t="s">
        <v>6686</v>
      </c>
      <c r="C347" t="s">
        <v>74</v>
      </c>
      <c r="D347" t="s">
        <v>74</v>
      </c>
      <c r="E347" t="s">
        <v>74</v>
      </c>
      <c r="F347" t="s">
        <v>6687</v>
      </c>
      <c r="G347" t="s">
        <v>74</v>
      </c>
      <c r="H347" t="s">
        <v>74</v>
      </c>
      <c r="I347" t="s">
        <v>6688</v>
      </c>
      <c r="J347" t="s">
        <v>6689</v>
      </c>
      <c r="K347" t="s">
        <v>74</v>
      </c>
      <c r="L347" t="s">
        <v>74</v>
      </c>
      <c r="M347" t="s">
        <v>78</v>
      </c>
      <c r="N347" t="s">
        <v>79</v>
      </c>
      <c r="O347" t="s">
        <v>74</v>
      </c>
      <c r="P347" t="s">
        <v>74</v>
      </c>
      <c r="Q347" t="s">
        <v>74</v>
      </c>
      <c r="R347" t="s">
        <v>74</v>
      </c>
      <c r="S347" t="s">
        <v>74</v>
      </c>
      <c r="T347" t="s">
        <v>6690</v>
      </c>
      <c r="U347" t="s">
        <v>6691</v>
      </c>
      <c r="V347" t="s">
        <v>6692</v>
      </c>
      <c r="W347" t="s">
        <v>6693</v>
      </c>
      <c r="X347" t="s">
        <v>6694</v>
      </c>
      <c r="Y347" t="s">
        <v>6695</v>
      </c>
      <c r="Z347" t="s">
        <v>6476</v>
      </c>
      <c r="AA347" t="s">
        <v>6696</v>
      </c>
      <c r="AB347" t="s">
        <v>6697</v>
      </c>
      <c r="AC347" t="s">
        <v>6698</v>
      </c>
      <c r="AD347" t="s">
        <v>6699</v>
      </c>
      <c r="AE347" t="s">
        <v>6700</v>
      </c>
      <c r="AF347" t="s">
        <v>74</v>
      </c>
      <c r="AG347">
        <v>82</v>
      </c>
      <c r="AH347">
        <v>41</v>
      </c>
      <c r="AI347">
        <v>43</v>
      </c>
      <c r="AJ347">
        <v>0</v>
      </c>
      <c r="AK347">
        <v>48</v>
      </c>
      <c r="AL347" t="s">
        <v>464</v>
      </c>
      <c r="AM347" t="s">
        <v>310</v>
      </c>
      <c r="AN347" t="s">
        <v>971</v>
      </c>
      <c r="AO347" t="s">
        <v>6701</v>
      </c>
      <c r="AP347" t="s">
        <v>6702</v>
      </c>
      <c r="AQ347" t="s">
        <v>74</v>
      </c>
      <c r="AR347" t="s">
        <v>6689</v>
      </c>
      <c r="AS347" t="s">
        <v>6703</v>
      </c>
      <c r="AT347" t="s">
        <v>5206</v>
      </c>
      <c r="AU347">
        <v>2010</v>
      </c>
      <c r="AV347">
        <v>97</v>
      </c>
      <c r="AW347">
        <v>9</v>
      </c>
      <c r="AX347" t="s">
        <v>74</v>
      </c>
      <c r="AY347" t="s">
        <v>74</v>
      </c>
      <c r="AZ347" t="s">
        <v>74</v>
      </c>
      <c r="BA347" t="s">
        <v>74</v>
      </c>
      <c r="BB347">
        <v>809</v>
      </c>
      <c r="BC347">
        <v>817</v>
      </c>
      <c r="BD347" t="s">
        <v>74</v>
      </c>
      <c r="BE347" t="s">
        <v>6704</v>
      </c>
      <c r="BF347" t="str">
        <f>HYPERLINK("http://dx.doi.org/10.1007/s00114-010-0698-3","http://dx.doi.org/10.1007/s00114-010-0698-3")</f>
        <v>http://dx.doi.org/10.1007/s00114-010-0698-3</v>
      </c>
      <c r="BG347" t="s">
        <v>74</v>
      </c>
      <c r="BH347" t="s">
        <v>74</v>
      </c>
      <c r="BI347">
        <v>9</v>
      </c>
      <c r="BJ347" t="s">
        <v>444</v>
      </c>
      <c r="BK347" t="s">
        <v>100</v>
      </c>
      <c r="BL347" t="s">
        <v>445</v>
      </c>
      <c r="BM347" t="s">
        <v>6705</v>
      </c>
      <c r="BN347">
        <v>20652673</v>
      </c>
      <c r="BO347" t="s">
        <v>1935</v>
      </c>
      <c r="BP347" t="s">
        <v>74</v>
      </c>
      <c r="BQ347" t="s">
        <v>74</v>
      </c>
      <c r="BR347" t="s">
        <v>104</v>
      </c>
      <c r="BS347" t="s">
        <v>6706</v>
      </c>
      <c r="BT347" t="str">
        <f>HYPERLINK("https%3A%2F%2Fwww.webofscience.com%2Fwos%2Fwoscc%2Ffull-record%2FWOS:000281393700003","View Full Record in Web of Science")</f>
        <v>View Full Record in Web of Science</v>
      </c>
    </row>
    <row r="348" spans="1:72" x14ac:dyDescent="0.15">
      <c r="A348" t="s">
        <v>72</v>
      </c>
      <c r="B348" t="s">
        <v>6707</v>
      </c>
      <c r="C348" t="s">
        <v>74</v>
      </c>
      <c r="D348" t="s">
        <v>74</v>
      </c>
      <c r="E348" t="s">
        <v>74</v>
      </c>
      <c r="F348" t="s">
        <v>6708</v>
      </c>
      <c r="G348" t="s">
        <v>74</v>
      </c>
      <c r="H348" t="s">
        <v>74</v>
      </c>
      <c r="I348" t="s">
        <v>6709</v>
      </c>
      <c r="J348" t="s">
        <v>1226</v>
      </c>
      <c r="K348" t="s">
        <v>74</v>
      </c>
      <c r="L348" t="s">
        <v>74</v>
      </c>
      <c r="M348" t="s">
        <v>78</v>
      </c>
      <c r="N348" t="s">
        <v>79</v>
      </c>
      <c r="O348" t="s">
        <v>74</v>
      </c>
      <c r="P348" t="s">
        <v>74</v>
      </c>
      <c r="Q348" t="s">
        <v>74</v>
      </c>
      <c r="R348" t="s">
        <v>74</v>
      </c>
      <c r="S348" t="s">
        <v>74</v>
      </c>
      <c r="T348" t="s">
        <v>6710</v>
      </c>
      <c r="U348" t="s">
        <v>6711</v>
      </c>
      <c r="V348" t="s">
        <v>6712</v>
      </c>
      <c r="W348" t="s">
        <v>6713</v>
      </c>
      <c r="X348" t="s">
        <v>6714</v>
      </c>
      <c r="Y348" t="s">
        <v>6715</v>
      </c>
      <c r="Z348" t="s">
        <v>6716</v>
      </c>
      <c r="AA348" t="s">
        <v>6717</v>
      </c>
      <c r="AB348" t="s">
        <v>6718</v>
      </c>
      <c r="AC348" t="s">
        <v>6719</v>
      </c>
      <c r="AD348" t="s">
        <v>6720</v>
      </c>
      <c r="AE348" t="s">
        <v>6721</v>
      </c>
      <c r="AF348" t="s">
        <v>74</v>
      </c>
      <c r="AG348">
        <v>89</v>
      </c>
      <c r="AH348">
        <v>46</v>
      </c>
      <c r="AI348">
        <v>58</v>
      </c>
      <c r="AJ348">
        <v>1</v>
      </c>
      <c r="AK348">
        <v>22</v>
      </c>
      <c r="AL348" t="s">
        <v>1038</v>
      </c>
      <c r="AM348" t="s">
        <v>550</v>
      </c>
      <c r="AN348" t="s">
        <v>1039</v>
      </c>
      <c r="AO348" t="s">
        <v>1236</v>
      </c>
      <c r="AP348" t="s">
        <v>1237</v>
      </c>
      <c r="AQ348" t="s">
        <v>74</v>
      </c>
      <c r="AR348" t="s">
        <v>1238</v>
      </c>
      <c r="AS348" t="s">
        <v>1239</v>
      </c>
      <c r="AT348" t="s">
        <v>5730</v>
      </c>
      <c r="AU348">
        <v>2010</v>
      </c>
      <c r="AV348">
        <v>295</v>
      </c>
      <c r="AW348" t="s">
        <v>4513</v>
      </c>
      <c r="AX348" t="s">
        <v>74</v>
      </c>
      <c r="AY348" t="s">
        <v>74</v>
      </c>
      <c r="AZ348" t="s">
        <v>74</v>
      </c>
      <c r="BA348" t="s">
        <v>74</v>
      </c>
      <c r="BB348">
        <v>215</v>
      </c>
      <c r="BC348">
        <v>225</v>
      </c>
      <c r="BD348" t="s">
        <v>74</v>
      </c>
      <c r="BE348" t="s">
        <v>6722</v>
      </c>
      <c r="BF348" t="str">
        <f>HYPERLINK("http://dx.doi.org/10.1016/j.palaeo.2010.05.039","http://dx.doi.org/10.1016/j.palaeo.2010.05.039")</f>
        <v>http://dx.doi.org/10.1016/j.palaeo.2010.05.039</v>
      </c>
      <c r="BG348" t="s">
        <v>74</v>
      </c>
      <c r="BH348" t="s">
        <v>74</v>
      </c>
      <c r="BI348">
        <v>11</v>
      </c>
      <c r="BJ348" t="s">
        <v>1241</v>
      </c>
      <c r="BK348" t="s">
        <v>100</v>
      </c>
      <c r="BL348" t="s">
        <v>1242</v>
      </c>
      <c r="BM348" t="s">
        <v>6723</v>
      </c>
      <c r="BN348" t="s">
        <v>74</v>
      </c>
      <c r="BO348" t="s">
        <v>74</v>
      </c>
      <c r="BP348" t="s">
        <v>74</v>
      </c>
      <c r="BQ348" t="s">
        <v>74</v>
      </c>
      <c r="BR348" t="s">
        <v>104</v>
      </c>
      <c r="BS348" t="s">
        <v>6724</v>
      </c>
      <c r="BT348" t="str">
        <f>HYPERLINK("https%3A%2F%2Fwww.webofscience.com%2Fwos%2Fwoscc%2Ffull-record%2FWOS:000281228800015","View Full Record in Web of Science")</f>
        <v>View Full Record in Web of Science</v>
      </c>
    </row>
    <row r="349" spans="1:72" x14ac:dyDescent="0.15">
      <c r="A349" t="s">
        <v>72</v>
      </c>
      <c r="B349" t="s">
        <v>6725</v>
      </c>
      <c r="C349" t="s">
        <v>74</v>
      </c>
      <c r="D349" t="s">
        <v>74</v>
      </c>
      <c r="E349" t="s">
        <v>74</v>
      </c>
      <c r="F349" t="s">
        <v>6726</v>
      </c>
      <c r="G349" t="s">
        <v>74</v>
      </c>
      <c r="H349" t="s">
        <v>74</v>
      </c>
      <c r="I349" t="s">
        <v>6727</v>
      </c>
      <c r="J349" t="s">
        <v>6728</v>
      </c>
      <c r="K349" t="s">
        <v>74</v>
      </c>
      <c r="L349" t="s">
        <v>74</v>
      </c>
      <c r="M349" t="s">
        <v>78</v>
      </c>
      <c r="N349" t="s">
        <v>79</v>
      </c>
      <c r="O349" t="s">
        <v>74</v>
      </c>
      <c r="P349" t="s">
        <v>74</v>
      </c>
      <c r="Q349" t="s">
        <v>74</v>
      </c>
      <c r="R349" t="s">
        <v>74</v>
      </c>
      <c r="S349" t="s">
        <v>74</v>
      </c>
      <c r="T349" t="s">
        <v>74</v>
      </c>
      <c r="U349" t="s">
        <v>6729</v>
      </c>
      <c r="V349" t="s">
        <v>6730</v>
      </c>
      <c r="W349" t="s">
        <v>6731</v>
      </c>
      <c r="X349" t="s">
        <v>6732</v>
      </c>
      <c r="Y349" t="s">
        <v>6733</v>
      </c>
      <c r="Z349" t="s">
        <v>6734</v>
      </c>
      <c r="AA349" t="s">
        <v>6735</v>
      </c>
      <c r="AB349" t="s">
        <v>6736</v>
      </c>
      <c r="AC349" t="s">
        <v>6737</v>
      </c>
      <c r="AD349" t="s">
        <v>6737</v>
      </c>
      <c r="AE349" t="s">
        <v>6738</v>
      </c>
      <c r="AF349" t="s">
        <v>74</v>
      </c>
      <c r="AG349">
        <v>42</v>
      </c>
      <c r="AH349">
        <v>33</v>
      </c>
      <c r="AI349">
        <v>35</v>
      </c>
      <c r="AJ349">
        <v>0</v>
      </c>
      <c r="AK349">
        <v>21</v>
      </c>
      <c r="AL349" t="s">
        <v>923</v>
      </c>
      <c r="AM349" t="s">
        <v>339</v>
      </c>
      <c r="AN349" t="s">
        <v>340</v>
      </c>
      <c r="AO349" t="s">
        <v>6739</v>
      </c>
      <c r="AP349" t="s">
        <v>6740</v>
      </c>
      <c r="AQ349" t="s">
        <v>74</v>
      </c>
      <c r="AR349" t="s">
        <v>6741</v>
      </c>
      <c r="AS349" t="s">
        <v>6742</v>
      </c>
      <c r="AT349" t="s">
        <v>5441</v>
      </c>
      <c r="AU349">
        <v>2010</v>
      </c>
      <c r="AV349">
        <v>86</v>
      </c>
      <c r="AW349">
        <v>5</v>
      </c>
      <c r="AX349" t="s">
        <v>74</v>
      </c>
      <c r="AY349" t="s">
        <v>74</v>
      </c>
      <c r="AZ349" t="s">
        <v>74</v>
      </c>
      <c r="BA349" t="s">
        <v>74</v>
      </c>
      <c r="BB349">
        <v>1091</v>
      </c>
      <c r="BC349">
        <v>1098</v>
      </c>
      <c r="BD349" t="s">
        <v>74</v>
      </c>
      <c r="BE349" t="s">
        <v>6743</v>
      </c>
      <c r="BF349" t="str">
        <f>HYPERLINK("http://dx.doi.org/10.1111/j.1751-1097.2010.00779.x","http://dx.doi.org/10.1111/j.1751-1097.2010.00779.x")</f>
        <v>http://dx.doi.org/10.1111/j.1751-1097.2010.00779.x</v>
      </c>
      <c r="BG349" t="s">
        <v>74</v>
      </c>
      <c r="BH349" t="s">
        <v>74</v>
      </c>
      <c r="BI349">
        <v>8</v>
      </c>
      <c r="BJ349" t="s">
        <v>6744</v>
      </c>
      <c r="BK349" t="s">
        <v>100</v>
      </c>
      <c r="BL349" t="s">
        <v>6744</v>
      </c>
      <c r="BM349" t="s">
        <v>6745</v>
      </c>
      <c r="BN349">
        <v>20663078</v>
      </c>
      <c r="BO349" t="s">
        <v>74</v>
      </c>
      <c r="BP349" t="s">
        <v>74</v>
      </c>
      <c r="BQ349" t="s">
        <v>74</v>
      </c>
      <c r="BR349" t="s">
        <v>104</v>
      </c>
      <c r="BS349" t="s">
        <v>6746</v>
      </c>
      <c r="BT349" t="str">
        <f>HYPERLINK("https%3A%2F%2Fwww.webofscience.com%2Fwos%2Fwoscc%2Ffull-record%2FWOS:000281638700016","View Full Record in Web of Science")</f>
        <v>View Full Record in Web of Science</v>
      </c>
    </row>
    <row r="350" spans="1:72" x14ac:dyDescent="0.15">
      <c r="A350" t="s">
        <v>72</v>
      </c>
      <c r="B350" t="s">
        <v>6747</v>
      </c>
      <c r="C350" t="s">
        <v>74</v>
      </c>
      <c r="D350" t="s">
        <v>74</v>
      </c>
      <c r="E350" t="s">
        <v>74</v>
      </c>
      <c r="F350" t="s">
        <v>6748</v>
      </c>
      <c r="G350" t="s">
        <v>74</v>
      </c>
      <c r="H350" t="s">
        <v>74</v>
      </c>
      <c r="I350" t="s">
        <v>6749</v>
      </c>
      <c r="J350" t="s">
        <v>6750</v>
      </c>
      <c r="K350" t="s">
        <v>74</v>
      </c>
      <c r="L350" t="s">
        <v>74</v>
      </c>
      <c r="M350" t="s">
        <v>78</v>
      </c>
      <c r="N350" t="s">
        <v>79</v>
      </c>
      <c r="O350" t="s">
        <v>74</v>
      </c>
      <c r="P350" t="s">
        <v>74</v>
      </c>
      <c r="Q350" t="s">
        <v>74</v>
      </c>
      <c r="R350" t="s">
        <v>74</v>
      </c>
      <c r="S350" t="s">
        <v>74</v>
      </c>
      <c r="T350" t="s">
        <v>74</v>
      </c>
      <c r="U350" t="s">
        <v>6751</v>
      </c>
      <c r="V350" t="s">
        <v>6752</v>
      </c>
      <c r="W350" t="s">
        <v>6753</v>
      </c>
      <c r="X350" t="s">
        <v>6754</v>
      </c>
      <c r="Y350" t="s">
        <v>6755</v>
      </c>
      <c r="Z350" t="s">
        <v>6756</v>
      </c>
      <c r="AA350" t="s">
        <v>6757</v>
      </c>
      <c r="AB350" t="s">
        <v>6758</v>
      </c>
      <c r="AC350" t="s">
        <v>6759</v>
      </c>
      <c r="AD350" t="s">
        <v>6759</v>
      </c>
      <c r="AE350" t="s">
        <v>6760</v>
      </c>
      <c r="AF350" t="s">
        <v>74</v>
      </c>
      <c r="AG350">
        <v>86</v>
      </c>
      <c r="AH350">
        <v>24</v>
      </c>
      <c r="AI350">
        <v>31</v>
      </c>
      <c r="AJ350">
        <v>1</v>
      </c>
      <c r="AK350">
        <v>24</v>
      </c>
      <c r="AL350" t="s">
        <v>119</v>
      </c>
      <c r="AM350" t="s">
        <v>120</v>
      </c>
      <c r="AN350" t="s">
        <v>121</v>
      </c>
      <c r="AO350" t="s">
        <v>6761</v>
      </c>
      <c r="AP350" t="s">
        <v>6762</v>
      </c>
      <c r="AQ350" t="s">
        <v>74</v>
      </c>
      <c r="AR350" t="s">
        <v>6750</v>
      </c>
      <c r="AS350" t="s">
        <v>6763</v>
      </c>
      <c r="AT350" t="s">
        <v>5206</v>
      </c>
      <c r="AU350">
        <v>2010</v>
      </c>
      <c r="AV350">
        <v>49</v>
      </c>
      <c r="AW350">
        <v>5</v>
      </c>
      <c r="AX350" t="s">
        <v>74</v>
      </c>
      <c r="AY350" t="s">
        <v>74</v>
      </c>
      <c r="AZ350" t="s">
        <v>74</v>
      </c>
      <c r="BA350" t="s">
        <v>74</v>
      </c>
      <c r="BB350">
        <v>438</v>
      </c>
      <c r="BC350">
        <v>460</v>
      </c>
      <c r="BD350" t="s">
        <v>74</v>
      </c>
      <c r="BE350" t="s">
        <v>6764</v>
      </c>
      <c r="BF350" t="str">
        <f>HYPERLINK("http://dx.doi.org/10.2216/09-97.1","http://dx.doi.org/10.2216/09-97.1")</f>
        <v>http://dx.doi.org/10.2216/09-97.1</v>
      </c>
      <c r="BG350" t="s">
        <v>74</v>
      </c>
      <c r="BH350" t="s">
        <v>74</v>
      </c>
      <c r="BI350">
        <v>23</v>
      </c>
      <c r="BJ350" t="s">
        <v>3625</v>
      </c>
      <c r="BK350" t="s">
        <v>100</v>
      </c>
      <c r="BL350" t="s">
        <v>3625</v>
      </c>
      <c r="BM350" t="s">
        <v>6765</v>
      </c>
      <c r="BN350" t="s">
        <v>74</v>
      </c>
      <c r="BO350" t="s">
        <v>74</v>
      </c>
      <c r="BP350" t="s">
        <v>74</v>
      </c>
      <c r="BQ350" t="s">
        <v>74</v>
      </c>
      <c r="BR350" t="s">
        <v>104</v>
      </c>
      <c r="BS350" t="s">
        <v>6766</v>
      </c>
      <c r="BT350" t="str">
        <f>HYPERLINK("https%3A%2F%2Fwww.webofscience.com%2Fwos%2Fwoscc%2Ffull-record%2FWOS:000281590900004","View Full Record in Web of Science")</f>
        <v>View Full Record in Web of Science</v>
      </c>
    </row>
    <row r="351" spans="1:72" x14ac:dyDescent="0.15">
      <c r="A351" t="s">
        <v>72</v>
      </c>
      <c r="B351" t="s">
        <v>6767</v>
      </c>
      <c r="C351" t="s">
        <v>74</v>
      </c>
      <c r="D351" t="s">
        <v>74</v>
      </c>
      <c r="E351" t="s">
        <v>74</v>
      </c>
      <c r="F351" t="s">
        <v>6768</v>
      </c>
      <c r="G351" t="s">
        <v>74</v>
      </c>
      <c r="H351" t="s">
        <v>74</v>
      </c>
      <c r="I351" t="s">
        <v>6769</v>
      </c>
      <c r="J351" t="s">
        <v>1265</v>
      </c>
      <c r="K351" t="s">
        <v>74</v>
      </c>
      <c r="L351" t="s">
        <v>74</v>
      </c>
      <c r="M351" t="s">
        <v>78</v>
      </c>
      <c r="N351" t="s">
        <v>79</v>
      </c>
      <c r="O351" t="s">
        <v>74</v>
      </c>
      <c r="P351" t="s">
        <v>74</v>
      </c>
      <c r="Q351" t="s">
        <v>74</v>
      </c>
      <c r="R351" t="s">
        <v>74</v>
      </c>
      <c r="S351" t="s">
        <v>74</v>
      </c>
      <c r="T351" t="s">
        <v>6770</v>
      </c>
      <c r="U351" t="s">
        <v>6771</v>
      </c>
      <c r="V351" t="s">
        <v>6772</v>
      </c>
      <c r="W351" t="s">
        <v>6773</v>
      </c>
      <c r="X351" t="s">
        <v>6774</v>
      </c>
      <c r="Y351" t="s">
        <v>1344</v>
      </c>
      <c r="Z351" t="s">
        <v>6775</v>
      </c>
      <c r="AA351" t="s">
        <v>74</v>
      </c>
      <c r="AB351" t="s">
        <v>6776</v>
      </c>
      <c r="AC351" t="s">
        <v>6777</v>
      </c>
      <c r="AD351" t="s">
        <v>6778</v>
      </c>
      <c r="AE351" t="s">
        <v>6779</v>
      </c>
      <c r="AF351" t="s">
        <v>74</v>
      </c>
      <c r="AG351">
        <v>34</v>
      </c>
      <c r="AH351">
        <v>11</v>
      </c>
      <c r="AI351">
        <v>12</v>
      </c>
      <c r="AJ351">
        <v>0</v>
      </c>
      <c r="AK351">
        <v>5</v>
      </c>
      <c r="AL351" t="s">
        <v>464</v>
      </c>
      <c r="AM351" t="s">
        <v>310</v>
      </c>
      <c r="AN351" t="s">
        <v>971</v>
      </c>
      <c r="AO351" t="s">
        <v>1277</v>
      </c>
      <c r="AP351" t="s">
        <v>1278</v>
      </c>
      <c r="AQ351" t="s">
        <v>74</v>
      </c>
      <c r="AR351" t="s">
        <v>1279</v>
      </c>
      <c r="AS351" t="s">
        <v>1280</v>
      </c>
      <c r="AT351" t="s">
        <v>5206</v>
      </c>
      <c r="AU351">
        <v>2010</v>
      </c>
      <c r="AV351">
        <v>33</v>
      </c>
      <c r="AW351">
        <v>9</v>
      </c>
      <c r="AX351" t="s">
        <v>74</v>
      </c>
      <c r="AY351" t="s">
        <v>74</v>
      </c>
      <c r="AZ351" t="s">
        <v>74</v>
      </c>
      <c r="BA351" t="s">
        <v>74</v>
      </c>
      <c r="BB351">
        <v>1163</v>
      </c>
      <c r="BC351">
        <v>1170</v>
      </c>
      <c r="BD351" t="s">
        <v>74</v>
      </c>
      <c r="BE351" t="s">
        <v>6780</v>
      </c>
      <c r="BF351" t="str">
        <f>HYPERLINK("http://dx.doi.org/10.1007/s00300-010-0803-2","http://dx.doi.org/10.1007/s00300-010-0803-2")</f>
        <v>http://dx.doi.org/10.1007/s00300-010-0803-2</v>
      </c>
      <c r="BG351" t="s">
        <v>74</v>
      </c>
      <c r="BH351" t="s">
        <v>74</v>
      </c>
      <c r="BI351">
        <v>8</v>
      </c>
      <c r="BJ351" t="s">
        <v>1282</v>
      </c>
      <c r="BK351" t="s">
        <v>100</v>
      </c>
      <c r="BL351" t="s">
        <v>680</v>
      </c>
      <c r="BM351" t="s">
        <v>6781</v>
      </c>
      <c r="BN351" t="s">
        <v>74</v>
      </c>
      <c r="BO351" t="s">
        <v>74</v>
      </c>
      <c r="BP351" t="s">
        <v>74</v>
      </c>
      <c r="BQ351" t="s">
        <v>74</v>
      </c>
      <c r="BR351" t="s">
        <v>104</v>
      </c>
      <c r="BS351" t="s">
        <v>6782</v>
      </c>
      <c r="BT351" t="str">
        <f>HYPERLINK("https%3A%2F%2Fwww.webofscience.com%2Fwos%2Fwoscc%2Ffull-record%2FWOS:000280802000001","View Full Record in Web of Science")</f>
        <v>View Full Record in Web of Science</v>
      </c>
    </row>
    <row r="352" spans="1:72" x14ac:dyDescent="0.15">
      <c r="A352" t="s">
        <v>72</v>
      </c>
      <c r="B352" t="s">
        <v>6783</v>
      </c>
      <c r="C352" t="s">
        <v>74</v>
      </c>
      <c r="D352" t="s">
        <v>74</v>
      </c>
      <c r="E352" t="s">
        <v>74</v>
      </c>
      <c r="F352" t="s">
        <v>6784</v>
      </c>
      <c r="G352" t="s">
        <v>74</v>
      </c>
      <c r="H352" t="s">
        <v>74</v>
      </c>
      <c r="I352" t="s">
        <v>6785</v>
      </c>
      <c r="J352" t="s">
        <v>1265</v>
      </c>
      <c r="K352" t="s">
        <v>74</v>
      </c>
      <c r="L352" t="s">
        <v>74</v>
      </c>
      <c r="M352" t="s">
        <v>78</v>
      </c>
      <c r="N352" t="s">
        <v>79</v>
      </c>
      <c r="O352" t="s">
        <v>74</v>
      </c>
      <c r="P352" t="s">
        <v>74</v>
      </c>
      <c r="Q352" t="s">
        <v>74</v>
      </c>
      <c r="R352" t="s">
        <v>74</v>
      </c>
      <c r="S352" t="s">
        <v>74</v>
      </c>
      <c r="T352" t="s">
        <v>6786</v>
      </c>
      <c r="U352" t="s">
        <v>6787</v>
      </c>
      <c r="V352" t="s">
        <v>6788</v>
      </c>
      <c r="W352" t="s">
        <v>6789</v>
      </c>
      <c r="X352" t="s">
        <v>6790</v>
      </c>
      <c r="Y352" t="s">
        <v>6791</v>
      </c>
      <c r="Z352" t="s">
        <v>6792</v>
      </c>
      <c r="AA352" t="s">
        <v>6793</v>
      </c>
      <c r="AB352" t="s">
        <v>6794</v>
      </c>
      <c r="AC352" t="s">
        <v>6795</v>
      </c>
      <c r="AD352" t="s">
        <v>6796</v>
      </c>
      <c r="AE352" t="s">
        <v>6797</v>
      </c>
      <c r="AF352" t="s">
        <v>74</v>
      </c>
      <c r="AG352">
        <v>72</v>
      </c>
      <c r="AH352">
        <v>11</v>
      </c>
      <c r="AI352">
        <v>13</v>
      </c>
      <c r="AJ352">
        <v>1</v>
      </c>
      <c r="AK352">
        <v>19</v>
      </c>
      <c r="AL352" t="s">
        <v>464</v>
      </c>
      <c r="AM352" t="s">
        <v>310</v>
      </c>
      <c r="AN352" t="s">
        <v>971</v>
      </c>
      <c r="AO352" t="s">
        <v>1277</v>
      </c>
      <c r="AP352" t="s">
        <v>1278</v>
      </c>
      <c r="AQ352" t="s">
        <v>74</v>
      </c>
      <c r="AR352" t="s">
        <v>1279</v>
      </c>
      <c r="AS352" t="s">
        <v>1280</v>
      </c>
      <c r="AT352" t="s">
        <v>5206</v>
      </c>
      <c r="AU352">
        <v>2010</v>
      </c>
      <c r="AV352">
        <v>33</v>
      </c>
      <c r="AW352">
        <v>9</v>
      </c>
      <c r="AX352" t="s">
        <v>74</v>
      </c>
      <c r="AY352" t="s">
        <v>74</v>
      </c>
      <c r="AZ352" t="s">
        <v>74</v>
      </c>
      <c r="BA352" t="s">
        <v>74</v>
      </c>
      <c r="BB352">
        <v>1171</v>
      </c>
      <c r="BC352">
        <v>1178</v>
      </c>
      <c r="BD352" t="s">
        <v>74</v>
      </c>
      <c r="BE352" t="s">
        <v>6798</v>
      </c>
      <c r="BF352" t="str">
        <f>HYPERLINK("http://dx.doi.org/10.1007/s00300-010-0805-0","http://dx.doi.org/10.1007/s00300-010-0805-0")</f>
        <v>http://dx.doi.org/10.1007/s00300-010-0805-0</v>
      </c>
      <c r="BG352" t="s">
        <v>74</v>
      </c>
      <c r="BH352" t="s">
        <v>74</v>
      </c>
      <c r="BI352">
        <v>8</v>
      </c>
      <c r="BJ352" t="s">
        <v>1282</v>
      </c>
      <c r="BK352" t="s">
        <v>100</v>
      </c>
      <c r="BL352" t="s">
        <v>680</v>
      </c>
      <c r="BM352" t="s">
        <v>6781</v>
      </c>
      <c r="BN352" t="s">
        <v>74</v>
      </c>
      <c r="BO352" t="s">
        <v>134</v>
      </c>
      <c r="BP352" t="s">
        <v>74</v>
      </c>
      <c r="BQ352" t="s">
        <v>74</v>
      </c>
      <c r="BR352" t="s">
        <v>104</v>
      </c>
      <c r="BS352" t="s">
        <v>6799</v>
      </c>
      <c r="BT352" t="str">
        <f>HYPERLINK("https%3A%2F%2Fwww.webofscience.com%2Fwos%2Fwoscc%2Ffull-record%2FWOS:000280802000002","View Full Record in Web of Science")</f>
        <v>View Full Record in Web of Science</v>
      </c>
    </row>
    <row r="353" spans="1:72" x14ac:dyDescent="0.15">
      <c r="A353" t="s">
        <v>72</v>
      </c>
      <c r="B353" t="s">
        <v>6800</v>
      </c>
      <c r="C353" t="s">
        <v>74</v>
      </c>
      <c r="D353" t="s">
        <v>74</v>
      </c>
      <c r="E353" t="s">
        <v>74</v>
      </c>
      <c r="F353" t="s">
        <v>6801</v>
      </c>
      <c r="G353" t="s">
        <v>74</v>
      </c>
      <c r="H353" t="s">
        <v>74</v>
      </c>
      <c r="I353" t="s">
        <v>6802</v>
      </c>
      <c r="J353" t="s">
        <v>1265</v>
      </c>
      <c r="K353" t="s">
        <v>74</v>
      </c>
      <c r="L353" t="s">
        <v>74</v>
      </c>
      <c r="M353" t="s">
        <v>78</v>
      </c>
      <c r="N353" t="s">
        <v>79</v>
      </c>
      <c r="O353" t="s">
        <v>74</v>
      </c>
      <c r="P353" t="s">
        <v>74</v>
      </c>
      <c r="Q353" t="s">
        <v>74</v>
      </c>
      <c r="R353" t="s">
        <v>74</v>
      </c>
      <c r="S353" t="s">
        <v>74</v>
      </c>
      <c r="T353" t="s">
        <v>6803</v>
      </c>
      <c r="U353" t="s">
        <v>6804</v>
      </c>
      <c r="V353" t="s">
        <v>6805</v>
      </c>
      <c r="W353" t="s">
        <v>6806</v>
      </c>
      <c r="X353" t="s">
        <v>4887</v>
      </c>
      <c r="Y353" t="s">
        <v>6807</v>
      </c>
      <c r="Z353" t="s">
        <v>6808</v>
      </c>
      <c r="AA353" t="s">
        <v>6809</v>
      </c>
      <c r="AB353" t="s">
        <v>6810</v>
      </c>
      <c r="AC353" t="s">
        <v>6811</v>
      </c>
      <c r="AD353" t="s">
        <v>4893</v>
      </c>
      <c r="AE353" t="s">
        <v>6812</v>
      </c>
      <c r="AF353" t="s">
        <v>74</v>
      </c>
      <c r="AG353">
        <v>32</v>
      </c>
      <c r="AH353">
        <v>13</v>
      </c>
      <c r="AI353">
        <v>14</v>
      </c>
      <c r="AJ353">
        <v>0</v>
      </c>
      <c r="AK353">
        <v>6</v>
      </c>
      <c r="AL353" t="s">
        <v>464</v>
      </c>
      <c r="AM353" t="s">
        <v>310</v>
      </c>
      <c r="AN353" t="s">
        <v>971</v>
      </c>
      <c r="AO353" t="s">
        <v>1277</v>
      </c>
      <c r="AP353" t="s">
        <v>1278</v>
      </c>
      <c r="AQ353" t="s">
        <v>74</v>
      </c>
      <c r="AR353" t="s">
        <v>1279</v>
      </c>
      <c r="AS353" t="s">
        <v>1280</v>
      </c>
      <c r="AT353" t="s">
        <v>5206</v>
      </c>
      <c r="AU353">
        <v>2010</v>
      </c>
      <c r="AV353">
        <v>33</v>
      </c>
      <c r="AW353">
        <v>9</v>
      </c>
      <c r="AX353" t="s">
        <v>74</v>
      </c>
      <c r="AY353" t="s">
        <v>74</v>
      </c>
      <c r="AZ353" t="s">
        <v>74</v>
      </c>
      <c r="BA353" t="s">
        <v>74</v>
      </c>
      <c r="BB353">
        <v>1205</v>
      </c>
      <c r="BC353">
        <v>1214</v>
      </c>
      <c r="BD353" t="s">
        <v>74</v>
      </c>
      <c r="BE353" t="s">
        <v>6813</v>
      </c>
      <c r="BF353" t="str">
        <f>HYPERLINK("http://dx.doi.org/10.1007/s00300-010-0810-3","http://dx.doi.org/10.1007/s00300-010-0810-3")</f>
        <v>http://dx.doi.org/10.1007/s00300-010-0810-3</v>
      </c>
      <c r="BG353" t="s">
        <v>74</v>
      </c>
      <c r="BH353" t="s">
        <v>74</v>
      </c>
      <c r="BI353">
        <v>10</v>
      </c>
      <c r="BJ353" t="s">
        <v>1282</v>
      </c>
      <c r="BK353" t="s">
        <v>100</v>
      </c>
      <c r="BL353" t="s">
        <v>680</v>
      </c>
      <c r="BM353" t="s">
        <v>6781</v>
      </c>
      <c r="BN353" t="s">
        <v>74</v>
      </c>
      <c r="BO353" t="s">
        <v>74</v>
      </c>
      <c r="BP353" t="s">
        <v>74</v>
      </c>
      <c r="BQ353" t="s">
        <v>74</v>
      </c>
      <c r="BR353" t="s">
        <v>104</v>
      </c>
      <c r="BS353" t="s">
        <v>6814</v>
      </c>
      <c r="BT353" t="str">
        <f>HYPERLINK("https%3A%2F%2Fwww.webofscience.com%2Fwos%2Fwoscc%2Ffull-record%2FWOS:000280802000005","View Full Record in Web of Science")</f>
        <v>View Full Record in Web of Science</v>
      </c>
    </row>
    <row r="354" spans="1:72" x14ac:dyDescent="0.15">
      <c r="A354" t="s">
        <v>72</v>
      </c>
      <c r="B354" t="s">
        <v>6815</v>
      </c>
      <c r="C354" t="s">
        <v>74</v>
      </c>
      <c r="D354" t="s">
        <v>74</v>
      </c>
      <c r="E354" t="s">
        <v>74</v>
      </c>
      <c r="F354" t="s">
        <v>6816</v>
      </c>
      <c r="G354" t="s">
        <v>74</v>
      </c>
      <c r="H354" t="s">
        <v>74</v>
      </c>
      <c r="I354" t="s">
        <v>6817</v>
      </c>
      <c r="J354" t="s">
        <v>1265</v>
      </c>
      <c r="K354" t="s">
        <v>74</v>
      </c>
      <c r="L354" t="s">
        <v>74</v>
      </c>
      <c r="M354" t="s">
        <v>78</v>
      </c>
      <c r="N354" t="s">
        <v>79</v>
      </c>
      <c r="O354" t="s">
        <v>74</v>
      </c>
      <c r="P354" t="s">
        <v>74</v>
      </c>
      <c r="Q354" t="s">
        <v>74</v>
      </c>
      <c r="R354" t="s">
        <v>74</v>
      </c>
      <c r="S354" t="s">
        <v>74</v>
      </c>
      <c r="T354" t="s">
        <v>6818</v>
      </c>
      <c r="U354" t="s">
        <v>6819</v>
      </c>
      <c r="V354" t="s">
        <v>6820</v>
      </c>
      <c r="W354" t="s">
        <v>6821</v>
      </c>
      <c r="X354" t="s">
        <v>6822</v>
      </c>
      <c r="Y354" t="s">
        <v>6823</v>
      </c>
      <c r="Z354" t="s">
        <v>6824</v>
      </c>
      <c r="AA354" t="s">
        <v>6825</v>
      </c>
      <c r="AB354" t="s">
        <v>6826</v>
      </c>
      <c r="AC354" t="s">
        <v>6827</v>
      </c>
      <c r="AD354" t="s">
        <v>6828</v>
      </c>
      <c r="AE354" t="s">
        <v>6829</v>
      </c>
      <c r="AF354" t="s">
        <v>74</v>
      </c>
      <c r="AG354">
        <v>76</v>
      </c>
      <c r="AH354">
        <v>36</v>
      </c>
      <c r="AI354">
        <v>43</v>
      </c>
      <c r="AJ354">
        <v>0</v>
      </c>
      <c r="AK354">
        <v>26</v>
      </c>
      <c r="AL354" t="s">
        <v>464</v>
      </c>
      <c r="AM354" t="s">
        <v>310</v>
      </c>
      <c r="AN354" t="s">
        <v>465</v>
      </c>
      <c r="AO354" t="s">
        <v>1277</v>
      </c>
      <c r="AP354" t="s">
        <v>1278</v>
      </c>
      <c r="AQ354" t="s">
        <v>74</v>
      </c>
      <c r="AR354" t="s">
        <v>1279</v>
      </c>
      <c r="AS354" t="s">
        <v>1280</v>
      </c>
      <c r="AT354" t="s">
        <v>5206</v>
      </c>
      <c r="AU354">
        <v>2010</v>
      </c>
      <c r="AV354">
        <v>33</v>
      </c>
      <c r="AW354">
        <v>9</v>
      </c>
      <c r="AX354" t="s">
        <v>74</v>
      </c>
      <c r="AY354" t="s">
        <v>74</v>
      </c>
      <c r="AZ354" t="s">
        <v>74</v>
      </c>
      <c r="BA354" t="s">
        <v>74</v>
      </c>
      <c r="BB354">
        <v>1227</v>
      </c>
      <c r="BC354">
        <v>1237</v>
      </c>
      <c r="BD354" t="s">
        <v>74</v>
      </c>
      <c r="BE354" t="s">
        <v>6830</v>
      </c>
      <c r="BF354" t="str">
        <f>HYPERLINK("http://dx.doi.org/10.1007/s00300-010-0812-1","http://dx.doi.org/10.1007/s00300-010-0812-1")</f>
        <v>http://dx.doi.org/10.1007/s00300-010-0812-1</v>
      </c>
      <c r="BG354" t="s">
        <v>74</v>
      </c>
      <c r="BH354" t="s">
        <v>74</v>
      </c>
      <c r="BI354">
        <v>11</v>
      </c>
      <c r="BJ354" t="s">
        <v>1282</v>
      </c>
      <c r="BK354" t="s">
        <v>100</v>
      </c>
      <c r="BL354" t="s">
        <v>680</v>
      </c>
      <c r="BM354" t="s">
        <v>6781</v>
      </c>
      <c r="BN354" t="s">
        <v>74</v>
      </c>
      <c r="BO354" t="s">
        <v>74</v>
      </c>
      <c r="BP354" t="s">
        <v>74</v>
      </c>
      <c r="BQ354" t="s">
        <v>74</v>
      </c>
      <c r="BR354" t="s">
        <v>104</v>
      </c>
      <c r="BS354" t="s">
        <v>6831</v>
      </c>
      <c r="BT354" t="str">
        <f>HYPERLINK("https%3A%2F%2Fwww.webofscience.com%2Fwos%2Fwoscc%2Ffull-record%2FWOS:000280802000007","View Full Record in Web of Science")</f>
        <v>View Full Record in Web of Science</v>
      </c>
    </row>
    <row r="355" spans="1:72" x14ac:dyDescent="0.15">
      <c r="A355" t="s">
        <v>72</v>
      </c>
      <c r="B355" t="s">
        <v>6832</v>
      </c>
      <c r="C355" t="s">
        <v>74</v>
      </c>
      <c r="D355" t="s">
        <v>74</v>
      </c>
      <c r="E355" t="s">
        <v>74</v>
      </c>
      <c r="F355" t="s">
        <v>6833</v>
      </c>
      <c r="G355" t="s">
        <v>74</v>
      </c>
      <c r="H355" t="s">
        <v>74</v>
      </c>
      <c r="I355" t="s">
        <v>6834</v>
      </c>
      <c r="J355" t="s">
        <v>1265</v>
      </c>
      <c r="K355" t="s">
        <v>74</v>
      </c>
      <c r="L355" t="s">
        <v>74</v>
      </c>
      <c r="M355" t="s">
        <v>78</v>
      </c>
      <c r="N355" t="s">
        <v>79</v>
      </c>
      <c r="O355" t="s">
        <v>74</v>
      </c>
      <c r="P355" t="s">
        <v>74</v>
      </c>
      <c r="Q355" t="s">
        <v>74</v>
      </c>
      <c r="R355" t="s">
        <v>74</v>
      </c>
      <c r="S355" t="s">
        <v>74</v>
      </c>
      <c r="T355" t="s">
        <v>6835</v>
      </c>
      <c r="U355" t="s">
        <v>6836</v>
      </c>
      <c r="V355" t="s">
        <v>6837</v>
      </c>
      <c r="W355" t="s">
        <v>6838</v>
      </c>
      <c r="X355" t="s">
        <v>6839</v>
      </c>
      <c r="Y355" t="s">
        <v>6840</v>
      </c>
      <c r="Z355" t="s">
        <v>6841</v>
      </c>
      <c r="AA355" t="s">
        <v>6842</v>
      </c>
      <c r="AB355" t="s">
        <v>6843</v>
      </c>
      <c r="AC355" t="s">
        <v>6844</v>
      </c>
      <c r="AD355" t="s">
        <v>6845</v>
      </c>
      <c r="AE355" t="s">
        <v>6846</v>
      </c>
      <c r="AF355" t="s">
        <v>74</v>
      </c>
      <c r="AG355">
        <v>59</v>
      </c>
      <c r="AH355">
        <v>21</v>
      </c>
      <c r="AI355">
        <v>21</v>
      </c>
      <c r="AJ355">
        <v>0</v>
      </c>
      <c r="AK355">
        <v>10</v>
      </c>
      <c r="AL355" t="s">
        <v>464</v>
      </c>
      <c r="AM355" t="s">
        <v>310</v>
      </c>
      <c r="AN355" t="s">
        <v>971</v>
      </c>
      <c r="AO355" t="s">
        <v>1277</v>
      </c>
      <c r="AP355" t="s">
        <v>1278</v>
      </c>
      <c r="AQ355" t="s">
        <v>74</v>
      </c>
      <c r="AR355" t="s">
        <v>1279</v>
      </c>
      <c r="AS355" t="s">
        <v>1280</v>
      </c>
      <c r="AT355" t="s">
        <v>5206</v>
      </c>
      <c r="AU355">
        <v>2010</v>
      </c>
      <c r="AV355">
        <v>33</v>
      </c>
      <c r="AW355">
        <v>9</v>
      </c>
      <c r="AX355" t="s">
        <v>74</v>
      </c>
      <c r="AY355" t="s">
        <v>74</v>
      </c>
      <c r="AZ355" t="s">
        <v>74</v>
      </c>
      <c r="BA355" t="s">
        <v>74</v>
      </c>
      <c r="BB355">
        <v>1277</v>
      </c>
      <c r="BC355">
        <v>1288</v>
      </c>
      <c r="BD355" t="s">
        <v>74</v>
      </c>
      <c r="BE355" t="s">
        <v>6847</v>
      </c>
      <c r="BF355" t="str">
        <f>HYPERLINK("http://dx.doi.org/10.1007/s00300-010-0816-x","http://dx.doi.org/10.1007/s00300-010-0816-x")</f>
        <v>http://dx.doi.org/10.1007/s00300-010-0816-x</v>
      </c>
      <c r="BG355" t="s">
        <v>74</v>
      </c>
      <c r="BH355" t="s">
        <v>74</v>
      </c>
      <c r="BI355">
        <v>12</v>
      </c>
      <c r="BJ355" t="s">
        <v>1282</v>
      </c>
      <c r="BK355" t="s">
        <v>100</v>
      </c>
      <c r="BL355" t="s">
        <v>680</v>
      </c>
      <c r="BM355" t="s">
        <v>6781</v>
      </c>
      <c r="BN355" t="s">
        <v>74</v>
      </c>
      <c r="BO355" t="s">
        <v>74</v>
      </c>
      <c r="BP355" t="s">
        <v>74</v>
      </c>
      <c r="BQ355" t="s">
        <v>74</v>
      </c>
      <c r="BR355" t="s">
        <v>104</v>
      </c>
      <c r="BS355" t="s">
        <v>6848</v>
      </c>
      <c r="BT355" t="str">
        <f>HYPERLINK("https%3A%2F%2Fwww.webofscience.com%2Fwos%2Fwoscc%2Ffull-record%2FWOS:000280802000011","View Full Record in Web of Science")</f>
        <v>View Full Record in Web of Science</v>
      </c>
    </row>
    <row r="356" spans="1:72" x14ac:dyDescent="0.15">
      <c r="A356" t="s">
        <v>72</v>
      </c>
      <c r="B356" t="s">
        <v>6849</v>
      </c>
      <c r="C356" t="s">
        <v>74</v>
      </c>
      <c r="D356" t="s">
        <v>74</v>
      </c>
      <c r="E356" t="s">
        <v>74</v>
      </c>
      <c r="F356" t="s">
        <v>6850</v>
      </c>
      <c r="G356" t="s">
        <v>74</v>
      </c>
      <c r="H356" t="s">
        <v>74</v>
      </c>
      <c r="I356" t="s">
        <v>6851</v>
      </c>
      <c r="J356" t="s">
        <v>6852</v>
      </c>
      <c r="K356" t="s">
        <v>74</v>
      </c>
      <c r="L356" t="s">
        <v>74</v>
      </c>
      <c r="M356" t="s">
        <v>78</v>
      </c>
      <c r="N356" t="s">
        <v>79</v>
      </c>
      <c r="O356" t="s">
        <v>74</v>
      </c>
      <c r="P356" t="s">
        <v>74</v>
      </c>
      <c r="Q356" t="s">
        <v>74</v>
      </c>
      <c r="R356" t="s">
        <v>74</v>
      </c>
      <c r="S356" t="s">
        <v>74</v>
      </c>
      <c r="T356" t="s">
        <v>6853</v>
      </c>
      <c r="U356" t="s">
        <v>6854</v>
      </c>
      <c r="V356" t="s">
        <v>6855</v>
      </c>
      <c r="W356" t="s">
        <v>6856</v>
      </c>
      <c r="X356" t="s">
        <v>6857</v>
      </c>
      <c r="Y356" t="s">
        <v>6858</v>
      </c>
      <c r="Z356" t="s">
        <v>6859</v>
      </c>
      <c r="AA356" t="s">
        <v>6860</v>
      </c>
      <c r="AB356" t="s">
        <v>6861</v>
      </c>
      <c r="AC356" t="s">
        <v>6862</v>
      </c>
      <c r="AD356" t="s">
        <v>6863</v>
      </c>
      <c r="AE356" t="s">
        <v>6864</v>
      </c>
      <c r="AF356" t="s">
        <v>74</v>
      </c>
      <c r="AG356">
        <v>69</v>
      </c>
      <c r="AH356">
        <v>40</v>
      </c>
      <c r="AI356">
        <v>47</v>
      </c>
      <c r="AJ356">
        <v>0</v>
      </c>
      <c r="AK356">
        <v>24</v>
      </c>
      <c r="AL356" t="s">
        <v>1038</v>
      </c>
      <c r="AM356" t="s">
        <v>550</v>
      </c>
      <c r="AN356" t="s">
        <v>1039</v>
      </c>
      <c r="AO356" t="s">
        <v>6865</v>
      </c>
      <c r="AP356" t="s">
        <v>6866</v>
      </c>
      <c r="AQ356" t="s">
        <v>74</v>
      </c>
      <c r="AR356" t="s">
        <v>6867</v>
      </c>
      <c r="AS356" t="s">
        <v>6868</v>
      </c>
      <c r="AT356" t="s">
        <v>5206</v>
      </c>
      <c r="AU356">
        <v>2010</v>
      </c>
      <c r="AV356">
        <v>182</v>
      </c>
      <c r="AW356" t="s">
        <v>4513</v>
      </c>
      <c r="AX356" t="s">
        <v>74</v>
      </c>
      <c r="AY356" t="s">
        <v>74</v>
      </c>
      <c r="AZ356" t="s">
        <v>74</v>
      </c>
      <c r="BA356" t="s">
        <v>74</v>
      </c>
      <c r="BB356">
        <v>101</v>
      </c>
      <c r="BC356">
        <v>123</v>
      </c>
      <c r="BD356" t="s">
        <v>74</v>
      </c>
      <c r="BE356" t="s">
        <v>6869</v>
      </c>
      <c r="BF356" t="str">
        <f>HYPERLINK("http://dx.doi.org/10.1016/j.precamres.2010.07.004","http://dx.doi.org/10.1016/j.precamres.2010.07.004")</f>
        <v>http://dx.doi.org/10.1016/j.precamres.2010.07.004</v>
      </c>
      <c r="BG356" t="s">
        <v>74</v>
      </c>
      <c r="BH356" t="s">
        <v>74</v>
      </c>
      <c r="BI356">
        <v>23</v>
      </c>
      <c r="BJ356" t="s">
        <v>1194</v>
      </c>
      <c r="BK356" t="s">
        <v>100</v>
      </c>
      <c r="BL356" t="s">
        <v>807</v>
      </c>
      <c r="BM356" t="s">
        <v>6870</v>
      </c>
      <c r="BN356" t="s">
        <v>74</v>
      </c>
      <c r="BO356" t="s">
        <v>74</v>
      </c>
      <c r="BP356" t="s">
        <v>74</v>
      </c>
      <c r="BQ356" t="s">
        <v>74</v>
      </c>
      <c r="BR356" t="s">
        <v>104</v>
      </c>
      <c r="BS356" t="s">
        <v>6871</v>
      </c>
      <c r="BT356" t="str">
        <f>HYPERLINK("https%3A%2F%2Fwww.webofscience.com%2Fwos%2Fwoscc%2Ffull-record%2FWOS:000282388100008","View Full Record in Web of Science")</f>
        <v>View Full Record in Web of Science</v>
      </c>
    </row>
    <row r="357" spans="1:72" x14ac:dyDescent="0.15">
      <c r="A357" t="s">
        <v>72</v>
      </c>
      <c r="B357" t="s">
        <v>6872</v>
      </c>
      <c r="C357" t="s">
        <v>74</v>
      </c>
      <c r="D357" t="s">
        <v>74</v>
      </c>
      <c r="E357" t="s">
        <v>74</v>
      </c>
      <c r="F357" t="s">
        <v>6873</v>
      </c>
      <c r="G357" t="s">
        <v>74</v>
      </c>
      <c r="H357" t="s">
        <v>74</v>
      </c>
      <c r="I357" t="s">
        <v>6874</v>
      </c>
      <c r="J357" t="s">
        <v>6875</v>
      </c>
      <c r="K357" t="s">
        <v>74</v>
      </c>
      <c r="L357" t="s">
        <v>74</v>
      </c>
      <c r="M357" t="s">
        <v>78</v>
      </c>
      <c r="N357" t="s">
        <v>79</v>
      </c>
      <c r="O357" t="s">
        <v>74</v>
      </c>
      <c r="P357" t="s">
        <v>74</v>
      </c>
      <c r="Q357" t="s">
        <v>74</v>
      </c>
      <c r="R357" t="s">
        <v>74</v>
      </c>
      <c r="S357" t="s">
        <v>74</v>
      </c>
      <c r="T357" t="s">
        <v>74</v>
      </c>
      <c r="U357" t="s">
        <v>6876</v>
      </c>
      <c r="V357" t="s">
        <v>6877</v>
      </c>
      <c r="W357" t="s">
        <v>6878</v>
      </c>
      <c r="X357" t="s">
        <v>6879</v>
      </c>
      <c r="Y357" t="s">
        <v>6880</v>
      </c>
      <c r="Z357" t="s">
        <v>6881</v>
      </c>
      <c r="AA357" t="s">
        <v>74</v>
      </c>
      <c r="AB357" t="s">
        <v>6882</v>
      </c>
      <c r="AC357" t="s">
        <v>6883</v>
      </c>
      <c r="AD357" t="s">
        <v>6884</v>
      </c>
      <c r="AE357" t="s">
        <v>6885</v>
      </c>
      <c r="AF357" t="s">
        <v>74</v>
      </c>
      <c r="AG357">
        <v>38</v>
      </c>
      <c r="AH357">
        <v>64</v>
      </c>
      <c r="AI357">
        <v>71</v>
      </c>
      <c r="AJ357">
        <v>3</v>
      </c>
      <c r="AK357">
        <v>19</v>
      </c>
      <c r="AL357" t="s">
        <v>1797</v>
      </c>
      <c r="AM357" t="s">
        <v>510</v>
      </c>
      <c r="AN357" t="s">
        <v>1798</v>
      </c>
      <c r="AO357" t="s">
        <v>6886</v>
      </c>
      <c r="AP357" t="s">
        <v>6887</v>
      </c>
      <c r="AQ357" t="s">
        <v>74</v>
      </c>
      <c r="AR357" t="s">
        <v>6888</v>
      </c>
      <c r="AS357" t="s">
        <v>6889</v>
      </c>
      <c r="AT357" t="s">
        <v>5206</v>
      </c>
      <c r="AU357">
        <v>2010</v>
      </c>
      <c r="AV357">
        <v>122</v>
      </c>
      <c r="AW357">
        <v>895</v>
      </c>
      <c r="AX357" t="s">
        <v>74</v>
      </c>
      <c r="AY357" t="s">
        <v>74</v>
      </c>
      <c r="AZ357" t="s">
        <v>74</v>
      </c>
      <c r="BA357" t="s">
        <v>74</v>
      </c>
      <c r="BB357">
        <v>1122</v>
      </c>
      <c r="BC357">
        <v>1131</v>
      </c>
      <c r="BD357" t="s">
        <v>74</v>
      </c>
      <c r="BE357" t="s">
        <v>6890</v>
      </c>
      <c r="BF357" t="str">
        <f>HYPERLINK("http://dx.doi.org/10.1086/656250","http://dx.doi.org/10.1086/656250")</f>
        <v>http://dx.doi.org/10.1086/656250</v>
      </c>
      <c r="BG357" t="s">
        <v>74</v>
      </c>
      <c r="BH357" t="s">
        <v>74</v>
      </c>
      <c r="BI357">
        <v>10</v>
      </c>
      <c r="BJ357" t="s">
        <v>1805</v>
      </c>
      <c r="BK357" t="s">
        <v>100</v>
      </c>
      <c r="BL357" t="s">
        <v>1805</v>
      </c>
      <c r="BM357" t="s">
        <v>6891</v>
      </c>
      <c r="BN357" t="s">
        <v>74</v>
      </c>
      <c r="BO357" t="s">
        <v>394</v>
      </c>
      <c r="BP357" t="s">
        <v>74</v>
      </c>
      <c r="BQ357" t="s">
        <v>74</v>
      </c>
      <c r="BR357" t="s">
        <v>104</v>
      </c>
      <c r="BS357" t="s">
        <v>6892</v>
      </c>
      <c r="BT357" t="str">
        <f>HYPERLINK("https%3A%2F%2Fwww.webofscience.com%2Fwos%2Fwoscc%2Ffull-record%2FWOS:000281324800012","View Full Record in Web of Science")</f>
        <v>View Full Record in Web of Science</v>
      </c>
    </row>
    <row r="358" spans="1:72" x14ac:dyDescent="0.15">
      <c r="A358" t="s">
        <v>72</v>
      </c>
      <c r="B358" t="s">
        <v>6893</v>
      </c>
      <c r="C358" t="s">
        <v>74</v>
      </c>
      <c r="D358" t="s">
        <v>74</v>
      </c>
      <c r="E358" t="s">
        <v>74</v>
      </c>
      <c r="F358" t="s">
        <v>6894</v>
      </c>
      <c r="G358" t="s">
        <v>74</v>
      </c>
      <c r="H358" t="s">
        <v>74</v>
      </c>
      <c r="I358" t="s">
        <v>6895</v>
      </c>
      <c r="J358" t="s">
        <v>1393</v>
      </c>
      <c r="K358" t="s">
        <v>74</v>
      </c>
      <c r="L358" t="s">
        <v>74</v>
      </c>
      <c r="M358" t="s">
        <v>78</v>
      </c>
      <c r="N358" t="s">
        <v>79</v>
      </c>
      <c r="O358" t="s">
        <v>74</v>
      </c>
      <c r="P358" t="s">
        <v>74</v>
      </c>
      <c r="Q358" t="s">
        <v>74</v>
      </c>
      <c r="R358" t="s">
        <v>74</v>
      </c>
      <c r="S358" t="s">
        <v>74</v>
      </c>
      <c r="T358" t="s">
        <v>74</v>
      </c>
      <c r="U358" t="s">
        <v>6896</v>
      </c>
      <c r="V358" t="s">
        <v>6897</v>
      </c>
      <c r="W358" t="s">
        <v>6898</v>
      </c>
      <c r="X358" t="s">
        <v>6899</v>
      </c>
      <c r="Y358" t="s">
        <v>6900</v>
      </c>
      <c r="Z358" t="s">
        <v>6901</v>
      </c>
      <c r="AA358" t="s">
        <v>74</v>
      </c>
      <c r="AB358" t="s">
        <v>74</v>
      </c>
      <c r="AC358" t="s">
        <v>6902</v>
      </c>
      <c r="AD358" t="s">
        <v>6903</v>
      </c>
      <c r="AE358" t="s">
        <v>6904</v>
      </c>
      <c r="AF358" t="s">
        <v>74</v>
      </c>
      <c r="AG358">
        <v>74</v>
      </c>
      <c r="AH358">
        <v>18</v>
      </c>
      <c r="AI358">
        <v>19</v>
      </c>
      <c r="AJ358">
        <v>0</v>
      </c>
      <c r="AK358">
        <v>23</v>
      </c>
      <c r="AL358" t="s">
        <v>264</v>
      </c>
      <c r="AM358" t="s">
        <v>265</v>
      </c>
      <c r="AN358" t="s">
        <v>266</v>
      </c>
      <c r="AO358" t="s">
        <v>1404</v>
      </c>
      <c r="AP358" t="s">
        <v>74</v>
      </c>
      <c r="AQ358" t="s">
        <v>74</v>
      </c>
      <c r="AR358" t="s">
        <v>1405</v>
      </c>
      <c r="AS358" t="s">
        <v>1406</v>
      </c>
      <c r="AT358" t="s">
        <v>5206</v>
      </c>
      <c r="AU358">
        <v>2010</v>
      </c>
      <c r="AV358">
        <v>29</v>
      </c>
      <c r="AW358" t="s">
        <v>6905</v>
      </c>
      <c r="AX358" t="s">
        <v>74</v>
      </c>
      <c r="AY358" t="s">
        <v>74</v>
      </c>
      <c r="AZ358" t="s">
        <v>74</v>
      </c>
      <c r="BA358" t="s">
        <v>74</v>
      </c>
      <c r="BB358">
        <v>2705</v>
      </c>
      <c r="BC358">
        <v>2718</v>
      </c>
      <c r="BD358" t="s">
        <v>74</v>
      </c>
      <c r="BE358" t="s">
        <v>6906</v>
      </c>
      <c r="BF358" t="str">
        <f>HYPERLINK("http://dx.doi.org/10.1016/j.quascirev.2010.06.024","http://dx.doi.org/10.1016/j.quascirev.2010.06.024")</f>
        <v>http://dx.doi.org/10.1016/j.quascirev.2010.06.024</v>
      </c>
      <c r="BG358" t="s">
        <v>74</v>
      </c>
      <c r="BH358" t="s">
        <v>74</v>
      </c>
      <c r="BI358">
        <v>14</v>
      </c>
      <c r="BJ358" t="s">
        <v>1409</v>
      </c>
      <c r="BK358" t="s">
        <v>100</v>
      </c>
      <c r="BL358" t="s">
        <v>1410</v>
      </c>
      <c r="BM358" t="s">
        <v>6907</v>
      </c>
      <c r="BN358" t="s">
        <v>74</v>
      </c>
      <c r="BO358" t="s">
        <v>631</v>
      </c>
      <c r="BP358" t="s">
        <v>74</v>
      </c>
      <c r="BQ358" t="s">
        <v>74</v>
      </c>
      <c r="BR358" t="s">
        <v>104</v>
      </c>
      <c r="BS358" t="s">
        <v>6908</v>
      </c>
      <c r="BT358" t="str">
        <f>HYPERLINK("https%3A%2F%2Fwww.webofscience.com%2Fwos%2Fwoscc%2Ffull-record%2FWOS:000281360500021","View Full Record in Web of Science")</f>
        <v>View Full Record in Web of Science</v>
      </c>
    </row>
    <row r="359" spans="1:72" x14ac:dyDescent="0.15">
      <c r="A359" t="s">
        <v>72</v>
      </c>
      <c r="B359" t="s">
        <v>6909</v>
      </c>
      <c r="C359" t="s">
        <v>74</v>
      </c>
      <c r="D359" t="s">
        <v>74</v>
      </c>
      <c r="E359" t="s">
        <v>74</v>
      </c>
      <c r="F359" t="s">
        <v>6910</v>
      </c>
      <c r="G359" t="s">
        <v>74</v>
      </c>
      <c r="H359" t="s">
        <v>74</v>
      </c>
      <c r="I359" t="s">
        <v>6911</v>
      </c>
      <c r="J359" t="s">
        <v>1393</v>
      </c>
      <c r="K359" t="s">
        <v>74</v>
      </c>
      <c r="L359" t="s">
        <v>74</v>
      </c>
      <c r="M359" t="s">
        <v>78</v>
      </c>
      <c r="N359" t="s">
        <v>79</v>
      </c>
      <c r="O359" t="s">
        <v>74</v>
      </c>
      <c r="P359" t="s">
        <v>74</v>
      </c>
      <c r="Q359" t="s">
        <v>74</v>
      </c>
      <c r="R359" t="s">
        <v>74</v>
      </c>
      <c r="S359" t="s">
        <v>74</v>
      </c>
      <c r="T359" t="s">
        <v>74</v>
      </c>
      <c r="U359" t="s">
        <v>6912</v>
      </c>
      <c r="V359" t="s">
        <v>6913</v>
      </c>
      <c r="W359" t="s">
        <v>6914</v>
      </c>
      <c r="X359" t="s">
        <v>6915</v>
      </c>
      <c r="Y359" t="s">
        <v>6916</v>
      </c>
      <c r="Z359" t="s">
        <v>6917</v>
      </c>
      <c r="AA359" t="s">
        <v>6918</v>
      </c>
      <c r="AB359" t="s">
        <v>6919</v>
      </c>
      <c r="AC359" t="s">
        <v>6920</v>
      </c>
      <c r="AD359" t="s">
        <v>6921</v>
      </c>
      <c r="AE359" t="s">
        <v>6922</v>
      </c>
      <c r="AF359" t="s">
        <v>74</v>
      </c>
      <c r="AG359">
        <v>120</v>
      </c>
      <c r="AH359">
        <v>52</v>
      </c>
      <c r="AI359">
        <v>57</v>
      </c>
      <c r="AJ359">
        <v>1</v>
      </c>
      <c r="AK359">
        <v>20</v>
      </c>
      <c r="AL359" t="s">
        <v>264</v>
      </c>
      <c r="AM359" t="s">
        <v>265</v>
      </c>
      <c r="AN359" t="s">
        <v>266</v>
      </c>
      <c r="AO359" t="s">
        <v>1404</v>
      </c>
      <c r="AP359" t="s">
        <v>74</v>
      </c>
      <c r="AQ359" t="s">
        <v>74</v>
      </c>
      <c r="AR359" t="s">
        <v>1405</v>
      </c>
      <c r="AS359" t="s">
        <v>1406</v>
      </c>
      <c r="AT359" t="s">
        <v>5206</v>
      </c>
      <c r="AU359">
        <v>2010</v>
      </c>
      <c r="AV359">
        <v>29</v>
      </c>
      <c r="AW359" t="s">
        <v>6905</v>
      </c>
      <c r="AX359" t="s">
        <v>74</v>
      </c>
      <c r="AY359" t="s">
        <v>74</v>
      </c>
      <c r="AZ359" t="s">
        <v>74</v>
      </c>
      <c r="BA359" t="s">
        <v>74</v>
      </c>
      <c r="BB359">
        <v>2741</v>
      </c>
      <c r="BC359">
        <v>2763</v>
      </c>
      <c r="BD359" t="s">
        <v>74</v>
      </c>
      <c r="BE359" t="s">
        <v>6923</v>
      </c>
      <c r="BF359" t="str">
        <f>HYPERLINK("http://dx.doi.org/10.1016/j.quascirev.2010.06.028","http://dx.doi.org/10.1016/j.quascirev.2010.06.028")</f>
        <v>http://dx.doi.org/10.1016/j.quascirev.2010.06.028</v>
      </c>
      <c r="BG359" t="s">
        <v>74</v>
      </c>
      <c r="BH359" t="s">
        <v>74</v>
      </c>
      <c r="BI359">
        <v>23</v>
      </c>
      <c r="BJ359" t="s">
        <v>1409</v>
      </c>
      <c r="BK359" t="s">
        <v>100</v>
      </c>
      <c r="BL359" t="s">
        <v>1410</v>
      </c>
      <c r="BM359" t="s">
        <v>6907</v>
      </c>
      <c r="BN359" t="s">
        <v>74</v>
      </c>
      <c r="BO359" t="s">
        <v>5408</v>
      </c>
      <c r="BP359" t="s">
        <v>74</v>
      </c>
      <c r="BQ359" t="s">
        <v>74</v>
      </c>
      <c r="BR359" t="s">
        <v>104</v>
      </c>
      <c r="BS359" t="s">
        <v>6924</v>
      </c>
      <c r="BT359" t="str">
        <f>HYPERLINK("https%3A%2F%2Fwww.webofscience.com%2Fwos%2Fwoscc%2Ffull-record%2FWOS:000281360500024","View Full Record in Web of Science")</f>
        <v>View Full Record in Web of Science</v>
      </c>
    </row>
    <row r="360" spans="1:72" x14ac:dyDescent="0.15">
      <c r="A360" t="s">
        <v>72</v>
      </c>
      <c r="B360" t="s">
        <v>6925</v>
      </c>
      <c r="C360" t="s">
        <v>74</v>
      </c>
      <c r="D360" t="s">
        <v>74</v>
      </c>
      <c r="E360" t="s">
        <v>74</v>
      </c>
      <c r="F360" t="s">
        <v>6926</v>
      </c>
      <c r="G360" t="s">
        <v>74</v>
      </c>
      <c r="H360" t="s">
        <v>74</v>
      </c>
      <c r="I360" t="s">
        <v>6927</v>
      </c>
      <c r="J360" t="s">
        <v>1393</v>
      </c>
      <c r="K360" t="s">
        <v>74</v>
      </c>
      <c r="L360" t="s">
        <v>74</v>
      </c>
      <c r="M360" t="s">
        <v>78</v>
      </c>
      <c r="N360" t="s">
        <v>239</v>
      </c>
      <c r="O360" t="s">
        <v>74</v>
      </c>
      <c r="P360" t="s">
        <v>74</v>
      </c>
      <c r="Q360" t="s">
        <v>74</v>
      </c>
      <c r="R360" t="s">
        <v>74</v>
      </c>
      <c r="S360" t="s">
        <v>74</v>
      </c>
      <c r="T360" t="s">
        <v>74</v>
      </c>
      <c r="U360" t="s">
        <v>74</v>
      </c>
      <c r="V360" t="s">
        <v>74</v>
      </c>
      <c r="W360" t="s">
        <v>6928</v>
      </c>
      <c r="X360" t="s">
        <v>6929</v>
      </c>
      <c r="Y360" t="s">
        <v>6930</v>
      </c>
      <c r="Z360" t="s">
        <v>6931</v>
      </c>
      <c r="AA360" t="s">
        <v>74</v>
      </c>
      <c r="AB360" t="s">
        <v>74</v>
      </c>
      <c r="AC360" t="s">
        <v>74</v>
      </c>
      <c r="AD360" t="s">
        <v>74</v>
      </c>
      <c r="AE360" t="s">
        <v>74</v>
      </c>
      <c r="AF360" t="s">
        <v>74</v>
      </c>
      <c r="AG360">
        <v>1</v>
      </c>
      <c r="AH360">
        <v>0</v>
      </c>
      <c r="AI360">
        <v>0</v>
      </c>
      <c r="AJ360">
        <v>1</v>
      </c>
      <c r="AK360">
        <v>9</v>
      </c>
      <c r="AL360" t="s">
        <v>264</v>
      </c>
      <c r="AM360" t="s">
        <v>265</v>
      </c>
      <c r="AN360" t="s">
        <v>266</v>
      </c>
      <c r="AO360" t="s">
        <v>1404</v>
      </c>
      <c r="AP360" t="s">
        <v>74</v>
      </c>
      <c r="AQ360" t="s">
        <v>74</v>
      </c>
      <c r="AR360" t="s">
        <v>1405</v>
      </c>
      <c r="AS360" t="s">
        <v>1406</v>
      </c>
      <c r="AT360" t="s">
        <v>5206</v>
      </c>
      <c r="AU360">
        <v>2010</v>
      </c>
      <c r="AV360">
        <v>29</v>
      </c>
      <c r="AW360" t="s">
        <v>6905</v>
      </c>
      <c r="AX360" t="s">
        <v>74</v>
      </c>
      <c r="AY360" t="s">
        <v>74</v>
      </c>
      <c r="AZ360" t="s">
        <v>74</v>
      </c>
      <c r="BA360" t="s">
        <v>74</v>
      </c>
      <c r="BB360">
        <v>2821</v>
      </c>
      <c r="BC360">
        <v>2822</v>
      </c>
      <c r="BD360" t="s">
        <v>74</v>
      </c>
      <c r="BE360" t="s">
        <v>6932</v>
      </c>
      <c r="BF360" t="str">
        <f>HYPERLINK("http://dx.doi.org/10.1016/j.quascirev.2010.06.025","http://dx.doi.org/10.1016/j.quascirev.2010.06.025")</f>
        <v>http://dx.doi.org/10.1016/j.quascirev.2010.06.025</v>
      </c>
      <c r="BG360" t="s">
        <v>74</v>
      </c>
      <c r="BH360" t="s">
        <v>74</v>
      </c>
      <c r="BI360">
        <v>2</v>
      </c>
      <c r="BJ360" t="s">
        <v>1409</v>
      </c>
      <c r="BK360" t="s">
        <v>100</v>
      </c>
      <c r="BL360" t="s">
        <v>1410</v>
      </c>
      <c r="BM360" t="s">
        <v>6907</v>
      </c>
      <c r="BN360" t="s">
        <v>74</v>
      </c>
      <c r="BO360" t="s">
        <v>394</v>
      </c>
      <c r="BP360" t="s">
        <v>74</v>
      </c>
      <c r="BQ360" t="s">
        <v>74</v>
      </c>
      <c r="BR360" t="s">
        <v>104</v>
      </c>
      <c r="BS360" t="s">
        <v>6933</v>
      </c>
      <c r="BT360" t="str">
        <f>HYPERLINK("https%3A%2F%2Fwww.webofscience.com%2Fwos%2Fwoscc%2Ffull-record%2FWOS:000281360500029","View Full Record in Web of Science")</f>
        <v>View Full Record in Web of Science</v>
      </c>
    </row>
    <row r="361" spans="1:72" x14ac:dyDescent="0.15">
      <c r="A361" t="s">
        <v>72</v>
      </c>
      <c r="B361" t="s">
        <v>6934</v>
      </c>
      <c r="C361" t="s">
        <v>74</v>
      </c>
      <c r="D361" t="s">
        <v>74</v>
      </c>
      <c r="E361" t="s">
        <v>74</v>
      </c>
      <c r="F361" t="s">
        <v>6935</v>
      </c>
      <c r="G361" t="s">
        <v>74</v>
      </c>
      <c r="H361" t="s">
        <v>74</v>
      </c>
      <c r="I361" t="s">
        <v>6936</v>
      </c>
      <c r="J361" t="s">
        <v>6937</v>
      </c>
      <c r="K361" t="s">
        <v>74</v>
      </c>
      <c r="L361" t="s">
        <v>74</v>
      </c>
      <c r="M361" t="s">
        <v>4311</v>
      </c>
      <c r="N361" t="s">
        <v>79</v>
      </c>
      <c r="O361" t="s">
        <v>74</v>
      </c>
      <c r="P361" t="s">
        <v>74</v>
      </c>
      <c r="Q361" t="s">
        <v>74</v>
      </c>
      <c r="R361" t="s">
        <v>74</v>
      </c>
      <c r="S361" t="s">
        <v>74</v>
      </c>
      <c r="T361" t="s">
        <v>6938</v>
      </c>
      <c r="U361" t="s">
        <v>6939</v>
      </c>
      <c r="V361" t="s">
        <v>6940</v>
      </c>
      <c r="W361" t="s">
        <v>6941</v>
      </c>
      <c r="X361" t="s">
        <v>6942</v>
      </c>
      <c r="Y361" t="s">
        <v>6943</v>
      </c>
      <c r="Z361" t="s">
        <v>6944</v>
      </c>
      <c r="AA361" t="s">
        <v>6945</v>
      </c>
      <c r="AB361" t="s">
        <v>6946</v>
      </c>
      <c r="AC361" t="s">
        <v>74</v>
      </c>
      <c r="AD361" t="s">
        <v>74</v>
      </c>
      <c r="AE361" t="s">
        <v>74</v>
      </c>
      <c r="AF361" t="s">
        <v>74</v>
      </c>
      <c r="AG361">
        <v>31</v>
      </c>
      <c r="AH361">
        <v>6</v>
      </c>
      <c r="AI361">
        <v>6</v>
      </c>
      <c r="AJ361">
        <v>0</v>
      </c>
      <c r="AK361">
        <v>8</v>
      </c>
      <c r="AL361" t="s">
        <v>6947</v>
      </c>
      <c r="AM361" t="s">
        <v>6948</v>
      </c>
      <c r="AN361" t="s">
        <v>6949</v>
      </c>
      <c r="AO361" t="s">
        <v>6950</v>
      </c>
      <c r="AP361" t="s">
        <v>74</v>
      </c>
      <c r="AQ361" t="s">
        <v>74</v>
      </c>
      <c r="AR361" t="s">
        <v>6951</v>
      </c>
      <c r="AS361" t="s">
        <v>6952</v>
      </c>
      <c r="AT361" t="s">
        <v>5206</v>
      </c>
      <c r="AU361">
        <v>2010</v>
      </c>
      <c r="AV361">
        <v>83</v>
      </c>
      <c r="AW361">
        <v>3</v>
      </c>
      <c r="AX361" t="s">
        <v>74</v>
      </c>
      <c r="AY361" t="s">
        <v>74</v>
      </c>
      <c r="AZ361" t="s">
        <v>74</v>
      </c>
      <c r="BA361" t="s">
        <v>74</v>
      </c>
      <c r="BB361">
        <v>409</v>
      </c>
      <c r="BC361">
        <v>420</v>
      </c>
      <c r="BD361" t="s">
        <v>74</v>
      </c>
      <c r="BE361" t="s">
        <v>74</v>
      </c>
      <c r="BF361" t="s">
        <v>74</v>
      </c>
      <c r="BG361" t="s">
        <v>74</v>
      </c>
      <c r="BH361" t="s">
        <v>74</v>
      </c>
      <c r="BI361">
        <v>12</v>
      </c>
      <c r="BJ361" t="s">
        <v>1282</v>
      </c>
      <c r="BK361" t="s">
        <v>100</v>
      </c>
      <c r="BL361" t="s">
        <v>680</v>
      </c>
      <c r="BM361" t="s">
        <v>6953</v>
      </c>
      <c r="BN361" t="s">
        <v>74</v>
      </c>
      <c r="BO361" t="s">
        <v>6954</v>
      </c>
      <c r="BP361" t="s">
        <v>74</v>
      </c>
      <c r="BQ361" t="s">
        <v>74</v>
      </c>
      <c r="BR361" t="s">
        <v>104</v>
      </c>
      <c r="BS361" t="s">
        <v>6955</v>
      </c>
      <c r="BT361" t="str">
        <f>HYPERLINK("https%3A%2F%2Fwww.webofscience.com%2Fwos%2Fwoscc%2Ffull-record%2FWOS:000283685100008","View Full Record in Web of Science")</f>
        <v>View Full Record in Web of Science</v>
      </c>
    </row>
    <row r="362" spans="1:72" x14ac:dyDescent="0.15">
      <c r="A362" t="s">
        <v>72</v>
      </c>
      <c r="B362" t="s">
        <v>6956</v>
      </c>
      <c r="C362" t="s">
        <v>74</v>
      </c>
      <c r="D362" t="s">
        <v>74</v>
      </c>
      <c r="E362" t="s">
        <v>74</v>
      </c>
      <c r="F362" t="s">
        <v>6957</v>
      </c>
      <c r="G362" t="s">
        <v>74</v>
      </c>
      <c r="H362" t="s">
        <v>74</v>
      </c>
      <c r="I362" t="s">
        <v>6958</v>
      </c>
      <c r="J362" t="s">
        <v>4328</v>
      </c>
      <c r="K362" t="s">
        <v>74</v>
      </c>
      <c r="L362" t="s">
        <v>74</v>
      </c>
      <c r="M362" t="s">
        <v>78</v>
      </c>
      <c r="N362" t="s">
        <v>79</v>
      </c>
      <c r="O362" t="s">
        <v>74</v>
      </c>
      <c r="P362" t="s">
        <v>74</v>
      </c>
      <c r="Q362" t="s">
        <v>74</v>
      </c>
      <c r="R362" t="s">
        <v>74</v>
      </c>
      <c r="S362" t="s">
        <v>74</v>
      </c>
      <c r="T362" t="s">
        <v>74</v>
      </c>
      <c r="U362" t="s">
        <v>74</v>
      </c>
      <c r="V362" t="s">
        <v>6959</v>
      </c>
      <c r="W362" t="s">
        <v>6960</v>
      </c>
      <c r="X362" t="s">
        <v>4331</v>
      </c>
      <c r="Y362" t="s">
        <v>6961</v>
      </c>
      <c r="Z362" t="s">
        <v>74</v>
      </c>
      <c r="AA362" t="s">
        <v>74</v>
      </c>
      <c r="AB362" t="s">
        <v>74</v>
      </c>
      <c r="AC362" t="s">
        <v>6962</v>
      </c>
      <c r="AD362" t="s">
        <v>4335</v>
      </c>
      <c r="AE362" t="s">
        <v>6963</v>
      </c>
      <c r="AF362" t="s">
        <v>74</v>
      </c>
      <c r="AG362">
        <v>10</v>
      </c>
      <c r="AH362">
        <v>2</v>
      </c>
      <c r="AI362">
        <v>2</v>
      </c>
      <c r="AJ362">
        <v>0</v>
      </c>
      <c r="AK362">
        <v>2</v>
      </c>
      <c r="AL362" t="s">
        <v>6457</v>
      </c>
      <c r="AM362" t="s">
        <v>6458</v>
      </c>
      <c r="AN362" t="s">
        <v>6459</v>
      </c>
      <c r="AO362" t="s">
        <v>4339</v>
      </c>
      <c r="AP362" t="s">
        <v>6964</v>
      </c>
      <c r="AQ362" t="s">
        <v>74</v>
      </c>
      <c r="AR362" t="s">
        <v>4340</v>
      </c>
      <c r="AS362" t="s">
        <v>4341</v>
      </c>
      <c r="AT362" t="s">
        <v>5206</v>
      </c>
      <c r="AU362">
        <v>2010</v>
      </c>
      <c r="AV362">
        <v>35</v>
      </c>
      <c r="AW362">
        <v>9</v>
      </c>
      <c r="AX362" t="s">
        <v>74</v>
      </c>
      <c r="AY362" t="s">
        <v>74</v>
      </c>
      <c r="AZ362" t="s">
        <v>74</v>
      </c>
      <c r="BA362" t="s">
        <v>74</v>
      </c>
      <c r="BB362">
        <v>619</v>
      </c>
      <c r="BC362">
        <v>623</v>
      </c>
      <c r="BD362" t="s">
        <v>74</v>
      </c>
      <c r="BE362" t="s">
        <v>6965</v>
      </c>
      <c r="BF362" t="str">
        <f>HYPERLINK("http://dx.doi.org/10.3103/S1068373910090062","http://dx.doi.org/10.3103/S1068373910090062")</f>
        <v>http://dx.doi.org/10.3103/S1068373910090062</v>
      </c>
      <c r="BG362" t="s">
        <v>74</v>
      </c>
      <c r="BH362" t="s">
        <v>74</v>
      </c>
      <c r="BI362">
        <v>5</v>
      </c>
      <c r="BJ362" t="s">
        <v>319</v>
      </c>
      <c r="BK362" t="s">
        <v>100</v>
      </c>
      <c r="BL362" t="s">
        <v>319</v>
      </c>
      <c r="BM362" t="s">
        <v>6966</v>
      </c>
      <c r="BN362" t="s">
        <v>74</v>
      </c>
      <c r="BO362" t="s">
        <v>74</v>
      </c>
      <c r="BP362" t="s">
        <v>74</v>
      </c>
      <c r="BQ362" t="s">
        <v>74</v>
      </c>
      <c r="BR362" t="s">
        <v>104</v>
      </c>
      <c r="BS362" t="s">
        <v>6967</v>
      </c>
      <c r="BT362" t="str">
        <f>HYPERLINK("https%3A%2F%2Fwww.webofscience.com%2Fwos%2Fwoscc%2Ffull-record%2FWOS:000284156300006","View Full Record in Web of Science")</f>
        <v>View Full Record in Web of Science</v>
      </c>
    </row>
    <row r="363" spans="1:72" x14ac:dyDescent="0.15">
      <c r="A363" t="s">
        <v>72</v>
      </c>
      <c r="B363" t="s">
        <v>6968</v>
      </c>
      <c r="C363" t="s">
        <v>74</v>
      </c>
      <c r="D363" t="s">
        <v>74</v>
      </c>
      <c r="E363" t="s">
        <v>74</v>
      </c>
      <c r="F363" t="s">
        <v>6969</v>
      </c>
      <c r="G363" t="s">
        <v>74</v>
      </c>
      <c r="H363" t="s">
        <v>74</v>
      </c>
      <c r="I363" t="s">
        <v>6970</v>
      </c>
      <c r="J363" t="s">
        <v>6971</v>
      </c>
      <c r="K363" t="s">
        <v>74</v>
      </c>
      <c r="L363" t="s">
        <v>74</v>
      </c>
      <c r="M363" t="s">
        <v>78</v>
      </c>
      <c r="N363" t="s">
        <v>79</v>
      </c>
      <c r="O363" t="s">
        <v>74</v>
      </c>
      <c r="P363" t="s">
        <v>74</v>
      </c>
      <c r="Q363" t="s">
        <v>74</v>
      </c>
      <c r="R363" t="s">
        <v>74</v>
      </c>
      <c r="S363" t="s">
        <v>74</v>
      </c>
      <c r="T363" t="s">
        <v>6972</v>
      </c>
      <c r="U363" t="s">
        <v>6973</v>
      </c>
      <c r="V363" t="s">
        <v>6974</v>
      </c>
      <c r="W363" t="s">
        <v>6975</v>
      </c>
      <c r="X363" t="s">
        <v>6976</v>
      </c>
      <c r="Y363" t="s">
        <v>6977</v>
      </c>
      <c r="Z363" t="s">
        <v>5311</v>
      </c>
      <c r="AA363" t="s">
        <v>74</v>
      </c>
      <c r="AB363" t="s">
        <v>74</v>
      </c>
      <c r="AC363" t="s">
        <v>6978</v>
      </c>
      <c r="AD363" t="s">
        <v>6979</v>
      </c>
      <c r="AE363" t="s">
        <v>6980</v>
      </c>
      <c r="AF363" t="s">
        <v>74</v>
      </c>
      <c r="AG363">
        <v>23</v>
      </c>
      <c r="AH363">
        <v>7</v>
      </c>
      <c r="AI363">
        <v>9</v>
      </c>
      <c r="AJ363">
        <v>0</v>
      </c>
      <c r="AK363">
        <v>10</v>
      </c>
      <c r="AL363" t="s">
        <v>436</v>
      </c>
      <c r="AM363" t="s">
        <v>437</v>
      </c>
      <c r="AN363" t="s">
        <v>438</v>
      </c>
      <c r="AO363" t="s">
        <v>6981</v>
      </c>
      <c r="AP363" t="s">
        <v>74</v>
      </c>
      <c r="AQ363" t="s">
        <v>74</v>
      </c>
      <c r="AR363" t="s">
        <v>6982</v>
      </c>
      <c r="AS363" t="s">
        <v>6983</v>
      </c>
      <c r="AT363" t="s">
        <v>5206</v>
      </c>
      <c r="AU363">
        <v>2010</v>
      </c>
      <c r="AV363">
        <v>53</v>
      </c>
      <c r="AW363">
        <v>9</v>
      </c>
      <c r="AX363" t="s">
        <v>74</v>
      </c>
      <c r="AY363" t="s">
        <v>74</v>
      </c>
      <c r="AZ363" t="s">
        <v>74</v>
      </c>
      <c r="BA363" t="s">
        <v>74</v>
      </c>
      <c r="BB363">
        <v>1343</v>
      </c>
      <c r="BC363">
        <v>1350</v>
      </c>
      <c r="BD363" t="s">
        <v>74</v>
      </c>
      <c r="BE363" t="s">
        <v>6984</v>
      </c>
      <c r="BF363" t="str">
        <f>HYPERLINK("http://dx.doi.org/10.1007/s11430-010-4023-y","http://dx.doi.org/10.1007/s11430-010-4023-y")</f>
        <v>http://dx.doi.org/10.1007/s11430-010-4023-y</v>
      </c>
      <c r="BG363" t="s">
        <v>74</v>
      </c>
      <c r="BH363" t="s">
        <v>74</v>
      </c>
      <c r="BI363">
        <v>8</v>
      </c>
      <c r="BJ363" t="s">
        <v>1194</v>
      </c>
      <c r="BK363" t="s">
        <v>100</v>
      </c>
      <c r="BL363" t="s">
        <v>807</v>
      </c>
      <c r="BM363" t="s">
        <v>6985</v>
      </c>
      <c r="BN363" t="s">
        <v>74</v>
      </c>
      <c r="BO363" t="s">
        <v>74</v>
      </c>
      <c r="BP363" t="s">
        <v>74</v>
      </c>
      <c r="BQ363" t="s">
        <v>74</v>
      </c>
      <c r="BR363" t="s">
        <v>104</v>
      </c>
      <c r="BS363" t="s">
        <v>6986</v>
      </c>
      <c r="BT363" t="str">
        <f>HYPERLINK("https%3A%2F%2Fwww.webofscience.com%2Fwos%2Fwoscc%2Ffull-record%2FWOS:000281686200010","View Full Record in Web of Science")</f>
        <v>View Full Record in Web of Science</v>
      </c>
    </row>
    <row r="364" spans="1:72" x14ac:dyDescent="0.15">
      <c r="A364" t="s">
        <v>72</v>
      </c>
      <c r="B364" t="s">
        <v>6987</v>
      </c>
      <c r="C364" t="s">
        <v>74</v>
      </c>
      <c r="D364" t="s">
        <v>74</v>
      </c>
      <c r="E364" t="s">
        <v>74</v>
      </c>
      <c r="F364" t="s">
        <v>6988</v>
      </c>
      <c r="G364" t="s">
        <v>74</v>
      </c>
      <c r="H364" t="s">
        <v>74</v>
      </c>
      <c r="I364" t="s">
        <v>6989</v>
      </c>
      <c r="J364" t="s">
        <v>6990</v>
      </c>
      <c r="K364" t="s">
        <v>74</v>
      </c>
      <c r="L364" t="s">
        <v>74</v>
      </c>
      <c r="M364" t="s">
        <v>78</v>
      </c>
      <c r="N364" t="s">
        <v>79</v>
      </c>
      <c r="O364" t="s">
        <v>74</v>
      </c>
      <c r="P364" t="s">
        <v>74</v>
      </c>
      <c r="Q364" t="s">
        <v>74</v>
      </c>
      <c r="R364" t="s">
        <v>74</v>
      </c>
      <c r="S364" t="s">
        <v>74</v>
      </c>
      <c r="T364" t="s">
        <v>74</v>
      </c>
      <c r="U364" t="s">
        <v>6991</v>
      </c>
      <c r="V364" t="s">
        <v>6992</v>
      </c>
      <c r="W364" t="s">
        <v>6993</v>
      </c>
      <c r="X364" t="s">
        <v>6994</v>
      </c>
      <c r="Y364" t="s">
        <v>6995</v>
      </c>
      <c r="Z364" t="s">
        <v>6996</v>
      </c>
      <c r="AA364" t="s">
        <v>6997</v>
      </c>
      <c r="AB364" t="s">
        <v>6998</v>
      </c>
      <c r="AC364" t="s">
        <v>74</v>
      </c>
      <c r="AD364" t="s">
        <v>74</v>
      </c>
      <c r="AE364" t="s">
        <v>74</v>
      </c>
      <c r="AF364" t="s">
        <v>74</v>
      </c>
      <c r="AG364">
        <v>119</v>
      </c>
      <c r="AH364">
        <v>19</v>
      </c>
      <c r="AI364">
        <v>20</v>
      </c>
      <c r="AJ364">
        <v>1</v>
      </c>
      <c r="AK364">
        <v>48</v>
      </c>
      <c r="AL364" t="s">
        <v>923</v>
      </c>
      <c r="AM364" t="s">
        <v>339</v>
      </c>
      <c r="AN364" t="s">
        <v>340</v>
      </c>
      <c r="AO364" t="s">
        <v>6999</v>
      </c>
      <c r="AP364" t="s">
        <v>7000</v>
      </c>
      <c r="AQ364" t="s">
        <v>74</v>
      </c>
      <c r="AR364" t="s">
        <v>7001</v>
      </c>
      <c r="AS364" t="s">
        <v>7002</v>
      </c>
      <c r="AT364" t="s">
        <v>5441</v>
      </c>
      <c r="AU364">
        <v>2010</v>
      </c>
      <c r="AV364">
        <v>1</v>
      </c>
      <c r="AW364">
        <v>5</v>
      </c>
      <c r="AX364" t="s">
        <v>74</v>
      </c>
      <c r="AY364" t="s">
        <v>74</v>
      </c>
      <c r="AZ364" t="s">
        <v>74</v>
      </c>
      <c r="BA364" t="s">
        <v>74</v>
      </c>
      <c r="BB364">
        <v>654</v>
      </c>
      <c r="BC364">
        <v>669</v>
      </c>
      <c r="BD364" t="s">
        <v>74</v>
      </c>
      <c r="BE364" t="s">
        <v>7003</v>
      </c>
      <c r="BF364" t="str">
        <f>HYPERLINK("http://dx.doi.org/10.1002/wcc.72","http://dx.doi.org/10.1002/wcc.72")</f>
        <v>http://dx.doi.org/10.1002/wcc.72</v>
      </c>
      <c r="BG364" t="s">
        <v>74</v>
      </c>
      <c r="BH364" t="s">
        <v>74</v>
      </c>
      <c r="BI364">
        <v>16</v>
      </c>
      <c r="BJ364" t="s">
        <v>7004</v>
      </c>
      <c r="BK364" t="s">
        <v>2796</v>
      </c>
      <c r="BL364" t="s">
        <v>273</v>
      </c>
      <c r="BM364" t="s">
        <v>7005</v>
      </c>
      <c r="BN364" t="s">
        <v>74</v>
      </c>
      <c r="BO364" t="s">
        <v>74</v>
      </c>
      <c r="BP364" t="s">
        <v>74</v>
      </c>
      <c r="BQ364" t="s">
        <v>74</v>
      </c>
      <c r="BR364" t="s">
        <v>104</v>
      </c>
      <c r="BS364" t="s">
        <v>7006</v>
      </c>
      <c r="BT364" t="str">
        <f>HYPERLINK("https%3A%2F%2Fwww.webofscience.com%2Fwos%2Fwoscc%2Ffull-record%2FWOS:000291737700005","View Full Record in Web of Science")</f>
        <v>View Full Record in Web of Science</v>
      </c>
    </row>
    <row r="365" spans="1:72" x14ac:dyDescent="0.15">
      <c r="A365" t="s">
        <v>72</v>
      </c>
      <c r="B365" t="s">
        <v>7007</v>
      </c>
      <c r="C365" t="s">
        <v>74</v>
      </c>
      <c r="D365" t="s">
        <v>74</v>
      </c>
      <c r="E365" t="s">
        <v>74</v>
      </c>
      <c r="F365" t="s">
        <v>7008</v>
      </c>
      <c r="G365" t="s">
        <v>74</v>
      </c>
      <c r="H365" t="s">
        <v>74</v>
      </c>
      <c r="I365" t="s">
        <v>7009</v>
      </c>
      <c r="J365" t="s">
        <v>7010</v>
      </c>
      <c r="K365" t="s">
        <v>74</v>
      </c>
      <c r="L365" t="s">
        <v>74</v>
      </c>
      <c r="M365" t="s">
        <v>78</v>
      </c>
      <c r="N365" t="s">
        <v>79</v>
      </c>
      <c r="O365" t="s">
        <v>74</v>
      </c>
      <c r="P365" t="s">
        <v>74</v>
      </c>
      <c r="Q365" t="s">
        <v>74</v>
      </c>
      <c r="R365" t="s">
        <v>74</v>
      </c>
      <c r="S365" t="s">
        <v>74</v>
      </c>
      <c r="T365" t="s">
        <v>7011</v>
      </c>
      <c r="U365" t="s">
        <v>7012</v>
      </c>
      <c r="V365" t="s">
        <v>7013</v>
      </c>
      <c r="W365" t="s">
        <v>7014</v>
      </c>
      <c r="X365" t="s">
        <v>7015</v>
      </c>
      <c r="Y365" t="s">
        <v>7016</v>
      </c>
      <c r="Z365" t="s">
        <v>7017</v>
      </c>
      <c r="AA365" t="s">
        <v>7018</v>
      </c>
      <c r="AB365" t="s">
        <v>7019</v>
      </c>
      <c r="AC365" t="s">
        <v>7020</v>
      </c>
      <c r="AD365" t="s">
        <v>7021</v>
      </c>
      <c r="AE365" t="s">
        <v>7022</v>
      </c>
      <c r="AF365" t="s">
        <v>74</v>
      </c>
      <c r="AG365">
        <v>54</v>
      </c>
      <c r="AH365">
        <v>67</v>
      </c>
      <c r="AI365">
        <v>73</v>
      </c>
      <c r="AJ365">
        <v>0</v>
      </c>
      <c r="AK365">
        <v>50</v>
      </c>
      <c r="AL365" t="s">
        <v>1038</v>
      </c>
      <c r="AM365" t="s">
        <v>550</v>
      </c>
      <c r="AN365" t="s">
        <v>1039</v>
      </c>
      <c r="AO365" t="s">
        <v>7023</v>
      </c>
      <c r="AP365" t="s">
        <v>7024</v>
      </c>
      <c r="AQ365" t="s">
        <v>74</v>
      </c>
      <c r="AR365" t="s">
        <v>7025</v>
      </c>
      <c r="AS365" t="s">
        <v>7026</v>
      </c>
      <c r="AT365" t="s">
        <v>7027</v>
      </c>
      <c r="AU365">
        <v>2010</v>
      </c>
      <c r="AV365">
        <v>676</v>
      </c>
      <c r="AW365" t="s">
        <v>4513</v>
      </c>
      <c r="AX365" t="s">
        <v>74</v>
      </c>
      <c r="AY365" t="s">
        <v>74</v>
      </c>
      <c r="AZ365" t="s">
        <v>74</v>
      </c>
      <c r="BA365" t="s">
        <v>74</v>
      </c>
      <c r="BB365">
        <v>15</v>
      </c>
      <c r="BC365">
        <v>27</v>
      </c>
      <c r="BD365" t="s">
        <v>74</v>
      </c>
      <c r="BE365" t="s">
        <v>7028</v>
      </c>
      <c r="BF365" t="str">
        <f>HYPERLINK("http://dx.doi.org/10.1016/j.aca.2010.07.037","http://dx.doi.org/10.1016/j.aca.2010.07.037")</f>
        <v>http://dx.doi.org/10.1016/j.aca.2010.07.037</v>
      </c>
      <c r="BG365" t="s">
        <v>74</v>
      </c>
      <c r="BH365" t="s">
        <v>74</v>
      </c>
      <c r="BI365">
        <v>13</v>
      </c>
      <c r="BJ365" t="s">
        <v>391</v>
      </c>
      <c r="BK365" t="s">
        <v>100</v>
      </c>
      <c r="BL365" t="s">
        <v>392</v>
      </c>
      <c r="BM365" t="s">
        <v>7029</v>
      </c>
      <c r="BN365">
        <v>20800737</v>
      </c>
      <c r="BO365" t="s">
        <v>74</v>
      </c>
      <c r="BP365" t="s">
        <v>74</v>
      </c>
      <c r="BQ365" t="s">
        <v>74</v>
      </c>
      <c r="BR365" t="s">
        <v>104</v>
      </c>
      <c r="BS365" t="s">
        <v>7030</v>
      </c>
      <c r="BT365" t="str">
        <f>HYPERLINK("https%3A%2F%2Fwww.webofscience.com%2Fwos%2Fwoscc%2Ffull-record%2FWOS:000281990500003","View Full Record in Web of Science")</f>
        <v>View Full Record in Web of Science</v>
      </c>
    </row>
    <row r="366" spans="1:72" x14ac:dyDescent="0.15">
      <c r="A366" t="s">
        <v>72</v>
      </c>
      <c r="B366" t="s">
        <v>7031</v>
      </c>
      <c r="C366" t="s">
        <v>74</v>
      </c>
      <c r="D366" t="s">
        <v>74</v>
      </c>
      <c r="E366" t="s">
        <v>74</v>
      </c>
      <c r="F366" t="s">
        <v>7032</v>
      </c>
      <c r="G366" t="s">
        <v>74</v>
      </c>
      <c r="H366" t="s">
        <v>74</v>
      </c>
      <c r="I366" t="s">
        <v>7033</v>
      </c>
      <c r="J366" t="s">
        <v>4495</v>
      </c>
      <c r="K366" t="s">
        <v>74</v>
      </c>
      <c r="L366" t="s">
        <v>74</v>
      </c>
      <c r="M366" t="s">
        <v>78</v>
      </c>
      <c r="N366" t="s">
        <v>1202</v>
      </c>
      <c r="O366" t="s">
        <v>7034</v>
      </c>
      <c r="P366" t="s">
        <v>7035</v>
      </c>
      <c r="Q366" t="s">
        <v>7036</v>
      </c>
      <c r="R366" t="s">
        <v>74</v>
      </c>
      <c r="S366" t="s">
        <v>74</v>
      </c>
      <c r="T366" t="s">
        <v>7037</v>
      </c>
      <c r="U366" t="s">
        <v>7038</v>
      </c>
      <c r="V366" t="s">
        <v>7039</v>
      </c>
      <c r="W366" t="s">
        <v>7040</v>
      </c>
      <c r="X366" t="s">
        <v>7041</v>
      </c>
      <c r="Y366" t="s">
        <v>7042</v>
      </c>
      <c r="Z366" t="s">
        <v>7043</v>
      </c>
      <c r="AA366" t="s">
        <v>7044</v>
      </c>
      <c r="AB366" t="s">
        <v>7045</v>
      </c>
      <c r="AC366" t="s">
        <v>74</v>
      </c>
      <c r="AD366" t="s">
        <v>74</v>
      </c>
      <c r="AE366" t="s">
        <v>74</v>
      </c>
      <c r="AF366" t="s">
        <v>74</v>
      </c>
      <c r="AG366">
        <v>17</v>
      </c>
      <c r="AH366">
        <v>3</v>
      </c>
      <c r="AI366">
        <v>3</v>
      </c>
      <c r="AJ366">
        <v>0</v>
      </c>
      <c r="AK366">
        <v>7</v>
      </c>
      <c r="AL366" t="s">
        <v>549</v>
      </c>
      <c r="AM366" t="s">
        <v>550</v>
      </c>
      <c r="AN366" t="s">
        <v>551</v>
      </c>
      <c r="AO366" t="s">
        <v>4508</v>
      </c>
      <c r="AP366" t="s">
        <v>74</v>
      </c>
      <c r="AQ366" t="s">
        <v>74</v>
      </c>
      <c r="AR366" t="s">
        <v>4510</v>
      </c>
      <c r="AS366" t="s">
        <v>4511</v>
      </c>
      <c r="AT366" t="s">
        <v>7027</v>
      </c>
      <c r="AU366">
        <v>2010</v>
      </c>
      <c r="AV366">
        <v>392</v>
      </c>
      <c r="AW366" t="s">
        <v>4513</v>
      </c>
      <c r="AX366" t="s">
        <v>74</v>
      </c>
      <c r="AY366" t="s">
        <v>74</v>
      </c>
      <c r="AZ366" t="s">
        <v>582</v>
      </c>
      <c r="BA366" t="s">
        <v>74</v>
      </c>
      <c r="BB366">
        <v>125</v>
      </c>
      <c r="BC366">
        <v>128</v>
      </c>
      <c r="BD366" t="s">
        <v>74</v>
      </c>
      <c r="BE366" t="s">
        <v>7046</v>
      </c>
      <c r="BF366" t="str">
        <f>HYPERLINK("http://dx.doi.org/10.1016/j.jembe.2010.04.016","http://dx.doi.org/10.1016/j.jembe.2010.04.016")</f>
        <v>http://dx.doi.org/10.1016/j.jembe.2010.04.016</v>
      </c>
      <c r="BG366" t="s">
        <v>74</v>
      </c>
      <c r="BH366" t="s">
        <v>74</v>
      </c>
      <c r="BI366">
        <v>4</v>
      </c>
      <c r="BJ366" t="s">
        <v>4515</v>
      </c>
      <c r="BK366" t="s">
        <v>1219</v>
      </c>
      <c r="BL366" t="s">
        <v>4516</v>
      </c>
      <c r="BM366" t="s">
        <v>7047</v>
      </c>
      <c r="BN366" t="s">
        <v>74</v>
      </c>
      <c r="BO366" t="s">
        <v>134</v>
      </c>
      <c r="BP366" t="s">
        <v>74</v>
      </c>
      <c r="BQ366" t="s">
        <v>74</v>
      </c>
      <c r="BR366" t="s">
        <v>104</v>
      </c>
      <c r="BS366" t="s">
        <v>7048</v>
      </c>
      <c r="BT366" t="str">
        <f>HYPERLINK("https%3A%2F%2Fwww.webofscience.com%2Fwos%2Fwoscc%2Ffull-record%2FWOS:000282196800013","View Full Record in Web of Science")</f>
        <v>View Full Record in Web of Science</v>
      </c>
    </row>
    <row r="367" spans="1:72" x14ac:dyDescent="0.15">
      <c r="A367" t="s">
        <v>72</v>
      </c>
      <c r="B367" t="s">
        <v>7049</v>
      </c>
      <c r="C367" t="s">
        <v>74</v>
      </c>
      <c r="D367" t="s">
        <v>74</v>
      </c>
      <c r="E367" t="s">
        <v>74</v>
      </c>
      <c r="F367" t="s">
        <v>7050</v>
      </c>
      <c r="G367" t="s">
        <v>74</v>
      </c>
      <c r="H367" t="s">
        <v>74</v>
      </c>
      <c r="I367" t="s">
        <v>7051</v>
      </c>
      <c r="J367" t="s">
        <v>1702</v>
      </c>
      <c r="K367" t="s">
        <v>74</v>
      </c>
      <c r="L367" t="s">
        <v>74</v>
      </c>
      <c r="M367" t="s">
        <v>78</v>
      </c>
      <c r="N367" t="s">
        <v>79</v>
      </c>
      <c r="O367" t="s">
        <v>74</v>
      </c>
      <c r="P367" t="s">
        <v>74</v>
      </c>
      <c r="Q367" t="s">
        <v>74</v>
      </c>
      <c r="R367" t="s">
        <v>74</v>
      </c>
      <c r="S367" t="s">
        <v>74</v>
      </c>
      <c r="T367" t="s">
        <v>74</v>
      </c>
      <c r="U367" t="s">
        <v>7052</v>
      </c>
      <c r="V367" t="s">
        <v>7053</v>
      </c>
      <c r="W367" t="s">
        <v>7054</v>
      </c>
      <c r="X367" t="s">
        <v>7055</v>
      </c>
      <c r="Y367" t="s">
        <v>7056</v>
      </c>
      <c r="Z367" t="s">
        <v>7057</v>
      </c>
      <c r="AA367" t="s">
        <v>7058</v>
      </c>
      <c r="AB367" t="s">
        <v>74</v>
      </c>
      <c r="AC367" t="s">
        <v>74</v>
      </c>
      <c r="AD367" t="s">
        <v>74</v>
      </c>
      <c r="AE367" t="s">
        <v>74</v>
      </c>
      <c r="AF367" t="s">
        <v>74</v>
      </c>
      <c r="AG367">
        <v>57</v>
      </c>
      <c r="AH367">
        <v>4</v>
      </c>
      <c r="AI367">
        <v>6</v>
      </c>
      <c r="AJ367">
        <v>0</v>
      </c>
      <c r="AK367">
        <v>11</v>
      </c>
      <c r="AL367" t="s">
        <v>1521</v>
      </c>
      <c r="AM367" t="s">
        <v>1522</v>
      </c>
      <c r="AN367" t="s">
        <v>1523</v>
      </c>
      <c r="AO367" t="s">
        <v>1714</v>
      </c>
      <c r="AP367" t="s">
        <v>1715</v>
      </c>
      <c r="AQ367" t="s">
        <v>74</v>
      </c>
      <c r="AR367" t="s">
        <v>1716</v>
      </c>
      <c r="AS367" t="s">
        <v>1717</v>
      </c>
      <c r="AT367" t="s">
        <v>7027</v>
      </c>
      <c r="AU367">
        <v>2010</v>
      </c>
      <c r="AV367">
        <v>115</v>
      </c>
      <c r="AW367" t="s">
        <v>74</v>
      </c>
      <c r="AX367" t="s">
        <v>74</v>
      </c>
      <c r="AY367" t="s">
        <v>74</v>
      </c>
      <c r="AZ367" t="s">
        <v>74</v>
      </c>
      <c r="BA367" t="s">
        <v>74</v>
      </c>
      <c r="BB367" t="s">
        <v>74</v>
      </c>
      <c r="BC367" t="s">
        <v>74</v>
      </c>
      <c r="BD367" t="s">
        <v>7059</v>
      </c>
      <c r="BE367" t="s">
        <v>7060</v>
      </c>
      <c r="BF367" t="str">
        <f>HYPERLINK("http://dx.doi.org/10.1029/2010JD013822","http://dx.doi.org/10.1029/2010JD013822")</f>
        <v>http://dx.doi.org/10.1029/2010JD013822</v>
      </c>
      <c r="BG367" t="s">
        <v>74</v>
      </c>
      <c r="BH367" t="s">
        <v>74</v>
      </c>
      <c r="BI367">
        <v>10</v>
      </c>
      <c r="BJ367" t="s">
        <v>319</v>
      </c>
      <c r="BK367" t="s">
        <v>100</v>
      </c>
      <c r="BL367" t="s">
        <v>319</v>
      </c>
      <c r="BM367" t="s">
        <v>7061</v>
      </c>
      <c r="BN367" t="s">
        <v>74</v>
      </c>
      <c r="BO367" t="s">
        <v>394</v>
      </c>
      <c r="BP367" t="s">
        <v>74</v>
      </c>
      <c r="BQ367" t="s">
        <v>74</v>
      </c>
      <c r="BR367" t="s">
        <v>104</v>
      </c>
      <c r="BS367" t="s">
        <v>7062</v>
      </c>
      <c r="BT367" t="str">
        <f>HYPERLINK("https%3A%2F%2Fwww.webofscience.com%2Fwos%2Fwoscc%2Ffull-record%2FWOS:000281573700007","View Full Record in Web of Science")</f>
        <v>View Full Record in Web of Science</v>
      </c>
    </row>
    <row r="368" spans="1:72" x14ac:dyDescent="0.15">
      <c r="A368" t="s">
        <v>72</v>
      </c>
      <c r="B368" t="s">
        <v>7063</v>
      </c>
      <c r="C368" t="s">
        <v>74</v>
      </c>
      <c r="D368" t="s">
        <v>74</v>
      </c>
      <c r="E368" t="s">
        <v>74</v>
      </c>
      <c r="F368" t="s">
        <v>7064</v>
      </c>
      <c r="G368" t="s">
        <v>74</v>
      </c>
      <c r="H368" t="s">
        <v>74</v>
      </c>
      <c r="I368" t="s">
        <v>7065</v>
      </c>
      <c r="J368" t="s">
        <v>7066</v>
      </c>
      <c r="K368" t="s">
        <v>74</v>
      </c>
      <c r="L368" t="s">
        <v>74</v>
      </c>
      <c r="M368" t="s">
        <v>78</v>
      </c>
      <c r="N368" t="s">
        <v>79</v>
      </c>
      <c r="O368" t="s">
        <v>74</v>
      </c>
      <c r="P368" t="s">
        <v>74</v>
      </c>
      <c r="Q368" t="s">
        <v>74</v>
      </c>
      <c r="R368" t="s">
        <v>74</v>
      </c>
      <c r="S368" t="s">
        <v>74</v>
      </c>
      <c r="T368" t="s">
        <v>74</v>
      </c>
      <c r="U368" t="s">
        <v>7067</v>
      </c>
      <c r="V368" t="s">
        <v>7068</v>
      </c>
      <c r="W368" t="s">
        <v>7069</v>
      </c>
      <c r="X368" t="s">
        <v>7070</v>
      </c>
      <c r="Y368" t="s">
        <v>7071</v>
      </c>
      <c r="Z368" t="s">
        <v>7072</v>
      </c>
      <c r="AA368" t="s">
        <v>7073</v>
      </c>
      <c r="AB368" t="s">
        <v>7074</v>
      </c>
      <c r="AC368" t="s">
        <v>7075</v>
      </c>
      <c r="AD368" t="s">
        <v>7075</v>
      </c>
      <c r="AE368" t="s">
        <v>7076</v>
      </c>
      <c r="AF368" t="s">
        <v>74</v>
      </c>
      <c r="AG368">
        <v>70</v>
      </c>
      <c r="AH368">
        <v>95</v>
      </c>
      <c r="AI368">
        <v>104</v>
      </c>
      <c r="AJ368">
        <v>0</v>
      </c>
      <c r="AK368">
        <v>37</v>
      </c>
      <c r="AL368" t="s">
        <v>1521</v>
      </c>
      <c r="AM368" t="s">
        <v>1522</v>
      </c>
      <c r="AN368" t="s">
        <v>1523</v>
      </c>
      <c r="AO368" t="s">
        <v>7077</v>
      </c>
      <c r="AP368" t="s">
        <v>7078</v>
      </c>
      <c r="AQ368" t="s">
        <v>74</v>
      </c>
      <c r="AR368" t="s">
        <v>7079</v>
      </c>
      <c r="AS368" t="s">
        <v>7080</v>
      </c>
      <c r="AT368" t="s">
        <v>7027</v>
      </c>
      <c r="AU368">
        <v>2010</v>
      </c>
      <c r="AV368">
        <v>115</v>
      </c>
      <c r="AW368" t="s">
        <v>74</v>
      </c>
      <c r="AX368" t="s">
        <v>74</v>
      </c>
      <c r="AY368" t="s">
        <v>74</v>
      </c>
      <c r="AZ368" t="s">
        <v>74</v>
      </c>
      <c r="BA368" t="s">
        <v>74</v>
      </c>
      <c r="BB368" t="s">
        <v>74</v>
      </c>
      <c r="BC368" t="s">
        <v>74</v>
      </c>
      <c r="BD368" t="s">
        <v>7081</v>
      </c>
      <c r="BE368" t="s">
        <v>7082</v>
      </c>
      <c r="BF368" t="str">
        <f>HYPERLINK("http://dx.doi.org/10.1029/2009JG001031","http://dx.doi.org/10.1029/2009JG001031")</f>
        <v>http://dx.doi.org/10.1029/2009JG001031</v>
      </c>
      <c r="BG368" t="s">
        <v>74</v>
      </c>
      <c r="BH368" t="s">
        <v>74</v>
      </c>
      <c r="BI368">
        <v>13</v>
      </c>
      <c r="BJ368" t="s">
        <v>7083</v>
      </c>
      <c r="BK368" t="s">
        <v>100</v>
      </c>
      <c r="BL368" t="s">
        <v>7084</v>
      </c>
      <c r="BM368" t="s">
        <v>7085</v>
      </c>
      <c r="BN368" t="s">
        <v>74</v>
      </c>
      <c r="BO368" t="s">
        <v>394</v>
      </c>
      <c r="BP368" t="s">
        <v>74</v>
      </c>
      <c r="BQ368" t="s">
        <v>74</v>
      </c>
      <c r="BR368" t="s">
        <v>104</v>
      </c>
      <c r="BS368" t="s">
        <v>7086</v>
      </c>
      <c r="BT368" t="str">
        <f>HYPERLINK("https%3A%2F%2Fwww.webofscience.com%2Fwos%2Fwoscc%2Ffull-record%2FWOS:000281632100001","View Full Record in Web of Science")</f>
        <v>View Full Record in Web of Science</v>
      </c>
    </row>
    <row r="369" spans="1:72" x14ac:dyDescent="0.15">
      <c r="A369" t="s">
        <v>72</v>
      </c>
      <c r="B369" t="s">
        <v>7087</v>
      </c>
      <c r="C369" t="s">
        <v>74</v>
      </c>
      <c r="D369" t="s">
        <v>74</v>
      </c>
      <c r="E369" t="s">
        <v>74</v>
      </c>
      <c r="F369" t="s">
        <v>7088</v>
      </c>
      <c r="G369" t="s">
        <v>74</v>
      </c>
      <c r="H369" t="s">
        <v>74</v>
      </c>
      <c r="I369" t="s">
        <v>7089</v>
      </c>
      <c r="J369" t="s">
        <v>4634</v>
      </c>
      <c r="K369" t="s">
        <v>74</v>
      </c>
      <c r="L369" t="s">
        <v>74</v>
      </c>
      <c r="M369" t="s">
        <v>78</v>
      </c>
      <c r="N369" t="s">
        <v>79</v>
      </c>
      <c r="O369" t="s">
        <v>74</v>
      </c>
      <c r="P369" t="s">
        <v>74</v>
      </c>
      <c r="Q369" t="s">
        <v>74</v>
      </c>
      <c r="R369" t="s">
        <v>74</v>
      </c>
      <c r="S369" t="s">
        <v>74</v>
      </c>
      <c r="T369" t="s">
        <v>74</v>
      </c>
      <c r="U369" t="s">
        <v>7090</v>
      </c>
      <c r="V369" t="s">
        <v>7091</v>
      </c>
      <c r="W369" t="s">
        <v>7092</v>
      </c>
      <c r="X369" t="s">
        <v>7093</v>
      </c>
      <c r="Y369" t="s">
        <v>7094</v>
      </c>
      <c r="Z369" t="s">
        <v>7095</v>
      </c>
      <c r="AA369" t="s">
        <v>7096</v>
      </c>
      <c r="AB369" t="s">
        <v>7097</v>
      </c>
      <c r="AC369" t="s">
        <v>7098</v>
      </c>
      <c r="AD369" t="s">
        <v>7099</v>
      </c>
      <c r="AE369" t="s">
        <v>7100</v>
      </c>
      <c r="AF369" t="s">
        <v>74</v>
      </c>
      <c r="AG369">
        <v>51</v>
      </c>
      <c r="AH369">
        <v>14</v>
      </c>
      <c r="AI369">
        <v>15</v>
      </c>
      <c r="AJ369">
        <v>1</v>
      </c>
      <c r="AK369">
        <v>6</v>
      </c>
      <c r="AL369" t="s">
        <v>1521</v>
      </c>
      <c r="AM369" t="s">
        <v>1522</v>
      </c>
      <c r="AN369" t="s">
        <v>1523</v>
      </c>
      <c r="AO369" t="s">
        <v>4646</v>
      </c>
      <c r="AP369" t="s">
        <v>4647</v>
      </c>
      <c r="AQ369" t="s">
        <v>74</v>
      </c>
      <c r="AR369" t="s">
        <v>4648</v>
      </c>
      <c r="AS369" t="s">
        <v>4649</v>
      </c>
      <c r="AT369" t="s">
        <v>7101</v>
      </c>
      <c r="AU369">
        <v>2010</v>
      </c>
      <c r="AV369">
        <v>115</v>
      </c>
      <c r="AW369" t="s">
        <v>74</v>
      </c>
      <c r="AX369" t="s">
        <v>74</v>
      </c>
      <c r="AY369" t="s">
        <v>74</v>
      </c>
      <c r="AZ369" t="s">
        <v>74</v>
      </c>
      <c r="BA369" t="s">
        <v>74</v>
      </c>
      <c r="BB369" t="s">
        <v>74</v>
      </c>
      <c r="BC369" t="s">
        <v>74</v>
      </c>
      <c r="BD369" t="s">
        <v>7102</v>
      </c>
      <c r="BE369" t="s">
        <v>7103</v>
      </c>
      <c r="BF369" t="str">
        <f>HYPERLINK("http://dx.doi.org/10.1029/2009JA015204","http://dx.doi.org/10.1029/2009JA015204")</f>
        <v>http://dx.doi.org/10.1029/2009JA015204</v>
      </c>
      <c r="BG369" t="s">
        <v>74</v>
      </c>
      <c r="BH369" t="s">
        <v>74</v>
      </c>
      <c r="BI369">
        <v>14</v>
      </c>
      <c r="BJ369" t="s">
        <v>1805</v>
      </c>
      <c r="BK369" t="s">
        <v>100</v>
      </c>
      <c r="BL369" t="s">
        <v>1805</v>
      </c>
      <c r="BM369" t="s">
        <v>7104</v>
      </c>
      <c r="BN369" t="s">
        <v>74</v>
      </c>
      <c r="BO369" t="s">
        <v>1025</v>
      </c>
      <c r="BP369" t="s">
        <v>74</v>
      </c>
      <c r="BQ369" t="s">
        <v>74</v>
      </c>
      <c r="BR369" t="s">
        <v>104</v>
      </c>
      <c r="BS369" t="s">
        <v>7105</v>
      </c>
      <c r="BT369" t="str">
        <f>HYPERLINK("https%3A%2F%2Fwww.webofscience.com%2Fwos%2Fwoscc%2Ffull-record%2FWOS:000281417700005","View Full Record in Web of Science")</f>
        <v>View Full Record in Web of Science</v>
      </c>
    </row>
    <row r="370" spans="1:72" x14ac:dyDescent="0.15">
      <c r="A370" t="s">
        <v>72</v>
      </c>
      <c r="B370" t="s">
        <v>7106</v>
      </c>
      <c r="C370" t="s">
        <v>74</v>
      </c>
      <c r="D370" t="s">
        <v>74</v>
      </c>
      <c r="E370" t="s">
        <v>74</v>
      </c>
      <c r="F370" t="s">
        <v>7107</v>
      </c>
      <c r="G370" t="s">
        <v>74</v>
      </c>
      <c r="H370" t="s">
        <v>74</v>
      </c>
      <c r="I370" t="s">
        <v>7108</v>
      </c>
      <c r="J370" t="s">
        <v>7010</v>
      </c>
      <c r="K370" t="s">
        <v>74</v>
      </c>
      <c r="L370" t="s">
        <v>74</v>
      </c>
      <c r="M370" t="s">
        <v>78</v>
      </c>
      <c r="N370" t="s">
        <v>79</v>
      </c>
      <c r="O370" t="s">
        <v>74</v>
      </c>
      <c r="P370" t="s">
        <v>74</v>
      </c>
      <c r="Q370" t="s">
        <v>74</v>
      </c>
      <c r="R370" t="s">
        <v>74</v>
      </c>
      <c r="S370" t="s">
        <v>74</v>
      </c>
      <c r="T370" t="s">
        <v>7109</v>
      </c>
      <c r="U370" t="s">
        <v>7110</v>
      </c>
      <c r="V370" t="s">
        <v>7111</v>
      </c>
      <c r="W370" t="s">
        <v>7112</v>
      </c>
      <c r="X370" t="s">
        <v>7113</v>
      </c>
      <c r="Y370" t="s">
        <v>7114</v>
      </c>
      <c r="Z370" t="s">
        <v>7115</v>
      </c>
      <c r="AA370" t="s">
        <v>7116</v>
      </c>
      <c r="AB370" t="s">
        <v>74</v>
      </c>
      <c r="AC370" t="s">
        <v>7117</v>
      </c>
      <c r="AD370" t="s">
        <v>1081</v>
      </c>
      <c r="AE370" t="s">
        <v>7118</v>
      </c>
      <c r="AF370" t="s">
        <v>74</v>
      </c>
      <c r="AG370">
        <v>46</v>
      </c>
      <c r="AH370">
        <v>15</v>
      </c>
      <c r="AI370">
        <v>15</v>
      </c>
      <c r="AJ370">
        <v>0</v>
      </c>
      <c r="AK370">
        <v>15</v>
      </c>
      <c r="AL370" t="s">
        <v>1038</v>
      </c>
      <c r="AM370" t="s">
        <v>550</v>
      </c>
      <c r="AN370" t="s">
        <v>1039</v>
      </c>
      <c r="AO370" t="s">
        <v>7023</v>
      </c>
      <c r="AP370" t="s">
        <v>7024</v>
      </c>
      <c r="AQ370" t="s">
        <v>74</v>
      </c>
      <c r="AR370" t="s">
        <v>7025</v>
      </c>
      <c r="AS370" t="s">
        <v>7026</v>
      </c>
      <c r="AT370" t="s">
        <v>7119</v>
      </c>
      <c r="AU370">
        <v>2010</v>
      </c>
      <c r="AV370">
        <v>675</v>
      </c>
      <c r="AW370">
        <v>2</v>
      </c>
      <c r="AX370" t="s">
        <v>74</v>
      </c>
      <c r="AY370" t="s">
        <v>74</v>
      </c>
      <c r="AZ370" t="s">
        <v>74</v>
      </c>
      <c r="BA370" t="s">
        <v>74</v>
      </c>
      <c r="BB370">
        <v>116</v>
      </c>
      <c r="BC370">
        <v>124</v>
      </c>
      <c r="BD370" t="s">
        <v>74</v>
      </c>
      <c r="BE370" t="s">
        <v>7120</v>
      </c>
      <c r="BF370" t="str">
        <f>HYPERLINK("http://dx.doi.org/10.1016/j.aca.2010.07.009","http://dx.doi.org/10.1016/j.aca.2010.07.009")</f>
        <v>http://dx.doi.org/10.1016/j.aca.2010.07.009</v>
      </c>
      <c r="BG370" t="s">
        <v>74</v>
      </c>
      <c r="BH370" t="s">
        <v>74</v>
      </c>
      <c r="BI370">
        <v>9</v>
      </c>
      <c r="BJ370" t="s">
        <v>391</v>
      </c>
      <c r="BK370" t="s">
        <v>100</v>
      </c>
      <c r="BL370" t="s">
        <v>392</v>
      </c>
      <c r="BM370" t="s">
        <v>7121</v>
      </c>
      <c r="BN370">
        <v>20800722</v>
      </c>
      <c r="BO370" t="s">
        <v>74</v>
      </c>
      <c r="BP370" t="s">
        <v>74</v>
      </c>
      <c r="BQ370" t="s">
        <v>74</v>
      </c>
      <c r="BR370" t="s">
        <v>104</v>
      </c>
      <c r="BS370" t="s">
        <v>7122</v>
      </c>
      <c r="BT370" t="str">
        <f>HYPERLINK("https%3A%2F%2Fwww.webofscience.com%2Fwos%2Fwoscc%2Ffull-record%2FWOS:000281746400003","View Full Record in Web of Science")</f>
        <v>View Full Record in Web of Science</v>
      </c>
    </row>
    <row r="371" spans="1:72" x14ac:dyDescent="0.15">
      <c r="A371" t="s">
        <v>72</v>
      </c>
      <c r="B371" t="s">
        <v>7123</v>
      </c>
      <c r="C371" t="s">
        <v>74</v>
      </c>
      <c r="D371" t="s">
        <v>74</v>
      </c>
      <c r="E371" t="s">
        <v>74</v>
      </c>
      <c r="F371" t="s">
        <v>7124</v>
      </c>
      <c r="G371" t="s">
        <v>74</v>
      </c>
      <c r="H371" t="s">
        <v>74</v>
      </c>
      <c r="I371" t="s">
        <v>7125</v>
      </c>
      <c r="J371" t="s">
        <v>7126</v>
      </c>
      <c r="K371" t="s">
        <v>74</v>
      </c>
      <c r="L371" t="s">
        <v>74</v>
      </c>
      <c r="M371" t="s">
        <v>78</v>
      </c>
      <c r="N371" t="s">
        <v>79</v>
      </c>
      <c r="O371" t="s">
        <v>74</v>
      </c>
      <c r="P371" t="s">
        <v>74</v>
      </c>
      <c r="Q371" t="s">
        <v>74</v>
      </c>
      <c r="R371" t="s">
        <v>74</v>
      </c>
      <c r="S371" t="s">
        <v>74</v>
      </c>
      <c r="T371" t="s">
        <v>7127</v>
      </c>
      <c r="U371" t="s">
        <v>7128</v>
      </c>
      <c r="V371" t="s">
        <v>7129</v>
      </c>
      <c r="W371" t="s">
        <v>7130</v>
      </c>
      <c r="X371" t="s">
        <v>7131</v>
      </c>
      <c r="Y371" t="s">
        <v>7132</v>
      </c>
      <c r="Z371" t="s">
        <v>7133</v>
      </c>
      <c r="AA371" t="s">
        <v>74</v>
      </c>
      <c r="AB371" t="s">
        <v>7134</v>
      </c>
      <c r="AC371" t="s">
        <v>7135</v>
      </c>
      <c r="AD371" t="s">
        <v>7136</v>
      </c>
      <c r="AE371" t="s">
        <v>7137</v>
      </c>
      <c r="AF371" t="s">
        <v>74</v>
      </c>
      <c r="AG371">
        <v>63</v>
      </c>
      <c r="AH371">
        <v>5</v>
      </c>
      <c r="AI371">
        <v>6</v>
      </c>
      <c r="AJ371">
        <v>0</v>
      </c>
      <c r="AK371">
        <v>24</v>
      </c>
      <c r="AL371" t="s">
        <v>1038</v>
      </c>
      <c r="AM371" t="s">
        <v>550</v>
      </c>
      <c r="AN371" t="s">
        <v>1039</v>
      </c>
      <c r="AO371" t="s">
        <v>7138</v>
      </c>
      <c r="AP371" t="s">
        <v>7139</v>
      </c>
      <c r="AQ371" t="s">
        <v>74</v>
      </c>
      <c r="AR371" t="s">
        <v>7140</v>
      </c>
      <c r="AS371" t="s">
        <v>7141</v>
      </c>
      <c r="AT371" t="s">
        <v>7119</v>
      </c>
      <c r="AU371">
        <v>2010</v>
      </c>
      <c r="AV371">
        <v>221</v>
      </c>
      <c r="AW371">
        <v>17</v>
      </c>
      <c r="AX371" t="s">
        <v>74</v>
      </c>
      <c r="AY371" t="s">
        <v>74</v>
      </c>
      <c r="AZ371" t="s">
        <v>74</v>
      </c>
      <c r="BA371" t="s">
        <v>74</v>
      </c>
      <c r="BB371">
        <v>2095</v>
      </c>
      <c r="BC371">
        <v>2101</v>
      </c>
      <c r="BD371" t="s">
        <v>74</v>
      </c>
      <c r="BE371" t="s">
        <v>7142</v>
      </c>
      <c r="BF371" t="str">
        <f>HYPERLINK("http://dx.doi.org/10.1016/j.ecolmodel.2010.06.005","http://dx.doi.org/10.1016/j.ecolmodel.2010.06.005")</f>
        <v>http://dx.doi.org/10.1016/j.ecolmodel.2010.06.005</v>
      </c>
      <c r="BG371" t="s">
        <v>74</v>
      </c>
      <c r="BH371" t="s">
        <v>74</v>
      </c>
      <c r="BI371">
        <v>7</v>
      </c>
      <c r="BJ371" t="s">
        <v>3127</v>
      </c>
      <c r="BK371" t="s">
        <v>100</v>
      </c>
      <c r="BL371" t="s">
        <v>2797</v>
      </c>
      <c r="BM371" t="s">
        <v>7143</v>
      </c>
      <c r="BN371" t="s">
        <v>74</v>
      </c>
      <c r="BO371" t="s">
        <v>74</v>
      </c>
      <c r="BP371" t="s">
        <v>74</v>
      </c>
      <c r="BQ371" t="s">
        <v>74</v>
      </c>
      <c r="BR371" t="s">
        <v>104</v>
      </c>
      <c r="BS371" t="s">
        <v>7144</v>
      </c>
      <c r="BT371" t="str">
        <f>HYPERLINK("https%3A%2F%2Fwww.webofscience.com%2Fwos%2Fwoscc%2Ffull-record%2FWOS:000280511100010","View Full Record in Web of Science")</f>
        <v>View Full Record in Web of Science</v>
      </c>
    </row>
    <row r="372" spans="1:72" x14ac:dyDescent="0.15">
      <c r="A372" t="s">
        <v>72</v>
      </c>
      <c r="B372" t="s">
        <v>7145</v>
      </c>
      <c r="C372" t="s">
        <v>74</v>
      </c>
      <c r="D372" t="s">
        <v>74</v>
      </c>
      <c r="E372" t="s">
        <v>74</v>
      </c>
      <c r="F372" t="s">
        <v>7146</v>
      </c>
      <c r="G372" t="s">
        <v>74</v>
      </c>
      <c r="H372" t="s">
        <v>74</v>
      </c>
      <c r="I372" t="s">
        <v>7147</v>
      </c>
      <c r="J372" t="s">
        <v>2132</v>
      </c>
      <c r="K372" t="s">
        <v>74</v>
      </c>
      <c r="L372" t="s">
        <v>74</v>
      </c>
      <c r="M372" t="s">
        <v>78</v>
      </c>
      <c r="N372" t="s">
        <v>79</v>
      </c>
      <c r="O372" t="s">
        <v>74</v>
      </c>
      <c r="P372" t="s">
        <v>74</v>
      </c>
      <c r="Q372" t="s">
        <v>74</v>
      </c>
      <c r="R372" t="s">
        <v>74</v>
      </c>
      <c r="S372" t="s">
        <v>74</v>
      </c>
      <c r="T372" t="s">
        <v>7148</v>
      </c>
      <c r="U372" t="s">
        <v>7149</v>
      </c>
      <c r="V372" t="s">
        <v>7150</v>
      </c>
      <c r="W372" t="s">
        <v>7151</v>
      </c>
      <c r="X372" t="s">
        <v>7152</v>
      </c>
      <c r="Y372" t="s">
        <v>7153</v>
      </c>
      <c r="Z372" t="s">
        <v>7154</v>
      </c>
      <c r="AA372" t="s">
        <v>7155</v>
      </c>
      <c r="AB372" t="s">
        <v>74</v>
      </c>
      <c r="AC372" t="s">
        <v>7156</v>
      </c>
      <c r="AD372" t="s">
        <v>7157</v>
      </c>
      <c r="AE372" t="s">
        <v>7158</v>
      </c>
      <c r="AF372" t="s">
        <v>74</v>
      </c>
      <c r="AG372">
        <v>24</v>
      </c>
      <c r="AH372">
        <v>96</v>
      </c>
      <c r="AI372">
        <v>113</v>
      </c>
      <c r="AJ372">
        <v>6</v>
      </c>
      <c r="AK372">
        <v>56</v>
      </c>
      <c r="AL372" t="s">
        <v>2143</v>
      </c>
      <c r="AM372" t="s">
        <v>1522</v>
      </c>
      <c r="AN372" t="s">
        <v>2144</v>
      </c>
      <c r="AO372" t="s">
        <v>2145</v>
      </c>
      <c r="AP372" t="s">
        <v>74</v>
      </c>
      <c r="AQ372" t="s">
        <v>74</v>
      </c>
      <c r="AR372" t="s">
        <v>2147</v>
      </c>
      <c r="AS372" t="s">
        <v>2148</v>
      </c>
      <c r="AT372" t="s">
        <v>7119</v>
      </c>
      <c r="AU372">
        <v>2010</v>
      </c>
      <c r="AV372">
        <v>107</v>
      </c>
      <c r="AW372">
        <v>34</v>
      </c>
      <c r="AX372" t="s">
        <v>74</v>
      </c>
      <c r="AY372" t="s">
        <v>74</v>
      </c>
      <c r="AZ372" t="s">
        <v>74</v>
      </c>
      <c r="BA372" t="s">
        <v>74</v>
      </c>
      <c r="BB372">
        <v>14987</v>
      </c>
      <c r="BC372">
        <v>14992</v>
      </c>
      <c r="BD372" t="s">
        <v>74</v>
      </c>
      <c r="BE372" t="s">
        <v>7159</v>
      </c>
      <c r="BF372" t="str">
        <f>HYPERLINK("http://dx.doi.org/10.1073/pnas.1003336107","http://dx.doi.org/10.1073/pnas.1003336107")</f>
        <v>http://dx.doi.org/10.1073/pnas.1003336107</v>
      </c>
      <c r="BG372" t="s">
        <v>74</v>
      </c>
      <c r="BH372" t="s">
        <v>74</v>
      </c>
      <c r="BI372">
        <v>6</v>
      </c>
      <c r="BJ372" t="s">
        <v>444</v>
      </c>
      <c r="BK372" t="s">
        <v>100</v>
      </c>
      <c r="BL372" t="s">
        <v>445</v>
      </c>
      <c r="BM372" t="s">
        <v>7160</v>
      </c>
      <c r="BN372">
        <v>20713736</v>
      </c>
      <c r="BO372" t="s">
        <v>631</v>
      </c>
      <c r="BP372" t="s">
        <v>74</v>
      </c>
      <c r="BQ372" t="s">
        <v>74</v>
      </c>
      <c r="BR372" t="s">
        <v>104</v>
      </c>
      <c r="BS372" t="s">
        <v>7161</v>
      </c>
      <c r="BT372" t="str">
        <f>HYPERLINK("https%3A%2F%2Fwww.webofscience.com%2Fwos%2Fwoscc%2Ffull-record%2FWOS:000281311500012","View Full Record in Web of Science")</f>
        <v>View Full Record in Web of Science</v>
      </c>
    </row>
    <row r="373" spans="1:72" x14ac:dyDescent="0.15">
      <c r="A373" t="s">
        <v>72</v>
      </c>
      <c r="B373" t="s">
        <v>7162</v>
      </c>
      <c r="C373" t="s">
        <v>74</v>
      </c>
      <c r="D373" t="s">
        <v>74</v>
      </c>
      <c r="E373" t="s">
        <v>74</v>
      </c>
      <c r="F373" t="s">
        <v>7163</v>
      </c>
      <c r="G373" t="s">
        <v>74</v>
      </c>
      <c r="H373" t="s">
        <v>74</v>
      </c>
      <c r="I373" t="s">
        <v>7164</v>
      </c>
      <c r="J373" t="s">
        <v>1538</v>
      </c>
      <c r="K373" t="s">
        <v>74</v>
      </c>
      <c r="L373" t="s">
        <v>74</v>
      </c>
      <c r="M373" t="s">
        <v>78</v>
      </c>
      <c r="N373" t="s">
        <v>79</v>
      </c>
      <c r="O373" t="s">
        <v>74</v>
      </c>
      <c r="P373" t="s">
        <v>74</v>
      </c>
      <c r="Q373" t="s">
        <v>74</v>
      </c>
      <c r="R373" t="s">
        <v>74</v>
      </c>
      <c r="S373" t="s">
        <v>74</v>
      </c>
      <c r="T373" t="s">
        <v>74</v>
      </c>
      <c r="U373" t="s">
        <v>7165</v>
      </c>
      <c r="V373" t="s">
        <v>7166</v>
      </c>
      <c r="W373" t="s">
        <v>7167</v>
      </c>
      <c r="X373" t="s">
        <v>7168</v>
      </c>
      <c r="Y373" t="s">
        <v>7169</v>
      </c>
      <c r="Z373" t="s">
        <v>7170</v>
      </c>
      <c r="AA373" t="s">
        <v>7171</v>
      </c>
      <c r="AB373" t="s">
        <v>7172</v>
      </c>
      <c r="AC373" t="s">
        <v>7173</v>
      </c>
      <c r="AD373" t="s">
        <v>7174</v>
      </c>
      <c r="AE373" t="s">
        <v>7175</v>
      </c>
      <c r="AF373" t="s">
        <v>74</v>
      </c>
      <c r="AG373">
        <v>18</v>
      </c>
      <c r="AH373">
        <v>9</v>
      </c>
      <c r="AI373">
        <v>9</v>
      </c>
      <c r="AJ373">
        <v>2</v>
      </c>
      <c r="AK373">
        <v>14</v>
      </c>
      <c r="AL373" t="s">
        <v>1521</v>
      </c>
      <c r="AM373" t="s">
        <v>1522</v>
      </c>
      <c r="AN373" t="s">
        <v>1523</v>
      </c>
      <c r="AO373" t="s">
        <v>1550</v>
      </c>
      <c r="AP373" t="s">
        <v>1551</v>
      </c>
      <c r="AQ373" t="s">
        <v>74</v>
      </c>
      <c r="AR373" t="s">
        <v>1552</v>
      </c>
      <c r="AS373" t="s">
        <v>1553</v>
      </c>
      <c r="AT373" t="s">
        <v>7176</v>
      </c>
      <c r="AU373">
        <v>2010</v>
      </c>
      <c r="AV373">
        <v>37</v>
      </c>
      <c r="AW373" t="s">
        <v>74</v>
      </c>
      <c r="AX373" t="s">
        <v>74</v>
      </c>
      <c r="AY373" t="s">
        <v>74</v>
      </c>
      <c r="AZ373" t="s">
        <v>74</v>
      </c>
      <c r="BA373" t="s">
        <v>74</v>
      </c>
      <c r="BB373" t="s">
        <v>74</v>
      </c>
      <c r="BC373" t="s">
        <v>74</v>
      </c>
      <c r="BD373" t="s">
        <v>7177</v>
      </c>
      <c r="BE373" t="s">
        <v>7178</v>
      </c>
      <c r="BF373" t="str">
        <f>HYPERLINK("http://dx.doi.org/10.1029/2010GL043989","http://dx.doi.org/10.1029/2010GL043989")</f>
        <v>http://dx.doi.org/10.1029/2010GL043989</v>
      </c>
      <c r="BG373" t="s">
        <v>74</v>
      </c>
      <c r="BH373" t="s">
        <v>74</v>
      </c>
      <c r="BI373">
        <v>5</v>
      </c>
      <c r="BJ373" t="s">
        <v>1194</v>
      </c>
      <c r="BK373" t="s">
        <v>100</v>
      </c>
      <c r="BL373" t="s">
        <v>807</v>
      </c>
      <c r="BM373" t="s">
        <v>7179</v>
      </c>
      <c r="BN373" t="s">
        <v>74</v>
      </c>
      <c r="BO373" t="s">
        <v>7180</v>
      </c>
      <c r="BP373" t="s">
        <v>74</v>
      </c>
      <c r="BQ373" t="s">
        <v>74</v>
      </c>
      <c r="BR373" t="s">
        <v>104</v>
      </c>
      <c r="BS373" t="s">
        <v>7181</v>
      </c>
      <c r="BT373" t="str">
        <f>HYPERLINK("https%3A%2F%2Fwww.webofscience.com%2Fwos%2Fwoscc%2Ffull-record%2FWOS:000281138200002","View Full Record in Web of Science")</f>
        <v>View Full Record in Web of Science</v>
      </c>
    </row>
    <row r="374" spans="1:72" x14ac:dyDescent="0.15">
      <c r="A374" t="s">
        <v>72</v>
      </c>
      <c r="B374" t="s">
        <v>7182</v>
      </c>
      <c r="C374" t="s">
        <v>74</v>
      </c>
      <c r="D374" t="s">
        <v>74</v>
      </c>
      <c r="E374" t="s">
        <v>74</v>
      </c>
      <c r="F374" t="s">
        <v>7183</v>
      </c>
      <c r="G374" t="s">
        <v>74</v>
      </c>
      <c r="H374" t="s">
        <v>74</v>
      </c>
      <c r="I374" t="s">
        <v>7184</v>
      </c>
      <c r="J374" t="s">
        <v>4634</v>
      </c>
      <c r="K374" t="s">
        <v>74</v>
      </c>
      <c r="L374" t="s">
        <v>74</v>
      </c>
      <c r="M374" t="s">
        <v>78</v>
      </c>
      <c r="N374" t="s">
        <v>79</v>
      </c>
      <c r="O374" t="s">
        <v>74</v>
      </c>
      <c r="P374" t="s">
        <v>74</v>
      </c>
      <c r="Q374" t="s">
        <v>74</v>
      </c>
      <c r="R374" t="s">
        <v>74</v>
      </c>
      <c r="S374" t="s">
        <v>74</v>
      </c>
      <c r="T374" t="s">
        <v>74</v>
      </c>
      <c r="U374" t="s">
        <v>7185</v>
      </c>
      <c r="V374" t="s">
        <v>7186</v>
      </c>
      <c r="W374" t="s">
        <v>7187</v>
      </c>
      <c r="X374" t="s">
        <v>7188</v>
      </c>
      <c r="Y374" t="s">
        <v>7189</v>
      </c>
      <c r="Z374" t="s">
        <v>7190</v>
      </c>
      <c r="AA374" t="s">
        <v>7191</v>
      </c>
      <c r="AB374" t="s">
        <v>7192</v>
      </c>
      <c r="AC374" t="s">
        <v>7193</v>
      </c>
      <c r="AD374" t="s">
        <v>7194</v>
      </c>
      <c r="AE374" t="s">
        <v>7195</v>
      </c>
      <c r="AF374" t="s">
        <v>74</v>
      </c>
      <c r="AG374">
        <v>65</v>
      </c>
      <c r="AH374">
        <v>48</v>
      </c>
      <c r="AI374">
        <v>50</v>
      </c>
      <c r="AJ374">
        <v>0</v>
      </c>
      <c r="AK374">
        <v>14</v>
      </c>
      <c r="AL374" t="s">
        <v>1521</v>
      </c>
      <c r="AM374" t="s">
        <v>1522</v>
      </c>
      <c r="AN374" t="s">
        <v>1523</v>
      </c>
      <c r="AO374" t="s">
        <v>4646</v>
      </c>
      <c r="AP374" t="s">
        <v>4647</v>
      </c>
      <c r="AQ374" t="s">
        <v>74</v>
      </c>
      <c r="AR374" t="s">
        <v>4648</v>
      </c>
      <c r="AS374" t="s">
        <v>4649</v>
      </c>
      <c r="AT374" t="s">
        <v>7176</v>
      </c>
      <c r="AU374">
        <v>2010</v>
      </c>
      <c r="AV374">
        <v>115</v>
      </c>
      <c r="AW374" t="s">
        <v>74</v>
      </c>
      <c r="AX374" t="s">
        <v>74</v>
      </c>
      <c r="AY374" t="s">
        <v>74</v>
      </c>
      <c r="AZ374" t="s">
        <v>74</v>
      </c>
      <c r="BA374" t="s">
        <v>74</v>
      </c>
      <c r="BB374" t="s">
        <v>74</v>
      </c>
      <c r="BC374" t="s">
        <v>74</v>
      </c>
      <c r="BD374" t="s">
        <v>7196</v>
      </c>
      <c r="BE374" t="s">
        <v>7197</v>
      </c>
      <c r="BF374" t="str">
        <f>HYPERLINK("http://dx.doi.org/10.1029/2009JA015218","http://dx.doi.org/10.1029/2009JA015218")</f>
        <v>http://dx.doi.org/10.1029/2009JA015218</v>
      </c>
      <c r="BG374" t="s">
        <v>74</v>
      </c>
      <c r="BH374" t="s">
        <v>74</v>
      </c>
      <c r="BI374">
        <v>13</v>
      </c>
      <c r="BJ374" t="s">
        <v>1805</v>
      </c>
      <c r="BK374" t="s">
        <v>100</v>
      </c>
      <c r="BL374" t="s">
        <v>1805</v>
      </c>
      <c r="BM374" t="s">
        <v>7198</v>
      </c>
      <c r="BN374" t="s">
        <v>74</v>
      </c>
      <c r="BO374" t="s">
        <v>7180</v>
      </c>
      <c r="BP374" t="s">
        <v>74</v>
      </c>
      <c r="BQ374" t="s">
        <v>74</v>
      </c>
      <c r="BR374" t="s">
        <v>104</v>
      </c>
      <c r="BS374" t="s">
        <v>7199</v>
      </c>
      <c r="BT374" t="str">
        <f>HYPERLINK("https%3A%2F%2Fwww.webofscience.com%2Fwos%2Fwoscc%2Ffull-record%2FWOS:000281146600004","View Full Record in Web of Science")</f>
        <v>View Full Record in Web of Science</v>
      </c>
    </row>
    <row r="375" spans="1:72" x14ac:dyDescent="0.15">
      <c r="A375" t="s">
        <v>72</v>
      </c>
      <c r="B375" t="s">
        <v>7200</v>
      </c>
      <c r="C375" t="s">
        <v>74</v>
      </c>
      <c r="D375" t="s">
        <v>74</v>
      </c>
      <c r="E375" t="s">
        <v>74</v>
      </c>
      <c r="F375" t="s">
        <v>7201</v>
      </c>
      <c r="G375" t="s">
        <v>74</v>
      </c>
      <c r="H375" t="s">
        <v>74</v>
      </c>
      <c r="I375" t="s">
        <v>7202</v>
      </c>
      <c r="J375" t="s">
        <v>1784</v>
      </c>
      <c r="K375" t="s">
        <v>74</v>
      </c>
      <c r="L375" t="s">
        <v>74</v>
      </c>
      <c r="M375" t="s">
        <v>78</v>
      </c>
      <c r="N375" t="s">
        <v>79</v>
      </c>
      <c r="O375" t="s">
        <v>74</v>
      </c>
      <c r="P375" t="s">
        <v>74</v>
      </c>
      <c r="Q375" t="s">
        <v>74</v>
      </c>
      <c r="R375" t="s">
        <v>74</v>
      </c>
      <c r="S375" t="s">
        <v>74</v>
      </c>
      <c r="T375" t="s">
        <v>7203</v>
      </c>
      <c r="U375" t="s">
        <v>7204</v>
      </c>
      <c r="V375" t="s">
        <v>7205</v>
      </c>
      <c r="W375" t="s">
        <v>7206</v>
      </c>
      <c r="X375" t="s">
        <v>7207</v>
      </c>
      <c r="Y375" t="s">
        <v>7208</v>
      </c>
      <c r="Z375" t="s">
        <v>7209</v>
      </c>
      <c r="AA375" t="s">
        <v>7210</v>
      </c>
      <c r="AB375" t="s">
        <v>7211</v>
      </c>
      <c r="AC375" t="s">
        <v>7212</v>
      </c>
      <c r="AD375" t="s">
        <v>7213</v>
      </c>
      <c r="AE375" t="s">
        <v>7214</v>
      </c>
      <c r="AF375" t="s">
        <v>74</v>
      </c>
      <c r="AG375">
        <v>60</v>
      </c>
      <c r="AH375">
        <v>135</v>
      </c>
      <c r="AI375">
        <v>155</v>
      </c>
      <c r="AJ375">
        <v>0</v>
      </c>
      <c r="AK375">
        <v>8</v>
      </c>
      <c r="AL375" t="s">
        <v>1797</v>
      </c>
      <c r="AM375" t="s">
        <v>510</v>
      </c>
      <c r="AN375" t="s">
        <v>1798</v>
      </c>
      <c r="AO375" t="s">
        <v>1799</v>
      </c>
      <c r="AP375" t="s">
        <v>1800</v>
      </c>
      <c r="AQ375" t="s">
        <v>74</v>
      </c>
      <c r="AR375" t="s">
        <v>1801</v>
      </c>
      <c r="AS375" t="s">
        <v>1802</v>
      </c>
      <c r="AT375" t="s">
        <v>7215</v>
      </c>
      <c r="AU375">
        <v>2010</v>
      </c>
      <c r="AV375">
        <v>719</v>
      </c>
      <c r="AW375">
        <v>2</v>
      </c>
      <c r="AX375" t="s">
        <v>74</v>
      </c>
      <c r="AY375" t="s">
        <v>74</v>
      </c>
      <c r="AZ375" t="s">
        <v>74</v>
      </c>
      <c r="BA375" t="s">
        <v>74</v>
      </c>
      <c r="BB375">
        <v>1045</v>
      </c>
      <c r="BC375">
        <v>1066</v>
      </c>
      <c r="BD375" t="s">
        <v>74</v>
      </c>
      <c r="BE375" t="s">
        <v>7216</v>
      </c>
      <c r="BF375" t="str">
        <f>HYPERLINK("http://dx.doi.org/10.1088/0004-637X/719/2/1045","http://dx.doi.org/10.1088/0004-637X/719/2/1045")</f>
        <v>http://dx.doi.org/10.1088/0004-637X/719/2/1045</v>
      </c>
      <c r="BG375" t="s">
        <v>74</v>
      </c>
      <c r="BH375" t="s">
        <v>74</v>
      </c>
      <c r="BI375">
        <v>22</v>
      </c>
      <c r="BJ375" t="s">
        <v>1805</v>
      </c>
      <c r="BK375" t="s">
        <v>100</v>
      </c>
      <c r="BL375" t="s">
        <v>1805</v>
      </c>
      <c r="BM375" t="s">
        <v>7217</v>
      </c>
      <c r="BN375" t="s">
        <v>74</v>
      </c>
      <c r="BO375" t="s">
        <v>123</v>
      </c>
      <c r="BP375" t="s">
        <v>74</v>
      </c>
      <c r="BQ375" t="s">
        <v>74</v>
      </c>
      <c r="BR375" t="s">
        <v>104</v>
      </c>
      <c r="BS375" t="s">
        <v>7218</v>
      </c>
      <c r="BT375" t="str">
        <f>HYPERLINK("https%3A%2F%2Fwww.webofscience.com%2Fwos%2Fwoscc%2Ffull-record%2FWOS:000280658000005","View Full Record in Web of Science")</f>
        <v>View Full Record in Web of Science</v>
      </c>
    </row>
    <row r="376" spans="1:72" x14ac:dyDescent="0.15">
      <c r="A376" t="s">
        <v>72</v>
      </c>
      <c r="B376" t="s">
        <v>7219</v>
      </c>
      <c r="C376" t="s">
        <v>74</v>
      </c>
      <c r="D376" t="s">
        <v>74</v>
      </c>
      <c r="E376" t="s">
        <v>74</v>
      </c>
      <c r="F376" t="s">
        <v>7220</v>
      </c>
      <c r="G376" t="s">
        <v>74</v>
      </c>
      <c r="H376" t="s">
        <v>74</v>
      </c>
      <c r="I376" t="s">
        <v>7221</v>
      </c>
      <c r="J376" t="s">
        <v>1562</v>
      </c>
      <c r="K376" t="s">
        <v>74</v>
      </c>
      <c r="L376" t="s">
        <v>74</v>
      </c>
      <c r="M376" t="s">
        <v>78</v>
      </c>
      <c r="N376" t="s">
        <v>79</v>
      </c>
      <c r="O376" t="s">
        <v>74</v>
      </c>
      <c r="P376" t="s">
        <v>74</v>
      </c>
      <c r="Q376" t="s">
        <v>74</v>
      </c>
      <c r="R376" t="s">
        <v>74</v>
      </c>
      <c r="S376" t="s">
        <v>74</v>
      </c>
      <c r="T376" t="s">
        <v>74</v>
      </c>
      <c r="U376" t="s">
        <v>7222</v>
      </c>
      <c r="V376" t="s">
        <v>7223</v>
      </c>
      <c r="W376" t="s">
        <v>7224</v>
      </c>
      <c r="X376" t="s">
        <v>7225</v>
      </c>
      <c r="Y376" t="s">
        <v>7226</v>
      </c>
      <c r="Z376" t="s">
        <v>7227</v>
      </c>
      <c r="AA376" t="s">
        <v>7228</v>
      </c>
      <c r="AB376" t="s">
        <v>7229</v>
      </c>
      <c r="AC376" t="s">
        <v>7230</v>
      </c>
      <c r="AD376" t="s">
        <v>7231</v>
      </c>
      <c r="AE376" t="s">
        <v>7232</v>
      </c>
      <c r="AF376" t="s">
        <v>74</v>
      </c>
      <c r="AG376">
        <v>64</v>
      </c>
      <c r="AH376">
        <v>99</v>
      </c>
      <c r="AI376">
        <v>106</v>
      </c>
      <c r="AJ376">
        <v>0</v>
      </c>
      <c r="AK376">
        <v>20</v>
      </c>
      <c r="AL376" t="s">
        <v>1521</v>
      </c>
      <c r="AM376" t="s">
        <v>1522</v>
      </c>
      <c r="AN376" t="s">
        <v>1523</v>
      </c>
      <c r="AO376" t="s">
        <v>1574</v>
      </c>
      <c r="AP376" t="s">
        <v>1575</v>
      </c>
      <c r="AQ376" t="s">
        <v>74</v>
      </c>
      <c r="AR376" t="s">
        <v>1576</v>
      </c>
      <c r="AS376" t="s">
        <v>1577</v>
      </c>
      <c r="AT376" t="s">
        <v>7233</v>
      </c>
      <c r="AU376">
        <v>2010</v>
      </c>
      <c r="AV376">
        <v>115</v>
      </c>
      <c r="AW376" t="s">
        <v>74</v>
      </c>
      <c r="AX376" t="s">
        <v>74</v>
      </c>
      <c r="AY376" t="s">
        <v>74</v>
      </c>
      <c r="AZ376" t="s">
        <v>74</v>
      </c>
      <c r="BA376" t="s">
        <v>74</v>
      </c>
      <c r="BB376" t="s">
        <v>74</v>
      </c>
      <c r="BC376" t="s">
        <v>74</v>
      </c>
      <c r="BD376" t="s">
        <v>7234</v>
      </c>
      <c r="BE376" t="s">
        <v>7235</v>
      </c>
      <c r="BF376" t="str">
        <f>HYPERLINK("http://dx.doi.org/10.1029/2009JF001482","http://dx.doi.org/10.1029/2009JF001482")</f>
        <v>http://dx.doi.org/10.1029/2009JF001482</v>
      </c>
      <c r="BG376" t="s">
        <v>74</v>
      </c>
      <c r="BH376" t="s">
        <v>74</v>
      </c>
      <c r="BI376">
        <v>12</v>
      </c>
      <c r="BJ376" t="s">
        <v>1194</v>
      </c>
      <c r="BK376" t="s">
        <v>100</v>
      </c>
      <c r="BL376" t="s">
        <v>807</v>
      </c>
      <c r="BM376" t="s">
        <v>7236</v>
      </c>
      <c r="BN376" t="s">
        <v>74</v>
      </c>
      <c r="BO376" t="s">
        <v>7180</v>
      </c>
      <c r="BP376" t="s">
        <v>74</v>
      </c>
      <c r="BQ376" t="s">
        <v>74</v>
      </c>
      <c r="BR376" t="s">
        <v>104</v>
      </c>
      <c r="BS376" t="s">
        <v>7237</v>
      </c>
      <c r="BT376" t="str">
        <f>HYPERLINK("https%3A%2F%2Fwww.webofscience.com%2Fwos%2Fwoscc%2Ffull-record%2FWOS:000281145000001","View Full Record in Web of Science")</f>
        <v>View Full Record in Web of Science</v>
      </c>
    </row>
    <row r="377" spans="1:72" x14ac:dyDescent="0.15">
      <c r="A377" t="s">
        <v>72</v>
      </c>
      <c r="B377" t="s">
        <v>7238</v>
      </c>
      <c r="C377" t="s">
        <v>74</v>
      </c>
      <c r="D377" t="s">
        <v>74</v>
      </c>
      <c r="E377" t="s">
        <v>74</v>
      </c>
      <c r="F377" t="s">
        <v>7239</v>
      </c>
      <c r="G377" t="s">
        <v>74</v>
      </c>
      <c r="H377" t="s">
        <v>74</v>
      </c>
      <c r="I377" t="s">
        <v>7240</v>
      </c>
      <c r="J377" t="s">
        <v>7241</v>
      </c>
      <c r="K377" t="s">
        <v>74</v>
      </c>
      <c r="L377" t="s">
        <v>74</v>
      </c>
      <c r="M377" t="s">
        <v>78</v>
      </c>
      <c r="N377" t="s">
        <v>326</v>
      </c>
      <c r="O377" t="s">
        <v>74</v>
      </c>
      <c r="P377" t="s">
        <v>74</v>
      </c>
      <c r="Q377" t="s">
        <v>74</v>
      </c>
      <c r="R377" t="s">
        <v>74</v>
      </c>
      <c r="S377" t="s">
        <v>74</v>
      </c>
      <c r="T377" t="s">
        <v>74</v>
      </c>
      <c r="U377" t="s">
        <v>7242</v>
      </c>
      <c r="V377" t="s">
        <v>7243</v>
      </c>
      <c r="W377" t="s">
        <v>7244</v>
      </c>
      <c r="X377" t="s">
        <v>7245</v>
      </c>
      <c r="Y377" t="s">
        <v>7246</v>
      </c>
      <c r="Z377" t="s">
        <v>7247</v>
      </c>
      <c r="AA377" t="s">
        <v>74</v>
      </c>
      <c r="AB377" t="s">
        <v>74</v>
      </c>
      <c r="AC377" t="s">
        <v>7248</v>
      </c>
      <c r="AD377" t="s">
        <v>7249</v>
      </c>
      <c r="AE377" t="s">
        <v>7250</v>
      </c>
      <c r="AF377" t="s">
        <v>74</v>
      </c>
      <c r="AG377">
        <v>84</v>
      </c>
      <c r="AH377">
        <v>208</v>
      </c>
      <c r="AI377">
        <v>237</v>
      </c>
      <c r="AJ377">
        <v>8</v>
      </c>
      <c r="AK377">
        <v>154</v>
      </c>
      <c r="AL377" t="s">
        <v>1797</v>
      </c>
      <c r="AM377" t="s">
        <v>510</v>
      </c>
      <c r="AN377" t="s">
        <v>1798</v>
      </c>
      <c r="AO377" t="s">
        <v>7251</v>
      </c>
      <c r="AP377" t="s">
        <v>7252</v>
      </c>
      <c r="AQ377" t="s">
        <v>74</v>
      </c>
      <c r="AR377" t="s">
        <v>7253</v>
      </c>
      <c r="AS377" t="s">
        <v>7254</v>
      </c>
      <c r="AT377" t="s">
        <v>7255</v>
      </c>
      <c r="AU377">
        <v>2010</v>
      </c>
      <c r="AV377">
        <v>22</v>
      </c>
      <c r="AW377">
        <v>32</v>
      </c>
      <c r="AX377" t="s">
        <v>74</v>
      </c>
      <c r="AY377" t="s">
        <v>74</v>
      </c>
      <c r="AZ377" t="s">
        <v>74</v>
      </c>
      <c r="BA377" t="s">
        <v>74</v>
      </c>
      <c r="BB377" t="s">
        <v>74</v>
      </c>
      <c r="BC377" t="s">
        <v>74</v>
      </c>
      <c r="BD377">
        <v>323101</v>
      </c>
      <c r="BE377" t="s">
        <v>7256</v>
      </c>
      <c r="BF377" t="str">
        <f>HYPERLINK("http://dx.doi.org/10.1088/0953-8984/22/32/323101","http://dx.doi.org/10.1088/0953-8984/22/32/323101")</f>
        <v>http://dx.doi.org/10.1088/0953-8984/22/32/323101</v>
      </c>
      <c r="BG377" t="s">
        <v>74</v>
      </c>
      <c r="BH377" t="s">
        <v>74</v>
      </c>
      <c r="BI377">
        <v>17</v>
      </c>
      <c r="BJ377" t="s">
        <v>7257</v>
      </c>
      <c r="BK377" t="s">
        <v>100</v>
      </c>
      <c r="BL377" t="s">
        <v>2126</v>
      </c>
      <c r="BM377" t="s">
        <v>7258</v>
      </c>
      <c r="BN377">
        <v>21386475</v>
      </c>
      <c r="BO377" t="s">
        <v>74</v>
      </c>
      <c r="BP377" t="s">
        <v>74</v>
      </c>
      <c r="BQ377" t="s">
        <v>74</v>
      </c>
      <c r="BR377" t="s">
        <v>104</v>
      </c>
      <c r="BS377" t="s">
        <v>7259</v>
      </c>
      <c r="BT377" t="str">
        <f>HYPERLINK("https%3A%2F%2Fwww.webofscience.com%2Fwos%2Fwoscc%2Ffull-record%2FWOS:000280542900003","View Full Record in Web of Science")</f>
        <v>View Full Record in Web of Science</v>
      </c>
    </row>
    <row r="378" spans="1:72" x14ac:dyDescent="0.15">
      <c r="A378" t="s">
        <v>72</v>
      </c>
      <c r="B378" t="s">
        <v>7260</v>
      </c>
      <c r="C378" t="s">
        <v>74</v>
      </c>
      <c r="D378" t="s">
        <v>74</v>
      </c>
      <c r="E378" t="s">
        <v>74</v>
      </c>
      <c r="F378" t="s">
        <v>7261</v>
      </c>
      <c r="G378" t="s">
        <v>74</v>
      </c>
      <c r="H378" t="s">
        <v>74</v>
      </c>
      <c r="I378" t="s">
        <v>7262</v>
      </c>
      <c r="J378" t="s">
        <v>1868</v>
      </c>
      <c r="K378" t="s">
        <v>74</v>
      </c>
      <c r="L378" t="s">
        <v>74</v>
      </c>
      <c r="M378" t="s">
        <v>78</v>
      </c>
      <c r="N378" t="s">
        <v>79</v>
      </c>
      <c r="O378" t="s">
        <v>74</v>
      </c>
      <c r="P378" t="s">
        <v>74</v>
      </c>
      <c r="Q378" t="s">
        <v>74</v>
      </c>
      <c r="R378" t="s">
        <v>74</v>
      </c>
      <c r="S378" t="s">
        <v>74</v>
      </c>
      <c r="T378" t="s">
        <v>74</v>
      </c>
      <c r="U378" t="s">
        <v>7263</v>
      </c>
      <c r="V378" t="s">
        <v>7264</v>
      </c>
      <c r="W378" t="s">
        <v>7265</v>
      </c>
      <c r="X378" t="s">
        <v>7266</v>
      </c>
      <c r="Y378" t="s">
        <v>7267</v>
      </c>
      <c r="Z378" t="s">
        <v>7268</v>
      </c>
      <c r="AA378" t="s">
        <v>7269</v>
      </c>
      <c r="AB378" t="s">
        <v>7270</v>
      </c>
      <c r="AC378" t="s">
        <v>7271</v>
      </c>
      <c r="AD378" t="s">
        <v>7272</v>
      </c>
      <c r="AE378" t="s">
        <v>7273</v>
      </c>
      <c r="AF378" t="s">
        <v>74</v>
      </c>
      <c r="AG378">
        <v>88</v>
      </c>
      <c r="AH378">
        <v>35</v>
      </c>
      <c r="AI378">
        <v>42</v>
      </c>
      <c r="AJ378">
        <v>0</v>
      </c>
      <c r="AK378">
        <v>35</v>
      </c>
      <c r="AL378" t="s">
        <v>1597</v>
      </c>
      <c r="AM378" t="s">
        <v>1598</v>
      </c>
      <c r="AN378" t="s">
        <v>1599</v>
      </c>
      <c r="AO378" t="s">
        <v>1880</v>
      </c>
      <c r="AP378" t="s">
        <v>74</v>
      </c>
      <c r="AQ378" t="s">
        <v>74</v>
      </c>
      <c r="AR378" t="s">
        <v>1868</v>
      </c>
      <c r="AS378" t="s">
        <v>1881</v>
      </c>
      <c r="AT378" t="s">
        <v>7274</v>
      </c>
      <c r="AU378">
        <v>2010</v>
      </c>
      <c r="AV378">
        <v>11</v>
      </c>
      <c r="AW378" t="s">
        <v>74</v>
      </c>
      <c r="AX378" t="s">
        <v>74</v>
      </c>
      <c r="AY378" t="s">
        <v>74</v>
      </c>
      <c r="AZ378" t="s">
        <v>74</v>
      </c>
      <c r="BA378" t="s">
        <v>74</v>
      </c>
      <c r="BB378" t="s">
        <v>74</v>
      </c>
      <c r="BC378" t="s">
        <v>74</v>
      </c>
      <c r="BD378">
        <v>476</v>
      </c>
      <c r="BE378" t="s">
        <v>7275</v>
      </c>
      <c r="BF378" t="str">
        <f>HYPERLINK("http://dx.doi.org/10.1186/1471-2164-11-476","http://dx.doi.org/10.1186/1471-2164-11-476")</f>
        <v>http://dx.doi.org/10.1186/1471-2164-11-476</v>
      </c>
      <c r="BG378" t="s">
        <v>74</v>
      </c>
      <c r="BH378" t="s">
        <v>74</v>
      </c>
      <c r="BI378">
        <v>21</v>
      </c>
      <c r="BJ378" t="s">
        <v>1884</v>
      </c>
      <c r="BK378" t="s">
        <v>100</v>
      </c>
      <c r="BL378" t="s">
        <v>1884</v>
      </c>
      <c r="BM378" t="s">
        <v>7276</v>
      </c>
      <c r="BN378">
        <v>20716350</v>
      </c>
      <c r="BO378" t="s">
        <v>7277</v>
      </c>
      <c r="BP378" t="s">
        <v>74</v>
      </c>
      <c r="BQ378" t="s">
        <v>74</v>
      </c>
      <c r="BR378" t="s">
        <v>104</v>
      </c>
      <c r="BS378" t="s">
        <v>7278</v>
      </c>
      <c r="BT378" t="str">
        <f>HYPERLINK("https%3A%2F%2Fwww.webofscience.com%2Fwos%2Fwoscc%2Ffull-record%2FWOS:000282789400001","View Full Record in Web of Science")</f>
        <v>View Full Record in Web of Science</v>
      </c>
    </row>
    <row r="379" spans="1:72" x14ac:dyDescent="0.15">
      <c r="A379" t="s">
        <v>72</v>
      </c>
      <c r="B379" t="s">
        <v>7279</v>
      </c>
      <c r="C379" t="s">
        <v>74</v>
      </c>
      <c r="D379" t="s">
        <v>74</v>
      </c>
      <c r="E379" t="s">
        <v>74</v>
      </c>
      <c r="F379" t="s">
        <v>7280</v>
      </c>
      <c r="G379" t="s">
        <v>74</v>
      </c>
      <c r="H379" t="s">
        <v>74</v>
      </c>
      <c r="I379" t="s">
        <v>7281</v>
      </c>
      <c r="J379" t="s">
        <v>1702</v>
      </c>
      <c r="K379" t="s">
        <v>74</v>
      </c>
      <c r="L379" t="s">
        <v>74</v>
      </c>
      <c r="M379" t="s">
        <v>78</v>
      </c>
      <c r="N379" t="s">
        <v>79</v>
      </c>
      <c r="O379" t="s">
        <v>74</v>
      </c>
      <c r="P379" t="s">
        <v>74</v>
      </c>
      <c r="Q379" t="s">
        <v>74</v>
      </c>
      <c r="R379" t="s">
        <v>74</v>
      </c>
      <c r="S379" t="s">
        <v>74</v>
      </c>
      <c r="T379" t="s">
        <v>74</v>
      </c>
      <c r="U379" t="s">
        <v>7282</v>
      </c>
      <c r="V379" t="s">
        <v>7283</v>
      </c>
      <c r="W379" t="s">
        <v>7284</v>
      </c>
      <c r="X379" t="s">
        <v>7285</v>
      </c>
      <c r="Y379" t="s">
        <v>4972</v>
      </c>
      <c r="Z379" t="s">
        <v>4973</v>
      </c>
      <c r="AA379" t="s">
        <v>7286</v>
      </c>
      <c r="AB379" t="s">
        <v>7287</v>
      </c>
      <c r="AC379" t="s">
        <v>7288</v>
      </c>
      <c r="AD379" t="s">
        <v>7288</v>
      </c>
      <c r="AE379" t="s">
        <v>7289</v>
      </c>
      <c r="AF379" t="s">
        <v>74</v>
      </c>
      <c r="AG379">
        <v>58</v>
      </c>
      <c r="AH379">
        <v>31</v>
      </c>
      <c r="AI379">
        <v>37</v>
      </c>
      <c r="AJ379">
        <v>0</v>
      </c>
      <c r="AK379">
        <v>9</v>
      </c>
      <c r="AL379" t="s">
        <v>1521</v>
      </c>
      <c r="AM379" t="s">
        <v>1522</v>
      </c>
      <c r="AN379" t="s">
        <v>1523</v>
      </c>
      <c r="AO379" t="s">
        <v>1714</v>
      </c>
      <c r="AP379" t="s">
        <v>1715</v>
      </c>
      <c r="AQ379" t="s">
        <v>74</v>
      </c>
      <c r="AR379" t="s">
        <v>1716</v>
      </c>
      <c r="AS379" t="s">
        <v>1717</v>
      </c>
      <c r="AT379" t="s">
        <v>7274</v>
      </c>
      <c r="AU379">
        <v>2010</v>
      </c>
      <c r="AV379">
        <v>115</v>
      </c>
      <c r="AW379" t="s">
        <v>74</v>
      </c>
      <c r="AX379" t="s">
        <v>74</v>
      </c>
      <c r="AY379" t="s">
        <v>74</v>
      </c>
      <c r="AZ379" t="s">
        <v>74</v>
      </c>
      <c r="BA379" t="s">
        <v>74</v>
      </c>
      <c r="BB379" t="s">
        <v>74</v>
      </c>
      <c r="BC379" t="s">
        <v>74</v>
      </c>
      <c r="BD379" t="s">
        <v>7290</v>
      </c>
      <c r="BE379" t="s">
        <v>7291</v>
      </c>
      <c r="BF379" t="str">
        <f>HYPERLINK("http://dx.doi.org/10.1029/2009JD013268","http://dx.doi.org/10.1029/2009JD013268")</f>
        <v>http://dx.doi.org/10.1029/2009JD013268</v>
      </c>
      <c r="BG379" t="s">
        <v>74</v>
      </c>
      <c r="BH379" t="s">
        <v>74</v>
      </c>
      <c r="BI379">
        <v>12</v>
      </c>
      <c r="BJ379" t="s">
        <v>319</v>
      </c>
      <c r="BK379" t="s">
        <v>100</v>
      </c>
      <c r="BL379" t="s">
        <v>319</v>
      </c>
      <c r="BM379" t="s">
        <v>7292</v>
      </c>
      <c r="BN379" t="s">
        <v>74</v>
      </c>
      <c r="BO379" t="s">
        <v>74</v>
      </c>
      <c r="BP379" t="s">
        <v>74</v>
      </c>
      <c r="BQ379" t="s">
        <v>74</v>
      </c>
      <c r="BR379" t="s">
        <v>104</v>
      </c>
      <c r="BS379" t="s">
        <v>7293</v>
      </c>
      <c r="BT379" t="str">
        <f>HYPERLINK("https%3A%2F%2Fwww.webofscience.com%2Fwos%2Fwoscc%2Ffull-record%2FWOS:000281143800002","View Full Record in Web of Science")</f>
        <v>View Full Record in Web of Science</v>
      </c>
    </row>
    <row r="380" spans="1:72" x14ac:dyDescent="0.15">
      <c r="A380" t="s">
        <v>72</v>
      </c>
      <c r="B380" t="s">
        <v>7294</v>
      </c>
      <c r="C380" t="s">
        <v>74</v>
      </c>
      <c r="D380" t="s">
        <v>74</v>
      </c>
      <c r="E380" t="s">
        <v>74</v>
      </c>
      <c r="F380" t="s">
        <v>7295</v>
      </c>
      <c r="G380" t="s">
        <v>74</v>
      </c>
      <c r="H380" t="s">
        <v>74</v>
      </c>
      <c r="I380" t="s">
        <v>7296</v>
      </c>
      <c r="J380" t="s">
        <v>4657</v>
      </c>
      <c r="K380" t="s">
        <v>74</v>
      </c>
      <c r="L380" t="s">
        <v>74</v>
      </c>
      <c r="M380" t="s">
        <v>78</v>
      </c>
      <c r="N380" t="s">
        <v>79</v>
      </c>
      <c r="O380" t="s">
        <v>74</v>
      </c>
      <c r="P380" t="s">
        <v>74</v>
      </c>
      <c r="Q380" t="s">
        <v>74</v>
      </c>
      <c r="R380" t="s">
        <v>74</v>
      </c>
      <c r="S380" t="s">
        <v>74</v>
      </c>
      <c r="T380" t="s">
        <v>74</v>
      </c>
      <c r="U380" t="s">
        <v>7297</v>
      </c>
      <c r="V380" t="s">
        <v>7298</v>
      </c>
      <c r="W380" t="s">
        <v>7299</v>
      </c>
      <c r="X380" t="s">
        <v>7300</v>
      </c>
      <c r="Y380" t="s">
        <v>7301</v>
      </c>
      <c r="Z380" t="s">
        <v>7302</v>
      </c>
      <c r="AA380" t="s">
        <v>7303</v>
      </c>
      <c r="AB380" t="s">
        <v>7304</v>
      </c>
      <c r="AC380" t="s">
        <v>7305</v>
      </c>
      <c r="AD380" t="s">
        <v>7306</v>
      </c>
      <c r="AE380" t="s">
        <v>7307</v>
      </c>
      <c r="AF380" t="s">
        <v>74</v>
      </c>
      <c r="AG380">
        <v>67</v>
      </c>
      <c r="AH380">
        <v>17</v>
      </c>
      <c r="AI380">
        <v>20</v>
      </c>
      <c r="AJ380">
        <v>3</v>
      </c>
      <c r="AK380">
        <v>50</v>
      </c>
      <c r="AL380" t="s">
        <v>4669</v>
      </c>
      <c r="AM380" t="s">
        <v>4670</v>
      </c>
      <c r="AN380" t="s">
        <v>4671</v>
      </c>
      <c r="AO380" t="s">
        <v>4672</v>
      </c>
      <c r="AP380" t="s">
        <v>74</v>
      </c>
      <c r="AQ380" t="s">
        <v>74</v>
      </c>
      <c r="AR380" t="s">
        <v>4657</v>
      </c>
      <c r="AS380" t="s">
        <v>4673</v>
      </c>
      <c r="AT380" t="s">
        <v>7274</v>
      </c>
      <c r="AU380">
        <v>2010</v>
      </c>
      <c r="AV380">
        <v>5</v>
      </c>
      <c r="AW380">
        <v>8</v>
      </c>
      <c r="AX380" t="s">
        <v>74</v>
      </c>
      <c r="AY380" t="s">
        <v>74</v>
      </c>
      <c r="AZ380" t="s">
        <v>74</v>
      </c>
      <c r="BA380" t="s">
        <v>74</v>
      </c>
      <c r="BB380" t="s">
        <v>74</v>
      </c>
      <c r="BC380" t="s">
        <v>74</v>
      </c>
      <c r="BD380" t="s">
        <v>7308</v>
      </c>
      <c r="BE380" t="s">
        <v>7309</v>
      </c>
      <c r="BF380" t="str">
        <f>HYPERLINK("http://dx.doi.org/10.1371/journal.pone.0012230","http://dx.doi.org/10.1371/journal.pone.0012230")</f>
        <v>http://dx.doi.org/10.1371/journal.pone.0012230</v>
      </c>
      <c r="BG380" t="s">
        <v>74</v>
      </c>
      <c r="BH380" t="s">
        <v>74</v>
      </c>
      <c r="BI380">
        <v>8</v>
      </c>
      <c r="BJ380" t="s">
        <v>444</v>
      </c>
      <c r="BK380" t="s">
        <v>100</v>
      </c>
      <c r="BL380" t="s">
        <v>445</v>
      </c>
      <c r="BM380" t="s">
        <v>7310</v>
      </c>
      <c r="BN380">
        <v>20808931</v>
      </c>
      <c r="BO380" t="s">
        <v>7311</v>
      </c>
      <c r="BP380" t="s">
        <v>74</v>
      </c>
      <c r="BQ380" t="s">
        <v>74</v>
      </c>
      <c r="BR380" t="s">
        <v>104</v>
      </c>
      <c r="BS380" t="s">
        <v>7312</v>
      </c>
      <c r="BT380" t="str">
        <f>HYPERLINK("https%3A%2F%2Fwww.webofscience.com%2Fwos%2Fwoscc%2Ffull-record%2FWOS:000280968100026","View Full Record in Web of Science")</f>
        <v>View Full Record in Web of Science</v>
      </c>
    </row>
    <row r="381" spans="1:72" x14ac:dyDescent="0.15">
      <c r="A381" t="s">
        <v>72</v>
      </c>
      <c r="B381" t="s">
        <v>7313</v>
      </c>
      <c r="C381" t="s">
        <v>74</v>
      </c>
      <c r="D381" t="s">
        <v>74</v>
      </c>
      <c r="E381" t="s">
        <v>74</v>
      </c>
      <c r="F381" t="s">
        <v>7314</v>
      </c>
      <c r="G381" t="s">
        <v>74</v>
      </c>
      <c r="H381" t="s">
        <v>74</v>
      </c>
      <c r="I381" t="s">
        <v>7315</v>
      </c>
      <c r="J381" t="s">
        <v>536</v>
      </c>
      <c r="K381" t="s">
        <v>74</v>
      </c>
      <c r="L381" t="s">
        <v>74</v>
      </c>
      <c r="M381" t="s">
        <v>78</v>
      </c>
      <c r="N381" t="s">
        <v>79</v>
      </c>
      <c r="O381" t="s">
        <v>74</v>
      </c>
      <c r="P381" t="s">
        <v>74</v>
      </c>
      <c r="Q381" t="s">
        <v>74</v>
      </c>
      <c r="R381" t="s">
        <v>74</v>
      </c>
      <c r="S381" t="s">
        <v>74</v>
      </c>
      <c r="T381" t="s">
        <v>7316</v>
      </c>
      <c r="U381" t="s">
        <v>7317</v>
      </c>
      <c r="V381" t="s">
        <v>7318</v>
      </c>
      <c r="W381" t="s">
        <v>7319</v>
      </c>
      <c r="X381" t="s">
        <v>7320</v>
      </c>
      <c r="Y381" t="s">
        <v>7321</v>
      </c>
      <c r="Z381" t="s">
        <v>7322</v>
      </c>
      <c r="AA381" t="s">
        <v>7323</v>
      </c>
      <c r="AB381" t="s">
        <v>7324</v>
      </c>
      <c r="AC381" t="s">
        <v>7325</v>
      </c>
      <c r="AD381" t="s">
        <v>7326</v>
      </c>
      <c r="AE381" t="s">
        <v>7327</v>
      </c>
      <c r="AF381" t="s">
        <v>74</v>
      </c>
      <c r="AG381">
        <v>47</v>
      </c>
      <c r="AH381">
        <v>39</v>
      </c>
      <c r="AI381">
        <v>43</v>
      </c>
      <c r="AJ381">
        <v>0</v>
      </c>
      <c r="AK381">
        <v>30</v>
      </c>
      <c r="AL381" t="s">
        <v>1038</v>
      </c>
      <c r="AM381" t="s">
        <v>550</v>
      </c>
      <c r="AN381" t="s">
        <v>1039</v>
      </c>
      <c r="AO381" t="s">
        <v>552</v>
      </c>
      <c r="AP381" t="s">
        <v>2999</v>
      </c>
      <c r="AQ381" t="s">
        <v>74</v>
      </c>
      <c r="AR381" t="s">
        <v>553</v>
      </c>
      <c r="AS381" t="s">
        <v>554</v>
      </c>
      <c r="AT381" t="s">
        <v>7328</v>
      </c>
      <c r="AU381">
        <v>2010</v>
      </c>
      <c r="AV381">
        <v>297</v>
      </c>
      <c r="AW381" t="s">
        <v>4513</v>
      </c>
      <c r="AX381" t="s">
        <v>74</v>
      </c>
      <c r="AY381" t="s">
        <v>74</v>
      </c>
      <c r="AZ381" t="s">
        <v>74</v>
      </c>
      <c r="BA381" t="s">
        <v>74</v>
      </c>
      <c r="BB381">
        <v>226</v>
      </c>
      <c r="BC381">
        <v>233</v>
      </c>
      <c r="BD381" t="s">
        <v>74</v>
      </c>
      <c r="BE381" t="s">
        <v>7329</v>
      </c>
      <c r="BF381" t="str">
        <f>HYPERLINK("http://dx.doi.org/10.1016/j.epsl.2010.06.023","http://dx.doi.org/10.1016/j.epsl.2010.06.023")</f>
        <v>http://dx.doi.org/10.1016/j.epsl.2010.06.023</v>
      </c>
      <c r="BG381" t="s">
        <v>74</v>
      </c>
      <c r="BH381" t="s">
        <v>74</v>
      </c>
      <c r="BI381">
        <v>8</v>
      </c>
      <c r="BJ381" t="s">
        <v>558</v>
      </c>
      <c r="BK381" t="s">
        <v>100</v>
      </c>
      <c r="BL381" t="s">
        <v>558</v>
      </c>
      <c r="BM381" t="s">
        <v>7330</v>
      </c>
      <c r="BN381" t="s">
        <v>74</v>
      </c>
      <c r="BO381" t="s">
        <v>74</v>
      </c>
      <c r="BP381" t="s">
        <v>74</v>
      </c>
      <c r="BQ381" t="s">
        <v>74</v>
      </c>
      <c r="BR381" t="s">
        <v>104</v>
      </c>
      <c r="BS381" t="s">
        <v>7331</v>
      </c>
      <c r="BT381" t="str">
        <f>HYPERLINK("https%3A%2F%2Fwww.webofscience.com%2Fwos%2Fwoscc%2Ffull-record%2FWOS:000282110100023","View Full Record in Web of Science")</f>
        <v>View Full Record in Web of Science</v>
      </c>
    </row>
    <row r="382" spans="1:72" x14ac:dyDescent="0.15">
      <c r="A382" t="s">
        <v>72</v>
      </c>
      <c r="B382" t="s">
        <v>7332</v>
      </c>
      <c r="C382" t="s">
        <v>74</v>
      </c>
      <c r="D382" t="s">
        <v>74</v>
      </c>
      <c r="E382" t="s">
        <v>74</v>
      </c>
      <c r="F382" t="s">
        <v>7333</v>
      </c>
      <c r="G382" t="s">
        <v>74</v>
      </c>
      <c r="H382" t="s">
        <v>74</v>
      </c>
      <c r="I382" t="s">
        <v>7334</v>
      </c>
      <c r="J382" t="s">
        <v>536</v>
      </c>
      <c r="K382" t="s">
        <v>74</v>
      </c>
      <c r="L382" t="s">
        <v>74</v>
      </c>
      <c r="M382" t="s">
        <v>78</v>
      </c>
      <c r="N382" t="s">
        <v>79</v>
      </c>
      <c r="O382" t="s">
        <v>74</v>
      </c>
      <c r="P382" t="s">
        <v>74</v>
      </c>
      <c r="Q382" t="s">
        <v>74</v>
      </c>
      <c r="R382" t="s">
        <v>74</v>
      </c>
      <c r="S382" t="s">
        <v>74</v>
      </c>
      <c r="T382" t="s">
        <v>7335</v>
      </c>
      <c r="U382" t="s">
        <v>7336</v>
      </c>
      <c r="V382" t="s">
        <v>7337</v>
      </c>
      <c r="W382" t="s">
        <v>7338</v>
      </c>
      <c r="X382" t="s">
        <v>7339</v>
      </c>
      <c r="Y382" t="s">
        <v>7340</v>
      </c>
      <c r="Z382" t="s">
        <v>7341</v>
      </c>
      <c r="AA382" t="s">
        <v>7342</v>
      </c>
      <c r="AB382" t="s">
        <v>7343</v>
      </c>
      <c r="AC382" t="s">
        <v>7344</v>
      </c>
      <c r="AD382" t="s">
        <v>7344</v>
      </c>
      <c r="AE382" t="s">
        <v>7345</v>
      </c>
      <c r="AF382" t="s">
        <v>74</v>
      </c>
      <c r="AG382">
        <v>55</v>
      </c>
      <c r="AH382">
        <v>39</v>
      </c>
      <c r="AI382">
        <v>44</v>
      </c>
      <c r="AJ382">
        <v>0</v>
      </c>
      <c r="AK382">
        <v>25</v>
      </c>
      <c r="AL382" t="s">
        <v>549</v>
      </c>
      <c r="AM382" t="s">
        <v>550</v>
      </c>
      <c r="AN382" t="s">
        <v>551</v>
      </c>
      <c r="AO382" t="s">
        <v>552</v>
      </c>
      <c r="AP382" t="s">
        <v>2999</v>
      </c>
      <c r="AQ382" t="s">
        <v>74</v>
      </c>
      <c r="AR382" t="s">
        <v>553</v>
      </c>
      <c r="AS382" t="s">
        <v>554</v>
      </c>
      <c r="AT382" t="s">
        <v>7328</v>
      </c>
      <c r="AU382">
        <v>2010</v>
      </c>
      <c r="AV382">
        <v>297</v>
      </c>
      <c r="AW382" t="s">
        <v>4513</v>
      </c>
      <c r="AX382" t="s">
        <v>74</v>
      </c>
      <c r="AY382" t="s">
        <v>74</v>
      </c>
      <c r="AZ382" t="s">
        <v>74</v>
      </c>
      <c r="BA382" t="s">
        <v>74</v>
      </c>
      <c r="BB382">
        <v>249</v>
      </c>
      <c r="BC382">
        <v>261</v>
      </c>
      <c r="BD382" t="s">
        <v>74</v>
      </c>
      <c r="BE382" t="s">
        <v>7346</v>
      </c>
      <c r="BF382" t="str">
        <f>HYPERLINK("http://dx.doi.org/10.1016/j.epsl.2010.06.026","http://dx.doi.org/10.1016/j.epsl.2010.06.026")</f>
        <v>http://dx.doi.org/10.1016/j.epsl.2010.06.026</v>
      </c>
      <c r="BG382" t="s">
        <v>74</v>
      </c>
      <c r="BH382" t="s">
        <v>74</v>
      </c>
      <c r="BI382">
        <v>13</v>
      </c>
      <c r="BJ382" t="s">
        <v>558</v>
      </c>
      <c r="BK382" t="s">
        <v>100</v>
      </c>
      <c r="BL382" t="s">
        <v>558</v>
      </c>
      <c r="BM382" t="s">
        <v>7330</v>
      </c>
      <c r="BN382" t="s">
        <v>74</v>
      </c>
      <c r="BO382" t="s">
        <v>74</v>
      </c>
      <c r="BP382" t="s">
        <v>74</v>
      </c>
      <c r="BQ382" t="s">
        <v>74</v>
      </c>
      <c r="BR382" t="s">
        <v>104</v>
      </c>
      <c r="BS382" t="s">
        <v>7347</v>
      </c>
      <c r="BT382" t="str">
        <f>HYPERLINK("https%3A%2F%2Fwww.webofscience.com%2Fwos%2Fwoscc%2Ffull-record%2FWOS:000282110100025","View Full Record in Web of Science")</f>
        <v>View Full Record in Web of Science</v>
      </c>
    </row>
    <row r="383" spans="1:72" x14ac:dyDescent="0.15">
      <c r="A383" t="s">
        <v>72</v>
      </c>
      <c r="B383" t="s">
        <v>7348</v>
      </c>
      <c r="C383" t="s">
        <v>74</v>
      </c>
      <c r="D383" t="s">
        <v>74</v>
      </c>
      <c r="E383" t="s">
        <v>74</v>
      </c>
      <c r="F383" t="s">
        <v>7349</v>
      </c>
      <c r="G383" t="s">
        <v>74</v>
      </c>
      <c r="H383" t="s">
        <v>74</v>
      </c>
      <c r="I383" t="s">
        <v>7350</v>
      </c>
      <c r="J383" t="s">
        <v>614</v>
      </c>
      <c r="K383" t="s">
        <v>74</v>
      </c>
      <c r="L383" t="s">
        <v>74</v>
      </c>
      <c r="M383" t="s">
        <v>78</v>
      </c>
      <c r="N383" t="s">
        <v>79</v>
      </c>
      <c r="O383" t="s">
        <v>74</v>
      </c>
      <c r="P383" t="s">
        <v>74</v>
      </c>
      <c r="Q383" t="s">
        <v>74</v>
      </c>
      <c r="R383" t="s">
        <v>74</v>
      </c>
      <c r="S383" t="s">
        <v>74</v>
      </c>
      <c r="T383" t="s">
        <v>74</v>
      </c>
      <c r="U383" t="s">
        <v>7351</v>
      </c>
      <c r="V383" t="s">
        <v>7352</v>
      </c>
      <c r="W383" t="s">
        <v>7353</v>
      </c>
      <c r="X383" t="s">
        <v>7354</v>
      </c>
      <c r="Y383" t="s">
        <v>7355</v>
      </c>
      <c r="Z383" t="s">
        <v>7356</v>
      </c>
      <c r="AA383" t="s">
        <v>7357</v>
      </c>
      <c r="AB383" t="s">
        <v>7358</v>
      </c>
      <c r="AC383" t="s">
        <v>74</v>
      </c>
      <c r="AD383" t="s">
        <v>74</v>
      </c>
      <c r="AE383" t="s">
        <v>74</v>
      </c>
      <c r="AF383" t="s">
        <v>74</v>
      </c>
      <c r="AG383">
        <v>44</v>
      </c>
      <c r="AH383">
        <v>29</v>
      </c>
      <c r="AI383">
        <v>32</v>
      </c>
      <c r="AJ383">
        <v>2</v>
      </c>
      <c r="AK383">
        <v>39</v>
      </c>
      <c r="AL383" t="s">
        <v>264</v>
      </c>
      <c r="AM383" t="s">
        <v>265</v>
      </c>
      <c r="AN383" t="s">
        <v>266</v>
      </c>
      <c r="AO383" t="s">
        <v>625</v>
      </c>
      <c r="AP383" t="s">
        <v>626</v>
      </c>
      <c r="AQ383" t="s">
        <v>74</v>
      </c>
      <c r="AR383" t="s">
        <v>627</v>
      </c>
      <c r="AS383" t="s">
        <v>628</v>
      </c>
      <c r="AT383" t="s">
        <v>7328</v>
      </c>
      <c r="AU383">
        <v>2010</v>
      </c>
      <c r="AV383">
        <v>74</v>
      </c>
      <c r="AW383">
        <v>16</v>
      </c>
      <c r="AX383" t="s">
        <v>74</v>
      </c>
      <c r="AY383" t="s">
        <v>74</v>
      </c>
      <c r="AZ383" t="s">
        <v>74</v>
      </c>
      <c r="BA383" t="s">
        <v>74</v>
      </c>
      <c r="BB383">
        <v>4655</v>
      </c>
      <c r="BC383">
        <v>4670</v>
      </c>
      <c r="BD383" t="s">
        <v>74</v>
      </c>
      <c r="BE383" t="s">
        <v>7359</v>
      </c>
      <c r="BF383" t="str">
        <f>HYPERLINK("http://dx.doi.org/10.1016/j.gca.2010.05.024","http://dx.doi.org/10.1016/j.gca.2010.05.024")</f>
        <v>http://dx.doi.org/10.1016/j.gca.2010.05.024</v>
      </c>
      <c r="BG383" t="s">
        <v>74</v>
      </c>
      <c r="BH383" t="s">
        <v>74</v>
      </c>
      <c r="BI383">
        <v>16</v>
      </c>
      <c r="BJ383" t="s">
        <v>558</v>
      </c>
      <c r="BK383" t="s">
        <v>100</v>
      </c>
      <c r="BL383" t="s">
        <v>558</v>
      </c>
      <c r="BM383" t="s">
        <v>7360</v>
      </c>
      <c r="BN383" t="s">
        <v>74</v>
      </c>
      <c r="BO383" t="s">
        <v>74</v>
      </c>
      <c r="BP383" t="s">
        <v>74</v>
      </c>
      <c r="BQ383" t="s">
        <v>74</v>
      </c>
      <c r="BR383" t="s">
        <v>104</v>
      </c>
      <c r="BS383" t="s">
        <v>7361</v>
      </c>
      <c r="BT383" t="str">
        <f>HYPERLINK("https%3A%2F%2Fwww.webofscience.com%2Fwos%2Fwoscc%2Ffull-record%2FWOS:000280041200005","View Full Record in Web of Science")</f>
        <v>View Full Record in Web of Science</v>
      </c>
    </row>
    <row r="384" spans="1:72" x14ac:dyDescent="0.15">
      <c r="A384" t="s">
        <v>72</v>
      </c>
      <c r="B384" t="s">
        <v>7362</v>
      </c>
      <c r="C384" t="s">
        <v>74</v>
      </c>
      <c r="D384" t="s">
        <v>74</v>
      </c>
      <c r="E384" t="s">
        <v>74</v>
      </c>
      <c r="F384" t="s">
        <v>7363</v>
      </c>
      <c r="G384" t="s">
        <v>74</v>
      </c>
      <c r="H384" t="s">
        <v>74</v>
      </c>
      <c r="I384" t="s">
        <v>7364</v>
      </c>
      <c r="J384" t="s">
        <v>614</v>
      </c>
      <c r="K384" t="s">
        <v>74</v>
      </c>
      <c r="L384" t="s">
        <v>74</v>
      </c>
      <c r="M384" t="s">
        <v>78</v>
      </c>
      <c r="N384" t="s">
        <v>79</v>
      </c>
      <c r="O384" t="s">
        <v>74</v>
      </c>
      <c r="P384" t="s">
        <v>74</v>
      </c>
      <c r="Q384" t="s">
        <v>74</v>
      </c>
      <c r="R384" t="s">
        <v>74</v>
      </c>
      <c r="S384" t="s">
        <v>74</v>
      </c>
      <c r="T384" t="s">
        <v>74</v>
      </c>
      <c r="U384" t="s">
        <v>7365</v>
      </c>
      <c r="V384" t="s">
        <v>7366</v>
      </c>
      <c r="W384" t="s">
        <v>7367</v>
      </c>
      <c r="X384" t="s">
        <v>7368</v>
      </c>
      <c r="Y384" t="s">
        <v>7369</v>
      </c>
      <c r="Z384" t="s">
        <v>7370</v>
      </c>
      <c r="AA384" t="s">
        <v>7371</v>
      </c>
      <c r="AB384" t="s">
        <v>7372</v>
      </c>
      <c r="AC384" t="s">
        <v>7373</v>
      </c>
      <c r="AD384" t="s">
        <v>7374</v>
      </c>
      <c r="AE384" t="s">
        <v>7375</v>
      </c>
      <c r="AF384" t="s">
        <v>74</v>
      </c>
      <c r="AG384">
        <v>75</v>
      </c>
      <c r="AH384">
        <v>16</v>
      </c>
      <c r="AI384">
        <v>16</v>
      </c>
      <c r="AJ384">
        <v>0</v>
      </c>
      <c r="AK384">
        <v>20</v>
      </c>
      <c r="AL384" t="s">
        <v>264</v>
      </c>
      <c r="AM384" t="s">
        <v>265</v>
      </c>
      <c r="AN384" t="s">
        <v>266</v>
      </c>
      <c r="AO384" t="s">
        <v>625</v>
      </c>
      <c r="AP384" t="s">
        <v>626</v>
      </c>
      <c r="AQ384" t="s">
        <v>74</v>
      </c>
      <c r="AR384" t="s">
        <v>627</v>
      </c>
      <c r="AS384" t="s">
        <v>628</v>
      </c>
      <c r="AT384" t="s">
        <v>7328</v>
      </c>
      <c r="AU384">
        <v>2010</v>
      </c>
      <c r="AV384">
        <v>74</v>
      </c>
      <c r="AW384">
        <v>16</v>
      </c>
      <c r="AX384" t="s">
        <v>74</v>
      </c>
      <c r="AY384" t="s">
        <v>74</v>
      </c>
      <c r="AZ384" t="s">
        <v>74</v>
      </c>
      <c r="BA384" t="s">
        <v>74</v>
      </c>
      <c r="BB384">
        <v>4829</v>
      </c>
      <c r="BC384">
        <v>4843</v>
      </c>
      <c r="BD384" t="s">
        <v>74</v>
      </c>
      <c r="BE384" t="s">
        <v>7376</v>
      </c>
      <c r="BF384" t="str">
        <f>HYPERLINK("http://dx.doi.org/10.1016/j.gca.2010.04.065","http://dx.doi.org/10.1016/j.gca.2010.04.065")</f>
        <v>http://dx.doi.org/10.1016/j.gca.2010.04.065</v>
      </c>
      <c r="BG384" t="s">
        <v>74</v>
      </c>
      <c r="BH384" t="s">
        <v>74</v>
      </c>
      <c r="BI384">
        <v>15</v>
      </c>
      <c r="BJ384" t="s">
        <v>558</v>
      </c>
      <c r="BK384" t="s">
        <v>100</v>
      </c>
      <c r="BL384" t="s">
        <v>558</v>
      </c>
      <c r="BM384" t="s">
        <v>7360</v>
      </c>
      <c r="BN384" t="s">
        <v>74</v>
      </c>
      <c r="BO384" t="s">
        <v>74</v>
      </c>
      <c r="BP384" t="s">
        <v>74</v>
      </c>
      <c r="BQ384" t="s">
        <v>74</v>
      </c>
      <c r="BR384" t="s">
        <v>104</v>
      </c>
      <c r="BS384" t="s">
        <v>7377</v>
      </c>
      <c r="BT384" t="str">
        <f>HYPERLINK("https%3A%2F%2Fwww.webofscience.com%2Fwos%2Fwoscc%2Ffull-record%2FWOS:000280041200015","View Full Record in Web of Science")</f>
        <v>View Full Record in Web of Science</v>
      </c>
    </row>
    <row r="385" spans="1:72" x14ac:dyDescent="0.15">
      <c r="A385" t="s">
        <v>72</v>
      </c>
      <c r="B385" t="s">
        <v>7378</v>
      </c>
      <c r="C385" t="s">
        <v>74</v>
      </c>
      <c r="D385" t="s">
        <v>74</v>
      </c>
      <c r="E385" t="s">
        <v>74</v>
      </c>
      <c r="F385" t="s">
        <v>7379</v>
      </c>
      <c r="G385" t="s">
        <v>74</v>
      </c>
      <c r="H385" t="s">
        <v>74</v>
      </c>
      <c r="I385" t="s">
        <v>7380</v>
      </c>
      <c r="J385" t="s">
        <v>3420</v>
      </c>
      <c r="K385" t="s">
        <v>74</v>
      </c>
      <c r="L385" t="s">
        <v>74</v>
      </c>
      <c r="M385" t="s">
        <v>78</v>
      </c>
      <c r="N385" t="s">
        <v>79</v>
      </c>
      <c r="O385" t="s">
        <v>74</v>
      </c>
      <c r="P385" t="s">
        <v>74</v>
      </c>
      <c r="Q385" t="s">
        <v>74</v>
      </c>
      <c r="R385" t="s">
        <v>74</v>
      </c>
      <c r="S385" t="s">
        <v>74</v>
      </c>
      <c r="T385" t="s">
        <v>74</v>
      </c>
      <c r="U385" t="s">
        <v>7381</v>
      </c>
      <c r="V385" t="s">
        <v>7382</v>
      </c>
      <c r="W385" t="s">
        <v>7383</v>
      </c>
      <c r="X385" t="s">
        <v>7384</v>
      </c>
      <c r="Y385" t="s">
        <v>7385</v>
      </c>
      <c r="Z385" t="s">
        <v>7386</v>
      </c>
      <c r="AA385" t="s">
        <v>7387</v>
      </c>
      <c r="AB385" t="s">
        <v>7388</v>
      </c>
      <c r="AC385" t="s">
        <v>7389</v>
      </c>
      <c r="AD385" t="s">
        <v>7390</v>
      </c>
      <c r="AE385" t="s">
        <v>7391</v>
      </c>
      <c r="AF385" t="s">
        <v>74</v>
      </c>
      <c r="AG385">
        <v>65</v>
      </c>
      <c r="AH385">
        <v>455</v>
      </c>
      <c r="AI385">
        <v>491</v>
      </c>
      <c r="AJ385">
        <v>7</v>
      </c>
      <c r="AK385">
        <v>173</v>
      </c>
      <c r="AL385" t="s">
        <v>3432</v>
      </c>
      <c r="AM385" t="s">
        <v>3433</v>
      </c>
      <c r="AN385" t="s">
        <v>7392</v>
      </c>
      <c r="AO385" t="s">
        <v>3435</v>
      </c>
      <c r="AP385" t="s">
        <v>3436</v>
      </c>
      <c r="AQ385" t="s">
        <v>74</v>
      </c>
      <c r="AR385" t="s">
        <v>3437</v>
      </c>
      <c r="AS385" t="s">
        <v>3438</v>
      </c>
      <c r="AT385" t="s">
        <v>7328</v>
      </c>
      <c r="AU385">
        <v>2010</v>
      </c>
      <c r="AV385">
        <v>23</v>
      </c>
      <c r="AW385">
        <v>16</v>
      </c>
      <c r="AX385" t="s">
        <v>74</v>
      </c>
      <c r="AY385" t="s">
        <v>74</v>
      </c>
      <c r="AZ385" t="s">
        <v>74</v>
      </c>
      <c r="BA385" t="s">
        <v>74</v>
      </c>
      <c r="BB385">
        <v>4342</v>
      </c>
      <c r="BC385">
        <v>4362</v>
      </c>
      <c r="BD385" t="s">
        <v>74</v>
      </c>
      <c r="BE385" t="s">
        <v>7393</v>
      </c>
      <c r="BF385" t="str">
        <f>HYPERLINK("http://dx.doi.org/10.1175/2010JCLI3377.1","http://dx.doi.org/10.1175/2010JCLI3377.1")</f>
        <v>http://dx.doi.org/10.1175/2010JCLI3377.1</v>
      </c>
      <c r="BG385" t="s">
        <v>74</v>
      </c>
      <c r="BH385" t="s">
        <v>74</v>
      </c>
      <c r="BI385">
        <v>21</v>
      </c>
      <c r="BJ385" t="s">
        <v>319</v>
      </c>
      <c r="BK385" t="s">
        <v>100</v>
      </c>
      <c r="BL385" t="s">
        <v>319</v>
      </c>
      <c r="BM385" t="s">
        <v>7394</v>
      </c>
      <c r="BN385" t="s">
        <v>74</v>
      </c>
      <c r="BO385" t="s">
        <v>7395</v>
      </c>
      <c r="BP385" t="s">
        <v>74</v>
      </c>
      <c r="BQ385" t="s">
        <v>74</v>
      </c>
      <c r="BR385" t="s">
        <v>104</v>
      </c>
      <c r="BS385" t="s">
        <v>7396</v>
      </c>
      <c r="BT385" t="str">
        <f>HYPERLINK("https%3A%2F%2Fwww.webofscience.com%2Fwos%2Fwoscc%2Ffull-record%2FWOS:000281512600004","View Full Record in Web of Science")</f>
        <v>View Full Record in Web of Science</v>
      </c>
    </row>
    <row r="386" spans="1:72" x14ac:dyDescent="0.15">
      <c r="A386" t="s">
        <v>72</v>
      </c>
      <c r="B386" t="s">
        <v>7397</v>
      </c>
      <c r="C386" t="s">
        <v>74</v>
      </c>
      <c r="D386" t="s">
        <v>74</v>
      </c>
      <c r="E386" t="s">
        <v>74</v>
      </c>
      <c r="F386" t="s">
        <v>7398</v>
      </c>
      <c r="G386" t="s">
        <v>74</v>
      </c>
      <c r="H386" t="s">
        <v>74</v>
      </c>
      <c r="I386" t="s">
        <v>7399</v>
      </c>
      <c r="J386" t="s">
        <v>762</v>
      </c>
      <c r="K386" t="s">
        <v>74</v>
      </c>
      <c r="L386" t="s">
        <v>74</v>
      </c>
      <c r="M386" t="s">
        <v>78</v>
      </c>
      <c r="N386" t="s">
        <v>79</v>
      </c>
      <c r="O386" t="s">
        <v>74</v>
      </c>
      <c r="P386" t="s">
        <v>74</v>
      </c>
      <c r="Q386" t="s">
        <v>74</v>
      </c>
      <c r="R386" t="s">
        <v>74</v>
      </c>
      <c r="S386" t="s">
        <v>74</v>
      </c>
      <c r="T386" t="s">
        <v>7400</v>
      </c>
      <c r="U386" t="s">
        <v>7401</v>
      </c>
      <c r="V386" t="s">
        <v>7402</v>
      </c>
      <c r="W386" t="s">
        <v>7403</v>
      </c>
      <c r="X386" t="s">
        <v>3251</v>
      </c>
      <c r="Y386" t="s">
        <v>7404</v>
      </c>
      <c r="Z386" t="s">
        <v>7405</v>
      </c>
      <c r="AA386" t="s">
        <v>74</v>
      </c>
      <c r="AB386" t="s">
        <v>74</v>
      </c>
      <c r="AC386" t="s">
        <v>7406</v>
      </c>
      <c r="AD386" t="s">
        <v>7407</v>
      </c>
      <c r="AE386" t="s">
        <v>7408</v>
      </c>
      <c r="AF386" t="s">
        <v>74</v>
      </c>
      <c r="AG386">
        <v>45</v>
      </c>
      <c r="AH386">
        <v>15</v>
      </c>
      <c r="AI386">
        <v>17</v>
      </c>
      <c r="AJ386">
        <v>0</v>
      </c>
      <c r="AK386">
        <v>4</v>
      </c>
      <c r="AL386" t="s">
        <v>775</v>
      </c>
      <c r="AM386" t="s">
        <v>412</v>
      </c>
      <c r="AN386" t="s">
        <v>776</v>
      </c>
      <c r="AO386" t="s">
        <v>777</v>
      </c>
      <c r="AP386" t="s">
        <v>778</v>
      </c>
      <c r="AQ386" t="s">
        <v>74</v>
      </c>
      <c r="AR386" t="s">
        <v>779</v>
      </c>
      <c r="AS386" t="s">
        <v>780</v>
      </c>
      <c r="AT386" t="s">
        <v>7328</v>
      </c>
      <c r="AU386">
        <v>2010</v>
      </c>
      <c r="AV386">
        <v>213</v>
      </c>
      <c r="AW386">
        <v>16</v>
      </c>
      <c r="AX386" t="s">
        <v>74</v>
      </c>
      <c r="AY386" t="s">
        <v>74</v>
      </c>
      <c r="AZ386" t="s">
        <v>74</v>
      </c>
      <c r="BA386" t="s">
        <v>74</v>
      </c>
      <c r="BB386">
        <v>2865</v>
      </c>
      <c r="BC386">
        <v>2872</v>
      </c>
      <c r="BD386" t="s">
        <v>74</v>
      </c>
      <c r="BE386" t="s">
        <v>7409</v>
      </c>
      <c r="BF386" t="str">
        <f>HYPERLINK("http://dx.doi.org/10.1242/jeb.043281","http://dx.doi.org/10.1242/jeb.043281")</f>
        <v>http://dx.doi.org/10.1242/jeb.043281</v>
      </c>
      <c r="BG386" t="s">
        <v>74</v>
      </c>
      <c r="BH386" t="s">
        <v>74</v>
      </c>
      <c r="BI386">
        <v>8</v>
      </c>
      <c r="BJ386" t="s">
        <v>346</v>
      </c>
      <c r="BK386" t="s">
        <v>100</v>
      </c>
      <c r="BL386" t="s">
        <v>347</v>
      </c>
      <c r="BM386" t="s">
        <v>7410</v>
      </c>
      <c r="BN386">
        <v>20675556</v>
      </c>
      <c r="BO386" t="s">
        <v>74</v>
      </c>
      <c r="BP386" t="s">
        <v>74</v>
      </c>
      <c r="BQ386" t="s">
        <v>74</v>
      </c>
      <c r="BR386" t="s">
        <v>104</v>
      </c>
      <c r="BS386" t="s">
        <v>7411</v>
      </c>
      <c r="BT386" t="str">
        <f>HYPERLINK("https%3A%2F%2Fwww.webofscience.com%2Fwos%2Fwoscc%2Ffull-record%2FWOS:000280478200021","View Full Record in Web of Science")</f>
        <v>View Full Record in Web of Science</v>
      </c>
    </row>
    <row r="387" spans="1:72" x14ac:dyDescent="0.15">
      <c r="A387" t="s">
        <v>72</v>
      </c>
      <c r="B387" t="s">
        <v>7412</v>
      </c>
      <c r="C387" t="s">
        <v>74</v>
      </c>
      <c r="D387" t="s">
        <v>74</v>
      </c>
      <c r="E387" t="s">
        <v>74</v>
      </c>
      <c r="F387" t="s">
        <v>7413</v>
      </c>
      <c r="G387" t="s">
        <v>74</v>
      </c>
      <c r="H387" t="s">
        <v>74</v>
      </c>
      <c r="I387" t="s">
        <v>7414</v>
      </c>
      <c r="J387" t="s">
        <v>4495</v>
      </c>
      <c r="K387" t="s">
        <v>74</v>
      </c>
      <c r="L387" t="s">
        <v>74</v>
      </c>
      <c r="M387" t="s">
        <v>78</v>
      </c>
      <c r="N387" t="s">
        <v>79</v>
      </c>
      <c r="O387" t="s">
        <v>74</v>
      </c>
      <c r="P387" t="s">
        <v>74</v>
      </c>
      <c r="Q387" t="s">
        <v>74</v>
      </c>
      <c r="R387" t="s">
        <v>74</v>
      </c>
      <c r="S387" t="s">
        <v>74</v>
      </c>
      <c r="T387" t="s">
        <v>7415</v>
      </c>
      <c r="U387" t="s">
        <v>7416</v>
      </c>
      <c r="V387" t="s">
        <v>7417</v>
      </c>
      <c r="W387" t="s">
        <v>7418</v>
      </c>
      <c r="X387" t="s">
        <v>7419</v>
      </c>
      <c r="Y387" t="s">
        <v>7420</v>
      </c>
      <c r="Z387" t="s">
        <v>7421</v>
      </c>
      <c r="AA387" t="s">
        <v>7422</v>
      </c>
      <c r="AB387" t="s">
        <v>7423</v>
      </c>
      <c r="AC387" t="s">
        <v>7424</v>
      </c>
      <c r="AD387" t="s">
        <v>7425</v>
      </c>
      <c r="AE387" t="s">
        <v>7426</v>
      </c>
      <c r="AF387" t="s">
        <v>74</v>
      </c>
      <c r="AG387">
        <v>74</v>
      </c>
      <c r="AH387">
        <v>45</v>
      </c>
      <c r="AI387">
        <v>58</v>
      </c>
      <c r="AJ387">
        <v>1</v>
      </c>
      <c r="AK387">
        <v>32</v>
      </c>
      <c r="AL387" t="s">
        <v>1038</v>
      </c>
      <c r="AM387" t="s">
        <v>550</v>
      </c>
      <c r="AN387" t="s">
        <v>1039</v>
      </c>
      <c r="AO387" t="s">
        <v>4508</v>
      </c>
      <c r="AP387" t="s">
        <v>4509</v>
      </c>
      <c r="AQ387" t="s">
        <v>74</v>
      </c>
      <c r="AR387" t="s">
        <v>4510</v>
      </c>
      <c r="AS387" t="s">
        <v>4511</v>
      </c>
      <c r="AT387" t="s">
        <v>7328</v>
      </c>
      <c r="AU387">
        <v>2010</v>
      </c>
      <c r="AV387">
        <v>391</v>
      </c>
      <c r="AW387" t="s">
        <v>4513</v>
      </c>
      <c r="AX387" t="s">
        <v>74</v>
      </c>
      <c r="AY387" t="s">
        <v>74</v>
      </c>
      <c r="AZ387" t="s">
        <v>74</v>
      </c>
      <c r="BA387" t="s">
        <v>74</v>
      </c>
      <c r="BB387">
        <v>65</v>
      </c>
      <c r="BC387">
        <v>72</v>
      </c>
      <c r="BD387" t="s">
        <v>74</v>
      </c>
      <c r="BE387" t="s">
        <v>7427</v>
      </c>
      <c r="BF387" t="str">
        <f>HYPERLINK("http://dx.doi.org/10.1016/j.jembe.2010.06.011","http://dx.doi.org/10.1016/j.jembe.2010.06.011")</f>
        <v>http://dx.doi.org/10.1016/j.jembe.2010.06.011</v>
      </c>
      <c r="BG387" t="s">
        <v>74</v>
      </c>
      <c r="BH387" t="s">
        <v>74</v>
      </c>
      <c r="BI387">
        <v>8</v>
      </c>
      <c r="BJ387" t="s">
        <v>4515</v>
      </c>
      <c r="BK387" t="s">
        <v>100</v>
      </c>
      <c r="BL387" t="s">
        <v>4516</v>
      </c>
      <c r="BM387" t="s">
        <v>7428</v>
      </c>
      <c r="BN387" t="s">
        <v>74</v>
      </c>
      <c r="BO387" t="s">
        <v>74</v>
      </c>
      <c r="BP387" t="s">
        <v>74</v>
      </c>
      <c r="BQ387" t="s">
        <v>74</v>
      </c>
      <c r="BR387" t="s">
        <v>104</v>
      </c>
      <c r="BS387" t="s">
        <v>7429</v>
      </c>
      <c r="BT387" t="str">
        <f>HYPERLINK("https%3A%2F%2Fwww.webofscience.com%2Fwos%2Fwoscc%2Ffull-record%2FWOS:000281173000009","View Full Record in Web of Science")</f>
        <v>View Full Record in Web of Science</v>
      </c>
    </row>
    <row r="388" spans="1:72" x14ac:dyDescent="0.15">
      <c r="A388" t="s">
        <v>72</v>
      </c>
      <c r="B388" t="s">
        <v>7430</v>
      </c>
      <c r="C388" t="s">
        <v>74</v>
      </c>
      <c r="D388" t="s">
        <v>74</v>
      </c>
      <c r="E388" t="s">
        <v>74</v>
      </c>
      <c r="F388" t="s">
        <v>7431</v>
      </c>
      <c r="G388" t="s">
        <v>74</v>
      </c>
      <c r="H388" t="s">
        <v>74</v>
      </c>
      <c r="I388" t="s">
        <v>7432</v>
      </c>
      <c r="J388" t="s">
        <v>4495</v>
      </c>
      <c r="K388" t="s">
        <v>74</v>
      </c>
      <c r="L388" t="s">
        <v>74</v>
      </c>
      <c r="M388" t="s">
        <v>78</v>
      </c>
      <c r="N388" t="s">
        <v>79</v>
      </c>
      <c r="O388" t="s">
        <v>74</v>
      </c>
      <c r="P388" t="s">
        <v>74</v>
      </c>
      <c r="Q388" t="s">
        <v>74</v>
      </c>
      <c r="R388" t="s">
        <v>74</v>
      </c>
      <c r="S388" t="s">
        <v>74</v>
      </c>
      <c r="T388" t="s">
        <v>7433</v>
      </c>
      <c r="U388" t="s">
        <v>7434</v>
      </c>
      <c r="V388" t="s">
        <v>7435</v>
      </c>
      <c r="W388" t="s">
        <v>7436</v>
      </c>
      <c r="X388" t="s">
        <v>7437</v>
      </c>
      <c r="Y388" t="s">
        <v>7438</v>
      </c>
      <c r="Z388" t="s">
        <v>7439</v>
      </c>
      <c r="AA388" t="s">
        <v>7440</v>
      </c>
      <c r="AB388" t="s">
        <v>7441</v>
      </c>
      <c r="AC388" t="s">
        <v>7442</v>
      </c>
      <c r="AD388" t="s">
        <v>7443</v>
      </c>
      <c r="AE388" t="s">
        <v>7444</v>
      </c>
      <c r="AF388" t="s">
        <v>74</v>
      </c>
      <c r="AG388">
        <v>69</v>
      </c>
      <c r="AH388">
        <v>80</v>
      </c>
      <c r="AI388">
        <v>88</v>
      </c>
      <c r="AJ388">
        <v>1</v>
      </c>
      <c r="AK388">
        <v>46</v>
      </c>
      <c r="AL388" t="s">
        <v>549</v>
      </c>
      <c r="AM388" t="s">
        <v>550</v>
      </c>
      <c r="AN388" t="s">
        <v>551</v>
      </c>
      <c r="AO388" t="s">
        <v>4508</v>
      </c>
      <c r="AP388" t="s">
        <v>4509</v>
      </c>
      <c r="AQ388" t="s">
        <v>74</v>
      </c>
      <c r="AR388" t="s">
        <v>4510</v>
      </c>
      <c r="AS388" t="s">
        <v>4511</v>
      </c>
      <c r="AT388" t="s">
        <v>7328</v>
      </c>
      <c r="AU388">
        <v>2010</v>
      </c>
      <c r="AV388">
        <v>391</v>
      </c>
      <c r="AW388" t="s">
        <v>4513</v>
      </c>
      <c r="AX388" t="s">
        <v>74</v>
      </c>
      <c r="AY388" t="s">
        <v>74</v>
      </c>
      <c r="AZ388" t="s">
        <v>74</v>
      </c>
      <c r="BA388" t="s">
        <v>74</v>
      </c>
      <c r="BB388">
        <v>190</v>
      </c>
      <c r="BC388">
        <v>200</v>
      </c>
      <c r="BD388" t="s">
        <v>74</v>
      </c>
      <c r="BE388" t="s">
        <v>7445</v>
      </c>
      <c r="BF388" t="str">
        <f>HYPERLINK("http://dx.doi.org/10.1016/j.jembe.2010.06.027","http://dx.doi.org/10.1016/j.jembe.2010.06.027")</f>
        <v>http://dx.doi.org/10.1016/j.jembe.2010.06.027</v>
      </c>
      <c r="BG388" t="s">
        <v>74</v>
      </c>
      <c r="BH388" t="s">
        <v>74</v>
      </c>
      <c r="BI388">
        <v>11</v>
      </c>
      <c r="BJ388" t="s">
        <v>4515</v>
      </c>
      <c r="BK388" t="s">
        <v>100</v>
      </c>
      <c r="BL388" t="s">
        <v>4516</v>
      </c>
      <c r="BM388" t="s">
        <v>7428</v>
      </c>
      <c r="BN388" t="s">
        <v>74</v>
      </c>
      <c r="BO388" t="s">
        <v>74</v>
      </c>
      <c r="BP388" t="s">
        <v>74</v>
      </c>
      <c r="BQ388" t="s">
        <v>74</v>
      </c>
      <c r="BR388" t="s">
        <v>104</v>
      </c>
      <c r="BS388" t="s">
        <v>7446</v>
      </c>
      <c r="BT388" t="str">
        <f>HYPERLINK("https%3A%2F%2Fwww.webofscience.com%2Fwos%2Fwoscc%2Ffull-record%2FWOS:000281173000023","View Full Record in Web of Science")</f>
        <v>View Full Record in Web of Science</v>
      </c>
    </row>
    <row r="389" spans="1:72" x14ac:dyDescent="0.15">
      <c r="A389" t="s">
        <v>72</v>
      </c>
      <c r="B389" t="s">
        <v>7447</v>
      </c>
      <c r="C389" t="s">
        <v>74</v>
      </c>
      <c r="D389" t="s">
        <v>74</v>
      </c>
      <c r="E389" t="s">
        <v>74</v>
      </c>
      <c r="F389" t="s">
        <v>7448</v>
      </c>
      <c r="G389" t="s">
        <v>74</v>
      </c>
      <c r="H389" t="s">
        <v>74</v>
      </c>
      <c r="I389" t="s">
        <v>7449</v>
      </c>
      <c r="J389" t="s">
        <v>4943</v>
      </c>
      <c r="K389" t="s">
        <v>74</v>
      </c>
      <c r="L389" t="s">
        <v>74</v>
      </c>
      <c r="M389" t="s">
        <v>78</v>
      </c>
      <c r="N389" t="s">
        <v>79</v>
      </c>
      <c r="O389" t="s">
        <v>74</v>
      </c>
      <c r="P389" t="s">
        <v>74</v>
      </c>
      <c r="Q389" t="s">
        <v>74</v>
      </c>
      <c r="R389" t="s">
        <v>74</v>
      </c>
      <c r="S389" t="s">
        <v>74</v>
      </c>
      <c r="T389" t="s">
        <v>7450</v>
      </c>
      <c r="U389" t="s">
        <v>7451</v>
      </c>
      <c r="V389" t="s">
        <v>7452</v>
      </c>
      <c r="W389" t="s">
        <v>7453</v>
      </c>
      <c r="X389" t="s">
        <v>7454</v>
      </c>
      <c r="Y389" t="s">
        <v>7455</v>
      </c>
      <c r="Z389" t="s">
        <v>7456</v>
      </c>
      <c r="AA389" t="s">
        <v>74</v>
      </c>
      <c r="AB389" t="s">
        <v>74</v>
      </c>
      <c r="AC389" t="s">
        <v>74</v>
      </c>
      <c r="AD389" t="s">
        <v>74</v>
      </c>
      <c r="AE389" t="s">
        <v>74</v>
      </c>
      <c r="AF389" t="s">
        <v>74</v>
      </c>
      <c r="AG389">
        <v>49</v>
      </c>
      <c r="AH389">
        <v>10</v>
      </c>
      <c r="AI389">
        <v>18</v>
      </c>
      <c r="AJ389">
        <v>0</v>
      </c>
      <c r="AK389">
        <v>24</v>
      </c>
      <c r="AL389" t="s">
        <v>1038</v>
      </c>
      <c r="AM389" t="s">
        <v>550</v>
      </c>
      <c r="AN389" t="s">
        <v>1039</v>
      </c>
      <c r="AO389" t="s">
        <v>4956</v>
      </c>
      <c r="AP389" t="s">
        <v>4957</v>
      </c>
      <c r="AQ389" t="s">
        <v>74</v>
      </c>
      <c r="AR389" t="s">
        <v>4958</v>
      </c>
      <c r="AS389" t="s">
        <v>4959</v>
      </c>
      <c r="AT389" t="s">
        <v>7328</v>
      </c>
      <c r="AU389">
        <v>2010</v>
      </c>
      <c r="AV389">
        <v>274</v>
      </c>
      <c r="AW389" t="s">
        <v>3822</v>
      </c>
      <c r="AX389" t="s">
        <v>74</v>
      </c>
      <c r="AY389" t="s">
        <v>74</v>
      </c>
      <c r="AZ389" t="s">
        <v>74</v>
      </c>
      <c r="BA389" t="s">
        <v>74</v>
      </c>
      <c r="BB389">
        <v>21</v>
      </c>
      <c r="BC389">
        <v>31</v>
      </c>
      <c r="BD389" t="s">
        <v>74</v>
      </c>
      <c r="BE389" t="s">
        <v>7457</v>
      </c>
      <c r="BF389" t="str">
        <f>HYPERLINK("http://dx.doi.org/10.1016/j.margeo.2010.03.002","http://dx.doi.org/10.1016/j.margeo.2010.03.002")</f>
        <v>http://dx.doi.org/10.1016/j.margeo.2010.03.002</v>
      </c>
      <c r="BG389" t="s">
        <v>74</v>
      </c>
      <c r="BH389" t="s">
        <v>74</v>
      </c>
      <c r="BI389">
        <v>11</v>
      </c>
      <c r="BJ389" t="s">
        <v>4961</v>
      </c>
      <c r="BK389" t="s">
        <v>100</v>
      </c>
      <c r="BL389" t="s">
        <v>4962</v>
      </c>
      <c r="BM389" t="s">
        <v>7458</v>
      </c>
      <c r="BN389" t="s">
        <v>74</v>
      </c>
      <c r="BO389" t="s">
        <v>74</v>
      </c>
      <c r="BP389" t="s">
        <v>74</v>
      </c>
      <c r="BQ389" t="s">
        <v>74</v>
      </c>
      <c r="BR389" t="s">
        <v>104</v>
      </c>
      <c r="BS389" t="s">
        <v>7459</v>
      </c>
      <c r="BT389" t="str">
        <f>HYPERLINK("https%3A%2F%2Fwww.webofscience.com%2Fwos%2Fwoscc%2Ffull-record%2FWOS:000279524100002","View Full Record in Web of Science")</f>
        <v>View Full Record in Web of Science</v>
      </c>
    </row>
    <row r="390" spans="1:72" x14ac:dyDescent="0.15">
      <c r="A390" t="s">
        <v>72</v>
      </c>
      <c r="B390" t="s">
        <v>7460</v>
      </c>
      <c r="C390" t="s">
        <v>74</v>
      </c>
      <c r="D390" t="s">
        <v>74</v>
      </c>
      <c r="E390" t="s">
        <v>74</v>
      </c>
      <c r="F390" t="s">
        <v>7461</v>
      </c>
      <c r="G390" t="s">
        <v>74</v>
      </c>
      <c r="H390" t="s">
        <v>74</v>
      </c>
      <c r="I390" t="s">
        <v>7462</v>
      </c>
      <c r="J390" t="s">
        <v>4943</v>
      </c>
      <c r="K390" t="s">
        <v>74</v>
      </c>
      <c r="L390" t="s">
        <v>74</v>
      </c>
      <c r="M390" t="s">
        <v>78</v>
      </c>
      <c r="N390" t="s">
        <v>79</v>
      </c>
      <c r="O390" t="s">
        <v>74</v>
      </c>
      <c r="P390" t="s">
        <v>74</v>
      </c>
      <c r="Q390" t="s">
        <v>74</v>
      </c>
      <c r="R390" t="s">
        <v>74</v>
      </c>
      <c r="S390" t="s">
        <v>74</v>
      </c>
      <c r="T390" t="s">
        <v>7463</v>
      </c>
      <c r="U390" t="s">
        <v>7464</v>
      </c>
      <c r="V390" t="s">
        <v>7465</v>
      </c>
      <c r="W390" t="s">
        <v>7466</v>
      </c>
      <c r="X390" t="s">
        <v>7467</v>
      </c>
      <c r="Y390" t="s">
        <v>7468</v>
      </c>
      <c r="Z390" t="s">
        <v>7469</v>
      </c>
      <c r="AA390" t="s">
        <v>74</v>
      </c>
      <c r="AB390" t="s">
        <v>74</v>
      </c>
      <c r="AC390" t="s">
        <v>7470</v>
      </c>
      <c r="AD390" t="s">
        <v>7471</v>
      </c>
      <c r="AE390" t="s">
        <v>7472</v>
      </c>
      <c r="AF390" t="s">
        <v>74</v>
      </c>
      <c r="AG390">
        <v>56</v>
      </c>
      <c r="AH390">
        <v>3</v>
      </c>
      <c r="AI390">
        <v>4</v>
      </c>
      <c r="AJ390">
        <v>2</v>
      </c>
      <c r="AK390">
        <v>20</v>
      </c>
      <c r="AL390" t="s">
        <v>1038</v>
      </c>
      <c r="AM390" t="s">
        <v>550</v>
      </c>
      <c r="AN390" t="s">
        <v>1039</v>
      </c>
      <c r="AO390" t="s">
        <v>4956</v>
      </c>
      <c r="AP390" t="s">
        <v>4957</v>
      </c>
      <c r="AQ390" t="s">
        <v>74</v>
      </c>
      <c r="AR390" t="s">
        <v>4958</v>
      </c>
      <c r="AS390" t="s">
        <v>4959</v>
      </c>
      <c r="AT390" t="s">
        <v>7328</v>
      </c>
      <c r="AU390">
        <v>2010</v>
      </c>
      <c r="AV390">
        <v>274</v>
      </c>
      <c r="AW390" t="s">
        <v>3822</v>
      </c>
      <c r="AX390" t="s">
        <v>74</v>
      </c>
      <c r="AY390" t="s">
        <v>74</v>
      </c>
      <c r="AZ390" t="s">
        <v>74</v>
      </c>
      <c r="BA390" t="s">
        <v>74</v>
      </c>
      <c r="BB390">
        <v>43</v>
      </c>
      <c r="BC390">
        <v>49</v>
      </c>
      <c r="BD390" t="s">
        <v>74</v>
      </c>
      <c r="BE390" t="s">
        <v>7473</v>
      </c>
      <c r="BF390" t="str">
        <f>HYPERLINK("http://dx.doi.org/10.1016/j.margeo.2010.03.004","http://dx.doi.org/10.1016/j.margeo.2010.03.004")</f>
        <v>http://dx.doi.org/10.1016/j.margeo.2010.03.004</v>
      </c>
      <c r="BG390" t="s">
        <v>74</v>
      </c>
      <c r="BH390" t="s">
        <v>74</v>
      </c>
      <c r="BI390">
        <v>7</v>
      </c>
      <c r="BJ390" t="s">
        <v>4961</v>
      </c>
      <c r="BK390" t="s">
        <v>100</v>
      </c>
      <c r="BL390" t="s">
        <v>4962</v>
      </c>
      <c r="BM390" t="s">
        <v>7458</v>
      </c>
      <c r="BN390" t="s">
        <v>74</v>
      </c>
      <c r="BO390" t="s">
        <v>74</v>
      </c>
      <c r="BP390" t="s">
        <v>74</v>
      </c>
      <c r="BQ390" t="s">
        <v>74</v>
      </c>
      <c r="BR390" t="s">
        <v>104</v>
      </c>
      <c r="BS390" t="s">
        <v>7474</v>
      </c>
      <c r="BT390" t="str">
        <f>HYPERLINK("https%3A%2F%2Fwww.webofscience.com%2Fwos%2Fwoscc%2Ffull-record%2FWOS:000279524100004","View Full Record in Web of Science")</f>
        <v>View Full Record in Web of Science</v>
      </c>
    </row>
    <row r="391" spans="1:72" x14ac:dyDescent="0.15">
      <c r="A391" t="s">
        <v>72</v>
      </c>
      <c r="B391" t="s">
        <v>7475</v>
      </c>
      <c r="C391" t="s">
        <v>74</v>
      </c>
      <c r="D391" t="s">
        <v>74</v>
      </c>
      <c r="E391" t="s">
        <v>74</v>
      </c>
      <c r="F391" t="s">
        <v>7476</v>
      </c>
      <c r="G391" t="s">
        <v>74</v>
      </c>
      <c r="H391" t="s">
        <v>74</v>
      </c>
      <c r="I391" t="s">
        <v>7477</v>
      </c>
      <c r="J391" t="s">
        <v>4657</v>
      </c>
      <c r="K391" t="s">
        <v>74</v>
      </c>
      <c r="L391" t="s">
        <v>74</v>
      </c>
      <c r="M391" t="s">
        <v>78</v>
      </c>
      <c r="N391" t="s">
        <v>79</v>
      </c>
      <c r="O391" t="s">
        <v>74</v>
      </c>
      <c r="P391" t="s">
        <v>74</v>
      </c>
      <c r="Q391" t="s">
        <v>74</v>
      </c>
      <c r="R391" t="s">
        <v>74</v>
      </c>
      <c r="S391" t="s">
        <v>74</v>
      </c>
      <c r="T391" t="s">
        <v>74</v>
      </c>
      <c r="U391" t="s">
        <v>7478</v>
      </c>
      <c r="V391" t="s">
        <v>7479</v>
      </c>
      <c r="W391" t="s">
        <v>7480</v>
      </c>
      <c r="X391" t="s">
        <v>7481</v>
      </c>
      <c r="Y391" t="s">
        <v>7482</v>
      </c>
      <c r="Z391" t="s">
        <v>7483</v>
      </c>
      <c r="AA391" t="s">
        <v>7484</v>
      </c>
      <c r="AB391" t="s">
        <v>7485</v>
      </c>
      <c r="AC391" t="s">
        <v>7486</v>
      </c>
      <c r="AD391" t="s">
        <v>1402</v>
      </c>
      <c r="AE391" t="s">
        <v>7487</v>
      </c>
      <c r="AF391" t="s">
        <v>74</v>
      </c>
      <c r="AG391">
        <v>40</v>
      </c>
      <c r="AH391">
        <v>9</v>
      </c>
      <c r="AI391">
        <v>11</v>
      </c>
      <c r="AJ391">
        <v>0</v>
      </c>
      <c r="AK391">
        <v>13</v>
      </c>
      <c r="AL391" t="s">
        <v>4669</v>
      </c>
      <c r="AM391" t="s">
        <v>4670</v>
      </c>
      <c r="AN391" t="s">
        <v>7488</v>
      </c>
      <c r="AO391" t="s">
        <v>4672</v>
      </c>
      <c r="AP391" t="s">
        <v>74</v>
      </c>
      <c r="AQ391" t="s">
        <v>74</v>
      </c>
      <c r="AR391" t="s">
        <v>4657</v>
      </c>
      <c r="AS391" t="s">
        <v>4673</v>
      </c>
      <c r="AT391" t="s">
        <v>7489</v>
      </c>
      <c r="AU391">
        <v>2010</v>
      </c>
      <c r="AV391">
        <v>5</v>
      </c>
      <c r="AW391">
        <v>8</v>
      </c>
      <c r="AX391" t="s">
        <v>74</v>
      </c>
      <c r="AY391" t="s">
        <v>74</v>
      </c>
      <c r="AZ391" t="s">
        <v>74</v>
      </c>
      <c r="BA391" t="s">
        <v>74</v>
      </c>
      <c r="BB391" t="s">
        <v>74</v>
      </c>
      <c r="BC391" t="s">
        <v>74</v>
      </c>
      <c r="BD391" t="s">
        <v>7490</v>
      </c>
      <c r="BE391" t="s">
        <v>7491</v>
      </c>
      <c r="BF391" t="str">
        <f>HYPERLINK("http://dx.doi.org/10.1371/journal.pone.0012113","http://dx.doi.org/10.1371/journal.pone.0012113")</f>
        <v>http://dx.doi.org/10.1371/journal.pone.0012113</v>
      </c>
      <c r="BG391" t="s">
        <v>74</v>
      </c>
      <c r="BH391" t="s">
        <v>74</v>
      </c>
      <c r="BI391">
        <v>9</v>
      </c>
      <c r="BJ391" t="s">
        <v>444</v>
      </c>
      <c r="BK391" t="s">
        <v>100</v>
      </c>
      <c r="BL391" t="s">
        <v>445</v>
      </c>
      <c r="BM391" t="s">
        <v>7492</v>
      </c>
      <c r="BN391">
        <v>20711406</v>
      </c>
      <c r="BO391" t="s">
        <v>4877</v>
      </c>
      <c r="BP391" t="s">
        <v>74</v>
      </c>
      <c r="BQ391" t="s">
        <v>74</v>
      </c>
      <c r="BR391" t="s">
        <v>104</v>
      </c>
      <c r="BS391" t="s">
        <v>7493</v>
      </c>
      <c r="BT391" t="str">
        <f>HYPERLINK("https%3A%2F%2Fwww.webofscience.com%2Fwos%2Fwoscc%2Ffull-record%2FWOS:000280849100028","View Full Record in Web of Science")</f>
        <v>View Full Record in Web of Science</v>
      </c>
    </row>
    <row r="392" spans="1:72" x14ac:dyDescent="0.15">
      <c r="A392" t="s">
        <v>72</v>
      </c>
      <c r="B392" t="s">
        <v>7494</v>
      </c>
      <c r="C392" t="s">
        <v>74</v>
      </c>
      <c r="D392" t="s">
        <v>74</v>
      </c>
      <c r="E392" t="s">
        <v>74</v>
      </c>
      <c r="F392" t="s">
        <v>7495</v>
      </c>
      <c r="G392" t="s">
        <v>74</v>
      </c>
      <c r="H392" t="s">
        <v>74</v>
      </c>
      <c r="I392" t="s">
        <v>7496</v>
      </c>
      <c r="J392" t="s">
        <v>1637</v>
      </c>
      <c r="K392" t="s">
        <v>74</v>
      </c>
      <c r="L392" t="s">
        <v>74</v>
      </c>
      <c r="M392" t="s">
        <v>78</v>
      </c>
      <c r="N392" t="s">
        <v>79</v>
      </c>
      <c r="O392" t="s">
        <v>74</v>
      </c>
      <c r="P392" t="s">
        <v>74</v>
      </c>
      <c r="Q392" t="s">
        <v>74</v>
      </c>
      <c r="R392" t="s">
        <v>74</v>
      </c>
      <c r="S392" t="s">
        <v>74</v>
      </c>
      <c r="T392" t="s">
        <v>7497</v>
      </c>
      <c r="U392" t="s">
        <v>7498</v>
      </c>
      <c r="V392" t="s">
        <v>7499</v>
      </c>
      <c r="W392" t="s">
        <v>7500</v>
      </c>
      <c r="X392" t="s">
        <v>7501</v>
      </c>
      <c r="Y392" t="s">
        <v>74</v>
      </c>
      <c r="Z392" t="s">
        <v>7502</v>
      </c>
      <c r="AA392" t="s">
        <v>74</v>
      </c>
      <c r="AB392" t="s">
        <v>74</v>
      </c>
      <c r="AC392" t="s">
        <v>74</v>
      </c>
      <c r="AD392" t="s">
        <v>74</v>
      </c>
      <c r="AE392" t="s">
        <v>74</v>
      </c>
      <c r="AF392" t="s">
        <v>74</v>
      </c>
      <c r="AG392">
        <v>48</v>
      </c>
      <c r="AH392">
        <v>5</v>
      </c>
      <c r="AI392">
        <v>8</v>
      </c>
      <c r="AJ392">
        <v>0</v>
      </c>
      <c r="AK392">
        <v>30</v>
      </c>
      <c r="AL392" t="s">
        <v>1646</v>
      </c>
      <c r="AM392" t="s">
        <v>1647</v>
      </c>
      <c r="AN392" t="s">
        <v>1648</v>
      </c>
      <c r="AO392" t="s">
        <v>1649</v>
      </c>
      <c r="AP392" t="s">
        <v>74</v>
      </c>
      <c r="AQ392" t="s">
        <v>74</v>
      </c>
      <c r="AR392" t="s">
        <v>1650</v>
      </c>
      <c r="AS392" t="s">
        <v>1651</v>
      </c>
      <c r="AT392" t="s">
        <v>7503</v>
      </c>
      <c r="AU392">
        <v>2010</v>
      </c>
      <c r="AV392">
        <v>99</v>
      </c>
      <c r="AW392">
        <v>3</v>
      </c>
      <c r="AX392" t="s">
        <v>74</v>
      </c>
      <c r="AY392" t="s">
        <v>74</v>
      </c>
      <c r="AZ392" t="s">
        <v>74</v>
      </c>
      <c r="BA392" t="s">
        <v>74</v>
      </c>
      <c r="BB392">
        <v>334</v>
      </c>
      <c r="BC392">
        <v>340</v>
      </c>
      <c r="BD392" t="s">
        <v>74</v>
      </c>
      <c r="BE392" t="s">
        <v>74</v>
      </c>
      <c r="BF392" t="s">
        <v>74</v>
      </c>
      <c r="BG392" t="s">
        <v>74</v>
      </c>
      <c r="BH392" t="s">
        <v>74</v>
      </c>
      <c r="BI392">
        <v>7</v>
      </c>
      <c r="BJ392" t="s">
        <v>444</v>
      </c>
      <c r="BK392" t="s">
        <v>100</v>
      </c>
      <c r="BL392" t="s">
        <v>445</v>
      </c>
      <c r="BM392" t="s">
        <v>7504</v>
      </c>
      <c r="BN392" t="s">
        <v>74</v>
      </c>
      <c r="BO392" t="s">
        <v>74</v>
      </c>
      <c r="BP392" t="s">
        <v>74</v>
      </c>
      <c r="BQ392" t="s">
        <v>74</v>
      </c>
      <c r="BR392" t="s">
        <v>104</v>
      </c>
      <c r="BS392" t="s">
        <v>7505</v>
      </c>
      <c r="BT392" t="str">
        <f>HYPERLINK("https%3A%2F%2Fwww.webofscience.com%2Fwos%2Fwoscc%2Ffull-record%2FWOS:000282441000020","View Full Record in Web of Science")</f>
        <v>View Full Record in Web of Science</v>
      </c>
    </row>
    <row r="393" spans="1:72" x14ac:dyDescent="0.15">
      <c r="A393" t="s">
        <v>72</v>
      </c>
      <c r="B393" t="s">
        <v>7506</v>
      </c>
      <c r="C393" t="s">
        <v>74</v>
      </c>
      <c r="D393" t="s">
        <v>74</v>
      </c>
      <c r="E393" t="s">
        <v>74</v>
      </c>
      <c r="F393" t="s">
        <v>7507</v>
      </c>
      <c r="G393" t="s">
        <v>74</v>
      </c>
      <c r="H393" t="s">
        <v>74</v>
      </c>
      <c r="I393" t="s">
        <v>7508</v>
      </c>
      <c r="J393" t="s">
        <v>1509</v>
      </c>
      <c r="K393" t="s">
        <v>74</v>
      </c>
      <c r="L393" t="s">
        <v>74</v>
      </c>
      <c r="M393" t="s">
        <v>78</v>
      </c>
      <c r="N393" t="s">
        <v>79</v>
      </c>
      <c r="O393" t="s">
        <v>74</v>
      </c>
      <c r="P393" t="s">
        <v>74</v>
      </c>
      <c r="Q393" t="s">
        <v>74</v>
      </c>
      <c r="R393" t="s">
        <v>74</v>
      </c>
      <c r="S393" t="s">
        <v>74</v>
      </c>
      <c r="T393" t="s">
        <v>74</v>
      </c>
      <c r="U393" t="s">
        <v>7509</v>
      </c>
      <c r="V393" t="s">
        <v>7510</v>
      </c>
      <c r="W393" t="s">
        <v>7511</v>
      </c>
      <c r="X393" t="s">
        <v>7512</v>
      </c>
      <c r="Y393" t="s">
        <v>7513</v>
      </c>
      <c r="Z393" t="s">
        <v>7514</v>
      </c>
      <c r="AA393" t="s">
        <v>7515</v>
      </c>
      <c r="AB393" t="s">
        <v>7516</v>
      </c>
      <c r="AC393" t="s">
        <v>7517</v>
      </c>
      <c r="AD393" t="s">
        <v>7518</v>
      </c>
      <c r="AE393" t="s">
        <v>7519</v>
      </c>
      <c r="AF393" t="s">
        <v>74</v>
      </c>
      <c r="AG393">
        <v>42</v>
      </c>
      <c r="AH393">
        <v>84</v>
      </c>
      <c r="AI393">
        <v>93</v>
      </c>
      <c r="AJ393">
        <v>1</v>
      </c>
      <c r="AK393">
        <v>33</v>
      </c>
      <c r="AL393" t="s">
        <v>1521</v>
      </c>
      <c r="AM393" t="s">
        <v>1522</v>
      </c>
      <c r="AN393" t="s">
        <v>1523</v>
      </c>
      <c r="AO393" t="s">
        <v>1524</v>
      </c>
      <c r="AP393" t="s">
        <v>1525</v>
      </c>
      <c r="AQ393" t="s">
        <v>74</v>
      </c>
      <c r="AR393" t="s">
        <v>1526</v>
      </c>
      <c r="AS393" t="s">
        <v>1527</v>
      </c>
      <c r="AT393" t="s">
        <v>7503</v>
      </c>
      <c r="AU393">
        <v>2010</v>
      </c>
      <c r="AV393">
        <v>115</v>
      </c>
      <c r="AW393" t="s">
        <v>74</v>
      </c>
      <c r="AX393" t="s">
        <v>74</v>
      </c>
      <c r="AY393" t="s">
        <v>74</v>
      </c>
      <c r="AZ393" t="s">
        <v>74</v>
      </c>
      <c r="BA393" t="s">
        <v>74</v>
      </c>
      <c r="BB393" t="s">
        <v>74</v>
      </c>
      <c r="BC393" t="s">
        <v>74</v>
      </c>
      <c r="BD393" t="s">
        <v>7520</v>
      </c>
      <c r="BE393" t="s">
        <v>7521</v>
      </c>
      <c r="BF393" t="str">
        <f>HYPERLINK("http://dx.doi.org/10.1029/2009JC005568","http://dx.doi.org/10.1029/2009JC005568")</f>
        <v>http://dx.doi.org/10.1029/2009JC005568</v>
      </c>
      <c r="BG393" t="s">
        <v>74</v>
      </c>
      <c r="BH393" t="s">
        <v>74</v>
      </c>
      <c r="BI393">
        <v>14</v>
      </c>
      <c r="BJ393" t="s">
        <v>1531</v>
      </c>
      <c r="BK393" t="s">
        <v>100</v>
      </c>
      <c r="BL393" t="s">
        <v>1531</v>
      </c>
      <c r="BM393" t="s">
        <v>7522</v>
      </c>
      <c r="BN393" t="s">
        <v>74</v>
      </c>
      <c r="BO393" t="s">
        <v>7523</v>
      </c>
      <c r="BP393" t="s">
        <v>74</v>
      </c>
      <c r="BQ393" t="s">
        <v>74</v>
      </c>
      <c r="BR393" t="s">
        <v>104</v>
      </c>
      <c r="BS393" t="s">
        <v>7524</v>
      </c>
      <c r="BT393" t="str">
        <f>HYPERLINK("https%3A%2F%2Fwww.webofscience.com%2Fwos%2Fwoscc%2Ffull-record%2FWOS:000280957200001","View Full Record in Web of Science")</f>
        <v>View Full Record in Web of Science</v>
      </c>
    </row>
    <row r="394" spans="1:72" x14ac:dyDescent="0.15">
      <c r="A394" t="s">
        <v>72</v>
      </c>
      <c r="B394" t="s">
        <v>7525</v>
      </c>
      <c r="C394" t="s">
        <v>74</v>
      </c>
      <c r="D394" t="s">
        <v>74</v>
      </c>
      <c r="E394" t="s">
        <v>74</v>
      </c>
      <c r="F394" t="s">
        <v>7526</v>
      </c>
      <c r="G394" t="s">
        <v>74</v>
      </c>
      <c r="H394" t="s">
        <v>74</v>
      </c>
      <c r="I394" t="s">
        <v>7527</v>
      </c>
      <c r="J394" t="s">
        <v>1509</v>
      </c>
      <c r="K394" t="s">
        <v>74</v>
      </c>
      <c r="L394" t="s">
        <v>74</v>
      </c>
      <c r="M394" t="s">
        <v>78</v>
      </c>
      <c r="N394" t="s">
        <v>79</v>
      </c>
      <c r="O394" t="s">
        <v>74</v>
      </c>
      <c r="P394" t="s">
        <v>74</v>
      </c>
      <c r="Q394" t="s">
        <v>74</v>
      </c>
      <c r="R394" t="s">
        <v>74</v>
      </c>
      <c r="S394" t="s">
        <v>74</v>
      </c>
      <c r="T394" t="s">
        <v>74</v>
      </c>
      <c r="U394" t="s">
        <v>7528</v>
      </c>
      <c r="V394" t="s">
        <v>7529</v>
      </c>
      <c r="W394" t="s">
        <v>7530</v>
      </c>
      <c r="X394" t="s">
        <v>7531</v>
      </c>
      <c r="Y394" t="s">
        <v>7532</v>
      </c>
      <c r="Z394" t="s">
        <v>5743</v>
      </c>
      <c r="AA394" t="s">
        <v>7533</v>
      </c>
      <c r="AB394" t="s">
        <v>7534</v>
      </c>
      <c r="AC394" t="s">
        <v>7535</v>
      </c>
      <c r="AD394" t="s">
        <v>7536</v>
      </c>
      <c r="AE394" t="s">
        <v>7537</v>
      </c>
      <c r="AF394" t="s">
        <v>74</v>
      </c>
      <c r="AG394">
        <v>41</v>
      </c>
      <c r="AH394">
        <v>49</v>
      </c>
      <c r="AI394">
        <v>54</v>
      </c>
      <c r="AJ394">
        <v>0</v>
      </c>
      <c r="AK394">
        <v>21</v>
      </c>
      <c r="AL394" t="s">
        <v>1521</v>
      </c>
      <c r="AM394" t="s">
        <v>1522</v>
      </c>
      <c r="AN394" t="s">
        <v>1523</v>
      </c>
      <c r="AO394" t="s">
        <v>1524</v>
      </c>
      <c r="AP394" t="s">
        <v>1525</v>
      </c>
      <c r="AQ394" t="s">
        <v>74</v>
      </c>
      <c r="AR394" t="s">
        <v>1526</v>
      </c>
      <c r="AS394" t="s">
        <v>1527</v>
      </c>
      <c r="AT394" t="s">
        <v>7538</v>
      </c>
      <c r="AU394">
        <v>2010</v>
      </c>
      <c r="AV394">
        <v>115</v>
      </c>
      <c r="AW394" t="s">
        <v>74</v>
      </c>
      <c r="AX394" t="s">
        <v>74</v>
      </c>
      <c r="AY394" t="s">
        <v>74</v>
      </c>
      <c r="AZ394" t="s">
        <v>74</v>
      </c>
      <c r="BA394" t="s">
        <v>74</v>
      </c>
      <c r="BB394" t="s">
        <v>74</v>
      </c>
      <c r="BC394" t="s">
        <v>74</v>
      </c>
      <c r="BD394" t="s">
        <v>7539</v>
      </c>
      <c r="BE394" t="s">
        <v>7540</v>
      </c>
      <c r="BF394" t="str">
        <f>HYPERLINK("http://dx.doi.org/10.1029/2009JC006020","http://dx.doi.org/10.1029/2009JC006020")</f>
        <v>http://dx.doi.org/10.1029/2009JC006020</v>
      </c>
      <c r="BG394" t="s">
        <v>74</v>
      </c>
      <c r="BH394" t="s">
        <v>74</v>
      </c>
      <c r="BI394">
        <v>17</v>
      </c>
      <c r="BJ394" t="s">
        <v>1531</v>
      </c>
      <c r="BK394" t="s">
        <v>100</v>
      </c>
      <c r="BL394" t="s">
        <v>1531</v>
      </c>
      <c r="BM394" t="s">
        <v>7541</v>
      </c>
      <c r="BN394" t="s">
        <v>74</v>
      </c>
      <c r="BO394" t="s">
        <v>5408</v>
      </c>
      <c r="BP394" t="s">
        <v>74</v>
      </c>
      <c r="BQ394" t="s">
        <v>74</v>
      </c>
      <c r="BR394" t="s">
        <v>104</v>
      </c>
      <c r="BS394" t="s">
        <v>7542</v>
      </c>
      <c r="BT394" t="str">
        <f>HYPERLINK("https%3A%2F%2Fwww.webofscience.com%2Fwos%2Fwoscc%2Ffull-record%2FWOS:000280720000004","View Full Record in Web of Science")</f>
        <v>View Full Record in Web of Science</v>
      </c>
    </row>
    <row r="395" spans="1:72" x14ac:dyDescent="0.15">
      <c r="A395" t="s">
        <v>72</v>
      </c>
      <c r="B395" t="s">
        <v>7543</v>
      </c>
      <c r="C395" t="s">
        <v>74</v>
      </c>
      <c r="D395" t="s">
        <v>74</v>
      </c>
      <c r="E395" t="s">
        <v>74</v>
      </c>
      <c r="F395" t="s">
        <v>7544</v>
      </c>
      <c r="G395" t="s">
        <v>74</v>
      </c>
      <c r="H395" t="s">
        <v>74</v>
      </c>
      <c r="I395" t="s">
        <v>7545</v>
      </c>
      <c r="J395" t="s">
        <v>1702</v>
      </c>
      <c r="K395" t="s">
        <v>74</v>
      </c>
      <c r="L395" t="s">
        <v>74</v>
      </c>
      <c r="M395" t="s">
        <v>78</v>
      </c>
      <c r="N395" t="s">
        <v>79</v>
      </c>
      <c r="O395" t="s">
        <v>74</v>
      </c>
      <c r="P395" t="s">
        <v>74</v>
      </c>
      <c r="Q395" t="s">
        <v>74</v>
      </c>
      <c r="R395" t="s">
        <v>74</v>
      </c>
      <c r="S395" t="s">
        <v>74</v>
      </c>
      <c r="T395" t="s">
        <v>74</v>
      </c>
      <c r="U395" t="s">
        <v>7546</v>
      </c>
      <c r="V395" t="s">
        <v>7547</v>
      </c>
      <c r="W395" t="s">
        <v>7548</v>
      </c>
      <c r="X395" t="s">
        <v>7549</v>
      </c>
      <c r="Y395" t="s">
        <v>7550</v>
      </c>
      <c r="Z395" t="s">
        <v>7551</v>
      </c>
      <c r="AA395" t="s">
        <v>7552</v>
      </c>
      <c r="AB395" t="s">
        <v>7553</v>
      </c>
      <c r="AC395" t="s">
        <v>306</v>
      </c>
      <c r="AD395" t="s">
        <v>307</v>
      </c>
      <c r="AE395" t="s">
        <v>7554</v>
      </c>
      <c r="AF395" t="s">
        <v>74</v>
      </c>
      <c r="AG395">
        <v>38</v>
      </c>
      <c r="AH395">
        <v>10</v>
      </c>
      <c r="AI395">
        <v>10</v>
      </c>
      <c r="AJ395">
        <v>1</v>
      </c>
      <c r="AK395">
        <v>16</v>
      </c>
      <c r="AL395" t="s">
        <v>1521</v>
      </c>
      <c r="AM395" t="s">
        <v>1522</v>
      </c>
      <c r="AN395" t="s">
        <v>1523</v>
      </c>
      <c r="AO395" t="s">
        <v>1714</v>
      </c>
      <c r="AP395" t="s">
        <v>1715</v>
      </c>
      <c r="AQ395" t="s">
        <v>74</v>
      </c>
      <c r="AR395" t="s">
        <v>1716</v>
      </c>
      <c r="AS395" t="s">
        <v>1717</v>
      </c>
      <c r="AT395" t="s">
        <v>7555</v>
      </c>
      <c r="AU395">
        <v>2010</v>
      </c>
      <c r="AV395">
        <v>115</v>
      </c>
      <c r="AW395" t="s">
        <v>74</v>
      </c>
      <c r="AX395" t="s">
        <v>74</v>
      </c>
      <c r="AY395" t="s">
        <v>74</v>
      </c>
      <c r="AZ395" t="s">
        <v>74</v>
      </c>
      <c r="BA395" t="s">
        <v>74</v>
      </c>
      <c r="BB395" t="s">
        <v>74</v>
      </c>
      <c r="BC395" t="s">
        <v>74</v>
      </c>
      <c r="BD395" t="s">
        <v>7556</v>
      </c>
      <c r="BE395" t="s">
        <v>7557</v>
      </c>
      <c r="BF395" t="str">
        <f>HYPERLINK("http://dx.doi.org/10.1029/2009JD012876","http://dx.doi.org/10.1029/2009JD012876")</f>
        <v>http://dx.doi.org/10.1029/2009JD012876</v>
      </c>
      <c r="BG395" t="s">
        <v>74</v>
      </c>
      <c r="BH395" t="s">
        <v>74</v>
      </c>
      <c r="BI395">
        <v>12</v>
      </c>
      <c r="BJ395" t="s">
        <v>319</v>
      </c>
      <c r="BK395" t="s">
        <v>100</v>
      </c>
      <c r="BL395" t="s">
        <v>319</v>
      </c>
      <c r="BM395" t="s">
        <v>7558</v>
      </c>
      <c r="BN395" t="s">
        <v>74</v>
      </c>
      <c r="BO395" t="s">
        <v>631</v>
      </c>
      <c r="BP395" t="s">
        <v>74</v>
      </c>
      <c r="BQ395" t="s">
        <v>74</v>
      </c>
      <c r="BR395" t="s">
        <v>104</v>
      </c>
      <c r="BS395" t="s">
        <v>7559</v>
      </c>
      <c r="BT395" t="str">
        <f>HYPERLINK("https%3A%2F%2Fwww.webofscience.com%2Fwos%2Fwoscc%2Ffull-record%2FWOS:000280718500003","View Full Record in Web of Science")</f>
        <v>View Full Record in Web of Science</v>
      </c>
    </row>
    <row r="396" spans="1:72" x14ac:dyDescent="0.15">
      <c r="A396" t="s">
        <v>72</v>
      </c>
      <c r="B396" t="s">
        <v>7560</v>
      </c>
      <c r="C396" t="s">
        <v>74</v>
      </c>
      <c r="D396" t="s">
        <v>74</v>
      </c>
      <c r="E396" t="s">
        <v>74</v>
      </c>
      <c r="F396" t="s">
        <v>7561</v>
      </c>
      <c r="G396" t="s">
        <v>74</v>
      </c>
      <c r="H396" t="s">
        <v>74</v>
      </c>
      <c r="I396" t="s">
        <v>7562</v>
      </c>
      <c r="J396" t="s">
        <v>7563</v>
      </c>
      <c r="K396" t="s">
        <v>74</v>
      </c>
      <c r="L396" t="s">
        <v>74</v>
      </c>
      <c r="M396" t="s">
        <v>78</v>
      </c>
      <c r="N396" t="s">
        <v>79</v>
      </c>
      <c r="O396" t="s">
        <v>74</v>
      </c>
      <c r="P396" t="s">
        <v>74</v>
      </c>
      <c r="Q396" t="s">
        <v>74</v>
      </c>
      <c r="R396" t="s">
        <v>74</v>
      </c>
      <c r="S396" t="s">
        <v>74</v>
      </c>
      <c r="T396" t="s">
        <v>74</v>
      </c>
      <c r="U396" t="s">
        <v>7564</v>
      </c>
      <c r="V396" t="s">
        <v>7565</v>
      </c>
      <c r="W396" t="s">
        <v>7566</v>
      </c>
      <c r="X396" t="s">
        <v>7567</v>
      </c>
      <c r="Y396" t="s">
        <v>7568</v>
      </c>
      <c r="Z396" t="s">
        <v>74</v>
      </c>
      <c r="AA396" t="s">
        <v>7569</v>
      </c>
      <c r="AB396" t="s">
        <v>7570</v>
      </c>
      <c r="AC396" t="s">
        <v>7571</v>
      </c>
      <c r="AD396" t="s">
        <v>7572</v>
      </c>
      <c r="AE396" t="s">
        <v>7573</v>
      </c>
      <c r="AF396" t="s">
        <v>74</v>
      </c>
      <c r="AG396">
        <v>96</v>
      </c>
      <c r="AH396">
        <v>35</v>
      </c>
      <c r="AI396">
        <v>38</v>
      </c>
      <c r="AJ396">
        <v>0</v>
      </c>
      <c r="AK396">
        <v>12</v>
      </c>
      <c r="AL396" t="s">
        <v>1521</v>
      </c>
      <c r="AM396" t="s">
        <v>1522</v>
      </c>
      <c r="AN396" t="s">
        <v>1523</v>
      </c>
      <c r="AO396" t="s">
        <v>7574</v>
      </c>
      <c r="AP396" t="s">
        <v>7575</v>
      </c>
      <c r="AQ396" t="s">
        <v>74</v>
      </c>
      <c r="AR396" t="s">
        <v>7563</v>
      </c>
      <c r="AS396" t="s">
        <v>7576</v>
      </c>
      <c r="AT396" t="s">
        <v>7555</v>
      </c>
      <c r="AU396">
        <v>2010</v>
      </c>
      <c r="AV396">
        <v>29</v>
      </c>
      <c r="AW396" t="s">
        <v>74</v>
      </c>
      <c r="AX396" t="s">
        <v>74</v>
      </c>
      <c r="AY396" t="s">
        <v>74</v>
      </c>
      <c r="AZ396" t="s">
        <v>74</v>
      </c>
      <c r="BA396" t="s">
        <v>74</v>
      </c>
      <c r="BB396" t="s">
        <v>74</v>
      </c>
      <c r="BC396" t="s">
        <v>74</v>
      </c>
      <c r="BD396" t="s">
        <v>7577</v>
      </c>
      <c r="BE396" t="s">
        <v>7578</v>
      </c>
      <c r="BF396" t="str">
        <f>HYPERLINK("http://dx.doi.org/10.1029/2009TC002492","http://dx.doi.org/10.1029/2009TC002492")</f>
        <v>http://dx.doi.org/10.1029/2009TC002492</v>
      </c>
      <c r="BG396" t="s">
        <v>74</v>
      </c>
      <c r="BH396" t="s">
        <v>74</v>
      </c>
      <c r="BI396">
        <v>27</v>
      </c>
      <c r="BJ396" t="s">
        <v>558</v>
      </c>
      <c r="BK396" t="s">
        <v>100</v>
      </c>
      <c r="BL396" t="s">
        <v>558</v>
      </c>
      <c r="BM396" t="s">
        <v>7579</v>
      </c>
      <c r="BN396" t="s">
        <v>74</v>
      </c>
      <c r="BO396" t="s">
        <v>394</v>
      </c>
      <c r="BP396" t="s">
        <v>74</v>
      </c>
      <c r="BQ396" t="s">
        <v>74</v>
      </c>
      <c r="BR396" t="s">
        <v>104</v>
      </c>
      <c r="BS396" t="s">
        <v>7580</v>
      </c>
      <c r="BT396" t="str">
        <f>HYPERLINK("https%3A%2F%2Fwww.webofscience.com%2Fwos%2Fwoscc%2Ffull-record%2FWOS:000280722600001","View Full Record in Web of Science")</f>
        <v>View Full Record in Web of Science</v>
      </c>
    </row>
    <row r="397" spans="1:72" x14ac:dyDescent="0.15">
      <c r="A397" t="s">
        <v>72</v>
      </c>
      <c r="B397" t="s">
        <v>7581</v>
      </c>
      <c r="C397" t="s">
        <v>74</v>
      </c>
      <c r="D397" t="s">
        <v>74</v>
      </c>
      <c r="E397" t="s">
        <v>74</v>
      </c>
      <c r="F397" t="s">
        <v>7582</v>
      </c>
      <c r="G397" t="s">
        <v>74</v>
      </c>
      <c r="H397" t="s">
        <v>74</v>
      </c>
      <c r="I397" t="s">
        <v>7583</v>
      </c>
      <c r="J397" t="s">
        <v>7584</v>
      </c>
      <c r="K397" t="s">
        <v>74</v>
      </c>
      <c r="L397" t="s">
        <v>74</v>
      </c>
      <c r="M397" t="s">
        <v>78</v>
      </c>
      <c r="N397" t="s">
        <v>79</v>
      </c>
      <c r="O397" t="s">
        <v>74</v>
      </c>
      <c r="P397" t="s">
        <v>74</v>
      </c>
      <c r="Q397" t="s">
        <v>74</v>
      </c>
      <c r="R397" t="s">
        <v>74</v>
      </c>
      <c r="S397" t="s">
        <v>74</v>
      </c>
      <c r="T397" t="s">
        <v>7585</v>
      </c>
      <c r="U397" t="s">
        <v>7586</v>
      </c>
      <c r="V397" t="s">
        <v>7587</v>
      </c>
      <c r="W397" t="s">
        <v>7588</v>
      </c>
      <c r="X397" t="s">
        <v>7589</v>
      </c>
      <c r="Y397" t="s">
        <v>7590</v>
      </c>
      <c r="Z397" t="s">
        <v>7591</v>
      </c>
      <c r="AA397" t="s">
        <v>74</v>
      </c>
      <c r="AB397" t="s">
        <v>7592</v>
      </c>
      <c r="AC397" t="s">
        <v>7593</v>
      </c>
      <c r="AD397" t="s">
        <v>7594</v>
      </c>
      <c r="AE397" t="s">
        <v>7595</v>
      </c>
      <c r="AF397" t="s">
        <v>74</v>
      </c>
      <c r="AG397">
        <v>34</v>
      </c>
      <c r="AH397">
        <v>24</v>
      </c>
      <c r="AI397">
        <v>25</v>
      </c>
      <c r="AJ397">
        <v>0</v>
      </c>
      <c r="AK397">
        <v>17</v>
      </c>
      <c r="AL397" t="s">
        <v>1521</v>
      </c>
      <c r="AM397" t="s">
        <v>1522</v>
      </c>
      <c r="AN397" t="s">
        <v>1523</v>
      </c>
      <c r="AO397" t="s">
        <v>7596</v>
      </c>
      <c r="AP397" t="s">
        <v>74</v>
      </c>
      <c r="AQ397" t="s">
        <v>74</v>
      </c>
      <c r="AR397" t="s">
        <v>7597</v>
      </c>
      <c r="AS397" t="s">
        <v>7598</v>
      </c>
      <c r="AT397" t="s">
        <v>7599</v>
      </c>
      <c r="AU397">
        <v>2010</v>
      </c>
      <c r="AV397">
        <v>11</v>
      </c>
      <c r="AW397" t="s">
        <v>74</v>
      </c>
      <c r="AX397" t="s">
        <v>74</v>
      </c>
      <c r="AY397" t="s">
        <v>74</v>
      </c>
      <c r="AZ397" t="s">
        <v>74</v>
      </c>
      <c r="BA397" t="s">
        <v>74</v>
      </c>
      <c r="BB397" t="s">
        <v>74</v>
      </c>
      <c r="BC397" t="s">
        <v>74</v>
      </c>
      <c r="BD397" t="s">
        <v>7600</v>
      </c>
      <c r="BE397" t="s">
        <v>7601</v>
      </c>
      <c r="BF397" t="str">
        <f>HYPERLINK("http://dx.doi.org/10.1029/2010GC003033","http://dx.doi.org/10.1029/2010GC003033")</f>
        <v>http://dx.doi.org/10.1029/2010GC003033</v>
      </c>
      <c r="BG397" t="s">
        <v>74</v>
      </c>
      <c r="BH397" t="s">
        <v>74</v>
      </c>
      <c r="BI397">
        <v>10</v>
      </c>
      <c r="BJ397" t="s">
        <v>558</v>
      </c>
      <c r="BK397" t="s">
        <v>100</v>
      </c>
      <c r="BL397" t="s">
        <v>558</v>
      </c>
      <c r="BM397" t="s">
        <v>7602</v>
      </c>
      <c r="BN397" t="s">
        <v>74</v>
      </c>
      <c r="BO397" t="s">
        <v>1533</v>
      </c>
      <c r="BP397" t="s">
        <v>74</v>
      </c>
      <c r="BQ397" t="s">
        <v>74</v>
      </c>
      <c r="BR397" t="s">
        <v>104</v>
      </c>
      <c r="BS397" t="s">
        <v>7603</v>
      </c>
      <c r="BT397" t="str">
        <f>HYPERLINK("https%3A%2F%2Fwww.webofscience.com%2Fwos%2Fwoscc%2Ffull-record%2FWOS:000280717500001","View Full Record in Web of Science")</f>
        <v>View Full Record in Web of Science</v>
      </c>
    </row>
    <row r="398" spans="1:72" x14ac:dyDescent="0.15">
      <c r="A398" t="s">
        <v>72</v>
      </c>
      <c r="B398" t="s">
        <v>7604</v>
      </c>
      <c r="C398" t="s">
        <v>74</v>
      </c>
      <c r="D398" t="s">
        <v>74</v>
      </c>
      <c r="E398" t="s">
        <v>74</v>
      </c>
      <c r="F398" t="s">
        <v>7605</v>
      </c>
      <c r="G398" t="s">
        <v>74</v>
      </c>
      <c r="H398" t="s">
        <v>74</v>
      </c>
      <c r="I398" t="s">
        <v>7606</v>
      </c>
      <c r="J398" t="s">
        <v>7584</v>
      </c>
      <c r="K398" t="s">
        <v>74</v>
      </c>
      <c r="L398" t="s">
        <v>74</v>
      </c>
      <c r="M398" t="s">
        <v>78</v>
      </c>
      <c r="N398" t="s">
        <v>79</v>
      </c>
      <c r="O398" t="s">
        <v>74</v>
      </c>
      <c r="P398" t="s">
        <v>74</v>
      </c>
      <c r="Q398" t="s">
        <v>74</v>
      </c>
      <c r="R398" t="s">
        <v>74</v>
      </c>
      <c r="S398" t="s">
        <v>74</v>
      </c>
      <c r="T398" t="s">
        <v>7607</v>
      </c>
      <c r="U398" t="s">
        <v>7608</v>
      </c>
      <c r="V398" t="s">
        <v>7609</v>
      </c>
      <c r="W398" t="s">
        <v>7610</v>
      </c>
      <c r="X398" t="s">
        <v>7611</v>
      </c>
      <c r="Y398" t="s">
        <v>7612</v>
      </c>
      <c r="Z398" t="s">
        <v>7613</v>
      </c>
      <c r="AA398" t="s">
        <v>7614</v>
      </c>
      <c r="AB398" t="s">
        <v>7615</v>
      </c>
      <c r="AC398" t="s">
        <v>7616</v>
      </c>
      <c r="AD398" t="s">
        <v>289</v>
      </c>
      <c r="AE398" t="s">
        <v>7617</v>
      </c>
      <c r="AF398" t="s">
        <v>74</v>
      </c>
      <c r="AG398">
        <v>82</v>
      </c>
      <c r="AH398">
        <v>39</v>
      </c>
      <c r="AI398">
        <v>44</v>
      </c>
      <c r="AJ398">
        <v>0</v>
      </c>
      <c r="AK398">
        <v>11</v>
      </c>
      <c r="AL398" t="s">
        <v>1521</v>
      </c>
      <c r="AM398" t="s">
        <v>1522</v>
      </c>
      <c r="AN398" t="s">
        <v>1523</v>
      </c>
      <c r="AO398" t="s">
        <v>74</v>
      </c>
      <c r="AP398" t="s">
        <v>7596</v>
      </c>
      <c r="AQ398" t="s">
        <v>74</v>
      </c>
      <c r="AR398" t="s">
        <v>7597</v>
      </c>
      <c r="AS398" t="s">
        <v>7598</v>
      </c>
      <c r="AT398" t="s">
        <v>7618</v>
      </c>
      <c r="AU398">
        <v>2010</v>
      </c>
      <c r="AV398">
        <v>11</v>
      </c>
      <c r="AW398" t="s">
        <v>74</v>
      </c>
      <c r="AX398" t="s">
        <v>74</v>
      </c>
      <c r="AY398" t="s">
        <v>74</v>
      </c>
      <c r="AZ398" t="s">
        <v>74</v>
      </c>
      <c r="BA398" t="s">
        <v>74</v>
      </c>
      <c r="BB398" t="s">
        <v>74</v>
      </c>
      <c r="BC398" t="s">
        <v>74</v>
      </c>
      <c r="BD398" t="s">
        <v>7619</v>
      </c>
      <c r="BE398" t="s">
        <v>7620</v>
      </c>
      <c r="BF398" t="str">
        <f>HYPERLINK("http://dx.doi.org/10.1029/2010GC003105","http://dx.doi.org/10.1029/2010GC003105")</f>
        <v>http://dx.doi.org/10.1029/2010GC003105</v>
      </c>
      <c r="BG398" t="s">
        <v>74</v>
      </c>
      <c r="BH398" t="s">
        <v>74</v>
      </c>
      <c r="BI398">
        <v>29</v>
      </c>
      <c r="BJ398" t="s">
        <v>558</v>
      </c>
      <c r="BK398" t="s">
        <v>100</v>
      </c>
      <c r="BL398" t="s">
        <v>558</v>
      </c>
      <c r="BM398" t="s">
        <v>7621</v>
      </c>
      <c r="BN398" t="s">
        <v>74</v>
      </c>
      <c r="BO398" t="s">
        <v>7622</v>
      </c>
      <c r="BP398" t="s">
        <v>74</v>
      </c>
      <c r="BQ398" t="s">
        <v>74</v>
      </c>
      <c r="BR398" t="s">
        <v>104</v>
      </c>
      <c r="BS398" t="s">
        <v>7623</v>
      </c>
      <c r="BT398" t="str">
        <f>HYPERLINK("https%3A%2F%2Fwww.webofscience.com%2Fwos%2Fwoscc%2Ffull-record%2FWOS:000280717400002","View Full Record in Web of Science")</f>
        <v>View Full Record in Web of Science</v>
      </c>
    </row>
    <row r="399" spans="1:72" x14ac:dyDescent="0.15">
      <c r="A399" t="s">
        <v>72</v>
      </c>
      <c r="B399" t="s">
        <v>7624</v>
      </c>
      <c r="C399" t="s">
        <v>74</v>
      </c>
      <c r="D399" t="s">
        <v>74</v>
      </c>
      <c r="E399" t="s">
        <v>74</v>
      </c>
      <c r="F399" t="s">
        <v>7625</v>
      </c>
      <c r="G399" t="s">
        <v>74</v>
      </c>
      <c r="H399" t="s">
        <v>74</v>
      </c>
      <c r="I399" t="s">
        <v>7626</v>
      </c>
      <c r="J399" t="s">
        <v>1538</v>
      </c>
      <c r="K399" t="s">
        <v>74</v>
      </c>
      <c r="L399" t="s">
        <v>74</v>
      </c>
      <c r="M399" t="s">
        <v>78</v>
      </c>
      <c r="N399" t="s">
        <v>79</v>
      </c>
      <c r="O399" t="s">
        <v>74</v>
      </c>
      <c r="P399" t="s">
        <v>74</v>
      </c>
      <c r="Q399" t="s">
        <v>74</v>
      </c>
      <c r="R399" t="s">
        <v>74</v>
      </c>
      <c r="S399" t="s">
        <v>74</v>
      </c>
      <c r="T399" t="s">
        <v>74</v>
      </c>
      <c r="U399" t="s">
        <v>7627</v>
      </c>
      <c r="V399" t="s">
        <v>7628</v>
      </c>
      <c r="W399" t="s">
        <v>7629</v>
      </c>
      <c r="X399" t="s">
        <v>2186</v>
      </c>
      <c r="Y399" t="s">
        <v>7630</v>
      </c>
      <c r="Z399" t="s">
        <v>7631</v>
      </c>
      <c r="AA399" t="s">
        <v>7632</v>
      </c>
      <c r="AB399" t="s">
        <v>7633</v>
      </c>
      <c r="AC399" t="s">
        <v>7634</v>
      </c>
      <c r="AD399" t="s">
        <v>7635</v>
      </c>
      <c r="AE399" t="s">
        <v>7636</v>
      </c>
      <c r="AF399" t="s">
        <v>74</v>
      </c>
      <c r="AG399">
        <v>22</v>
      </c>
      <c r="AH399">
        <v>9</v>
      </c>
      <c r="AI399">
        <v>10</v>
      </c>
      <c r="AJ399">
        <v>0</v>
      </c>
      <c r="AK399">
        <v>10</v>
      </c>
      <c r="AL399" t="s">
        <v>1521</v>
      </c>
      <c r="AM399" t="s">
        <v>1522</v>
      </c>
      <c r="AN399" t="s">
        <v>1523</v>
      </c>
      <c r="AO399" t="s">
        <v>1550</v>
      </c>
      <c r="AP399" t="s">
        <v>74</v>
      </c>
      <c r="AQ399" t="s">
        <v>74</v>
      </c>
      <c r="AR399" t="s">
        <v>1552</v>
      </c>
      <c r="AS399" t="s">
        <v>1553</v>
      </c>
      <c r="AT399" t="s">
        <v>7637</v>
      </c>
      <c r="AU399">
        <v>2010</v>
      </c>
      <c r="AV399">
        <v>37</v>
      </c>
      <c r="AW399" t="s">
        <v>74</v>
      </c>
      <c r="AX399" t="s">
        <v>74</v>
      </c>
      <c r="AY399" t="s">
        <v>74</v>
      </c>
      <c r="AZ399" t="s">
        <v>74</v>
      </c>
      <c r="BA399" t="s">
        <v>74</v>
      </c>
      <c r="BB399" t="s">
        <v>74</v>
      </c>
      <c r="BC399" t="s">
        <v>74</v>
      </c>
      <c r="BD399" t="s">
        <v>7638</v>
      </c>
      <c r="BE399" t="s">
        <v>7639</v>
      </c>
      <c r="BF399" t="str">
        <f>HYPERLINK("http://dx.doi.org/10.1029/2010GL043949","http://dx.doi.org/10.1029/2010GL043949")</f>
        <v>http://dx.doi.org/10.1029/2010GL043949</v>
      </c>
      <c r="BG399" t="s">
        <v>74</v>
      </c>
      <c r="BH399" t="s">
        <v>74</v>
      </c>
      <c r="BI399">
        <v>6</v>
      </c>
      <c r="BJ399" t="s">
        <v>1194</v>
      </c>
      <c r="BK399" t="s">
        <v>100</v>
      </c>
      <c r="BL399" t="s">
        <v>807</v>
      </c>
      <c r="BM399" t="s">
        <v>7640</v>
      </c>
      <c r="BN399" t="s">
        <v>74</v>
      </c>
      <c r="BO399" t="s">
        <v>394</v>
      </c>
      <c r="BP399" t="s">
        <v>74</v>
      </c>
      <c r="BQ399" t="s">
        <v>74</v>
      </c>
      <c r="BR399" t="s">
        <v>104</v>
      </c>
      <c r="BS399" t="s">
        <v>7641</v>
      </c>
      <c r="BT399" t="str">
        <f>HYPERLINK("https%3A%2F%2Fwww.webofscience.com%2Fwos%2Fwoscc%2Ffull-record%2FWOS:000280717700001","View Full Record in Web of Science")</f>
        <v>View Full Record in Web of Science</v>
      </c>
    </row>
    <row r="400" spans="1:72" x14ac:dyDescent="0.15">
      <c r="A400" t="s">
        <v>72</v>
      </c>
      <c r="B400" t="s">
        <v>7642</v>
      </c>
      <c r="C400" t="s">
        <v>74</v>
      </c>
      <c r="D400" t="s">
        <v>74</v>
      </c>
      <c r="E400" t="s">
        <v>74</v>
      </c>
      <c r="F400" t="s">
        <v>7643</v>
      </c>
      <c r="G400" t="s">
        <v>74</v>
      </c>
      <c r="H400" t="s">
        <v>74</v>
      </c>
      <c r="I400" t="s">
        <v>7644</v>
      </c>
      <c r="J400" t="s">
        <v>4657</v>
      </c>
      <c r="K400" t="s">
        <v>74</v>
      </c>
      <c r="L400" t="s">
        <v>74</v>
      </c>
      <c r="M400" t="s">
        <v>78</v>
      </c>
      <c r="N400" t="s">
        <v>326</v>
      </c>
      <c r="O400" t="s">
        <v>74</v>
      </c>
      <c r="P400" t="s">
        <v>74</v>
      </c>
      <c r="Q400" t="s">
        <v>74</v>
      </c>
      <c r="R400" t="s">
        <v>74</v>
      </c>
      <c r="S400" t="s">
        <v>74</v>
      </c>
      <c r="T400" t="s">
        <v>74</v>
      </c>
      <c r="U400" t="s">
        <v>7645</v>
      </c>
      <c r="V400" t="s">
        <v>7646</v>
      </c>
      <c r="W400" t="s">
        <v>7647</v>
      </c>
      <c r="X400" t="s">
        <v>7648</v>
      </c>
      <c r="Y400" t="s">
        <v>7649</v>
      </c>
      <c r="Z400" t="s">
        <v>7650</v>
      </c>
      <c r="AA400" t="s">
        <v>7651</v>
      </c>
      <c r="AB400" t="s">
        <v>7652</v>
      </c>
      <c r="AC400" t="s">
        <v>7653</v>
      </c>
      <c r="AD400" t="s">
        <v>7654</v>
      </c>
      <c r="AE400" t="s">
        <v>7655</v>
      </c>
      <c r="AF400" t="s">
        <v>74</v>
      </c>
      <c r="AG400">
        <v>96</v>
      </c>
      <c r="AH400">
        <v>74</v>
      </c>
      <c r="AI400">
        <v>80</v>
      </c>
      <c r="AJ400">
        <v>0</v>
      </c>
      <c r="AK400">
        <v>37</v>
      </c>
      <c r="AL400" t="s">
        <v>4669</v>
      </c>
      <c r="AM400" t="s">
        <v>4670</v>
      </c>
      <c r="AN400" t="s">
        <v>7488</v>
      </c>
      <c r="AO400" t="s">
        <v>4672</v>
      </c>
      <c r="AP400" t="s">
        <v>74</v>
      </c>
      <c r="AQ400" t="s">
        <v>74</v>
      </c>
      <c r="AR400" t="s">
        <v>4657</v>
      </c>
      <c r="AS400" t="s">
        <v>4673</v>
      </c>
      <c r="AT400" t="s">
        <v>7656</v>
      </c>
      <c r="AU400">
        <v>2010</v>
      </c>
      <c r="AV400">
        <v>5</v>
      </c>
      <c r="AW400">
        <v>8</v>
      </c>
      <c r="AX400" t="s">
        <v>74</v>
      </c>
      <c r="AY400" t="s">
        <v>74</v>
      </c>
      <c r="AZ400" t="s">
        <v>74</v>
      </c>
      <c r="BA400" t="s">
        <v>74</v>
      </c>
      <c r="BB400" t="s">
        <v>74</v>
      </c>
      <c r="BC400" t="s">
        <v>74</v>
      </c>
      <c r="BD400" t="s">
        <v>7657</v>
      </c>
      <c r="BE400" t="s">
        <v>7658</v>
      </c>
      <c r="BF400" t="str">
        <f>HYPERLINK("http://dx.doi.org/10.1371/journal.pone.0011831","http://dx.doi.org/10.1371/journal.pone.0011831")</f>
        <v>http://dx.doi.org/10.1371/journal.pone.0011831</v>
      </c>
      <c r="BG400" t="s">
        <v>74</v>
      </c>
      <c r="BH400" t="s">
        <v>74</v>
      </c>
      <c r="BI400">
        <v>15</v>
      </c>
      <c r="BJ400" t="s">
        <v>444</v>
      </c>
      <c r="BK400" t="s">
        <v>100</v>
      </c>
      <c r="BL400" t="s">
        <v>445</v>
      </c>
      <c r="BM400" t="s">
        <v>7659</v>
      </c>
      <c r="BN400">
        <v>20689847</v>
      </c>
      <c r="BO400" t="s">
        <v>2746</v>
      </c>
      <c r="BP400" t="s">
        <v>74</v>
      </c>
      <c r="BQ400" t="s">
        <v>74</v>
      </c>
      <c r="BR400" t="s">
        <v>104</v>
      </c>
      <c r="BS400" t="s">
        <v>7660</v>
      </c>
      <c r="BT400" t="str">
        <f>HYPERLINK("https%3A%2F%2Fwww.webofscience.com%2Fwos%2Fwoscc%2Ffull-record%2FWOS:000280520400005","View Full Record in Web of Science")</f>
        <v>View Full Record in Web of Science</v>
      </c>
    </row>
    <row r="401" spans="1:72" x14ac:dyDescent="0.15">
      <c r="A401" t="s">
        <v>72</v>
      </c>
      <c r="B401" t="s">
        <v>7661</v>
      </c>
      <c r="C401" t="s">
        <v>74</v>
      </c>
      <c r="D401" t="s">
        <v>74</v>
      </c>
      <c r="E401" t="s">
        <v>74</v>
      </c>
      <c r="F401" t="s">
        <v>7662</v>
      </c>
      <c r="G401" t="s">
        <v>74</v>
      </c>
      <c r="H401" t="s">
        <v>74</v>
      </c>
      <c r="I401" t="s">
        <v>7663</v>
      </c>
      <c r="J401" t="s">
        <v>4657</v>
      </c>
      <c r="K401" t="s">
        <v>74</v>
      </c>
      <c r="L401" t="s">
        <v>74</v>
      </c>
      <c r="M401" t="s">
        <v>78</v>
      </c>
      <c r="N401" t="s">
        <v>326</v>
      </c>
      <c r="O401" t="s">
        <v>74</v>
      </c>
      <c r="P401" t="s">
        <v>74</v>
      </c>
      <c r="Q401" t="s">
        <v>74</v>
      </c>
      <c r="R401" t="s">
        <v>74</v>
      </c>
      <c r="S401" t="s">
        <v>74</v>
      </c>
      <c r="T401" t="s">
        <v>74</v>
      </c>
      <c r="U401" t="s">
        <v>7664</v>
      </c>
      <c r="V401" t="s">
        <v>7665</v>
      </c>
      <c r="W401" t="s">
        <v>3286</v>
      </c>
      <c r="X401" t="s">
        <v>690</v>
      </c>
      <c r="Y401" t="s">
        <v>7666</v>
      </c>
      <c r="Z401" t="s">
        <v>7667</v>
      </c>
      <c r="AA401" t="s">
        <v>7668</v>
      </c>
      <c r="AB401" t="s">
        <v>7669</v>
      </c>
      <c r="AC401" t="s">
        <v>7670</v>
      </c>
      <c r="AD401" t="s">
        <v>7671</v>
      </c>
      <c r="AE401" t="s">
        <v>7672</v>
      </c>
      <c r="AF401" t="s">
        <v>74</v>
      </c>
      <c r="AG401">
        <v>42</v>
      </c>
      <c r="AH401">
        <v>208</v>
      </c>
      <c r="AI401">
        <v>227</v>
      </c>
      <c r="AJ401">
        <v>2</v>
      </c>
      <c r="AK401">
        <v>56</v>
      </c>
      <c r="AL401" t="s">
        <v>4669</v>
      </c>
      <c r="AM401" t="s">
        <v>4670</v>
      </c>
      <c r="AN401" t="s">
        <v>4671</v>
      </c>
      <c r="AO401" t="s">
        <v>4672</v>
      </c>
      <c r="AP401" t="s">
        <v>74</v>
      </c>
      <c r="AQ401" t="s">
        <v>74</v>
      </c>
      <c r="AR401" t="s">
        <v>4657</v>
      </c>
      <c r="AS401" t="s">
        <v>4673</v>
      </c>
      <c r="AT401" t="s">
        <v>7656</v>
      </c>
      <c r="AU401">
        <v>2010</v>
      </c>
      <c r="AV401">
        <v>5</v>
      </c>
      <c r="AW401">
        <v>8</v>
      </c>
      <c r="AX401" t="s">
        <v>74</v>
      </c>
      <c r="AY401" t="s">
        <v>74</v>
      </c>
      <c r="AZ401" t="s">
        <v>74</v>
      </c>
      <c r="BA401" t="s">
        <v>74</v>
      </c>
      <c r="BB401" t="s">
        <v>74</v>
      </c>
      <c r="BC401" t="s">
        <v>74</v>
      </c>
      <c r="BD401" t="s">
        <v>7673</v>
      </c>
      <c r="BE401" t="s">
        <v>7674</v>
      </c>
      <c r="BF401" t="str">
        <f>HYPERLINK("http://dx.doi.org/10.1371/journal.pone.0011683","http://dx.doi.org/10.1371/journal.pone.0011683")</f>
        <v>http://dx.doi.org/10.1371/journal.pone.0011683</v>
      </c>
      <c r="BG401" t="s">
        <v>74</v>
      </c>
      <c r="BH401" t="s">
        <v>74</v>
      </c>
      <c r="BI401">
        <v>11</v>
      </c>
      <c r="BJ401" t="s">
        <v>444</v>
      </c>
      <c r="BK401" t="s">
        <v>100</v>
      </c>
      <c r="BL401" t="s">
        <v>445</v>
      </c>
      <c r="BM401" t="s">
        <v>7659</v>
      </c>
      <c r="BN401">
        <v>20689841</v>
      </c>
      <c r="BO401" t="s">
        <v>2746</v>
      </c>
      <c r="BP401" t="s">
        <v>74</v>
      </c>
      <c r="BQ401" t="s">
        <v>74</v>
      </c>
      <c r="BR401" t="s">
        <v>104</v>
      </c>
      <c r="BS401" t="s">
        <v>7675</v>
      </c>
      <c r="BT401" t="str">
        <f>HYPERLINK("https%3A%2F%2Fwww.webofscience.com%2Fwos%2Fwoscc%2Ffull-record%2FWOS:000280520400004","View Full Record in Web of Science")</f>
        <v>View Full Record in Web of Science</v>
      </c>
    </row>
    <row r="402" spans="1:72" x14ac:dyDescent="0.15">
      <c r="A402" t="s">
        <v>72</v>
      </c>
      <c r="B402" t="s">
        <v>7676</v>
      </c>
      <c r="C402" t="s">
        <v>74</v>
      </c>
      <c r="D402" t="s">
        <v>74</v>
      </c>
      <c r="E402" t="s">
        <v>74</v>
      </c>
      <c r="F402" t="s">
        <v>7677</v>
      </c>
      <c r="G402" t="s">
        <v>74</v>
      </c>
      <c r="H402" t="s">
        <v>74</v>
      </c>
      <c r="I402" t="s">
        <v>7678</v>
      </c>
      <c r="J402" t="s">
        <v>2257</v>
      </c>
      <c r="K402" t="s">
        <v>74</v>
      </c>
      <c r="L402" t="s">
        <v>74</v>
      </c>
      <c r="M402" t="s">
        <v>78</v>
      </c>
      <c r="N402" t="s">
        <v>220</v>
      </c>
      <c r="O402" t="s">
        <v>74</v>
      </c>
      <c r="P402" t="s">
        <v>74</v>
      </c>
      <c r="Q402" t="s">
        <v>74</v>
      </c>
      <c r="R402" t="s">
        <v>74</v>
      </c>
      <c r="S402" t="s">
        <v>74</v>
      </c>
      <c r="T402" t="s">
        <v>74</v>
      </c>
      <c r="U402" t="s">
        <v>74</v>
      </c>
      <c r="V402" t="s">
        <v>74</v>
      </c>
      <c r="W402" t="s">
        <v>74</v>
      </c>
      <c r="X402" t="s">
        <v>74</v>
      </c>
      <c r="Y402" t="s">
        <v>74</v>
      </c>
      <c r="Z402" t="s">
        <v>74</v>
      </c>
      <c r="AA402" t="s">
        <v>74</v>
      </c>
      <c r="AB402" t="s">
        <v>7679</v>
      </c>
      <c r="AC402" t="s">
        <v>74</v>
      </c>
      <c r="AD402" t="s">
        <v>74</v>
      </c>
      <c r="AE402" t="s">
        <v>74</v>
      </c>
      <c r="AF402" t="s">
        <v>74</v>
      </c>
      <c r="AG402">
        <v>0</v>
      </c>
      <c r="AH402">
        <v>3</v>
      </c>
      <c r="AI402">
        <v>3</v>
      </c>
      <c r="AJ402">
        <v>0</v>
      </c>
      <c r="AK402">
        <v>19</v>
      </c>
      <c r="AL402" t="s">
        <v>851</v>
      </c>
      <c r="AM402" t="s">
        <v>310</v>
      </c>
      <c r="AN402" t="s">
        <v>852</v>
      </c>
      <c r="AO402" t="s">
        <v>2269</v>
      </c>
      <c r="AP402" t="s">
        <v>74</v>
      </c>
      <c r="AQ402" t="s">
        <v>74</v>
      </c>
      <c r="AR402" t="s">
        <v>2271</v>
      </c>
      <c r="AS402" t="s">
        <v>2272</v>
      </c>
      <c r="AT402" t="s">
        <v>7680</v>
      </c>
      <c r="AU402">
        <v>2010</v>
      </c>
      <c r="AV402">
        <v>22</v>
      </c>
      <c r="AW402">
        <v>4</v>
      </c>
      <c r="AX402" t="s">
        <v>74</v>
      </c>
      <c r="AY402" t="s">
        <v>74</v>
      </c>
      <c r="AZ402" t="s">
        <v>74</v>
      </c>
      <c r="BA402" t="s">
        <v>74</v>
      </c>
      <c r="BB402">
        <v>333</v>
      </c>
      <c r="BC402">
        <v>333</v>
      </c>
      <c r="BD402" t="s">
        <v>74</v>
      </c>
      <c r="BE402" t="s">
        <v>7681</v>
      </c>
      <c r="BF402" t="str">
        <f>HYPERLINK("http://dx.doi.org/10.1017/S0954102010000520","http://dx.doi.org/10.1017/S0954102010000520")</f>
        <v>http://dx.doi.org/10.1017/S0954102010000520</v>
      </c>
      <c r="BG402" t="s">
        <v>74</v>
      </c>
      <c r="BH402" t="s">
        <v>74</v>
      </c>
      <c r="BI402">
        <v>1</v>
      </c>
      <c r="BJ402" t="s">
        <v>755</v>
      </c>
      <c r="BK402" t="s">
        <v>100</v>
      </c>
      <c r="BL402" t="s">
        <v>756</v>
      </c>
      <c r="BM402" t="s">
        <v>7682</v>
      </c>
      <c r="BN402" t="s">
        <v>74</v>
      </c>
      <c r="BO402" t="s">
        <v>394</v>
      </c>
      <c r="BP402" t="s">
        <v>74</v>
      </c>
      <c r="BQ402" t="s">
        <v>74</v>
      </c>
      <c r="BR402" t="s">
        <v>104</v>
      </c>
      <c r="BS402" t="s">
        <v>7683</v>
      </c>
      <c r="BT402" t="str">
        <f>HYPERLINK("https%3A%2F%2Fwww.webofscience.com%2Fwos%2Fwoscc%2Ffull-record%2FWOS:000280934100001","View Full Record in Web of Science")</f>
        <v>View Full Record in Web of Science</v>
      </c>
    </row>
    <row r="403" spans="1:72" x14ac:dyDescent="0.15">
      <c r="A403" t="s">
        <v>72</v>
      </c>
      <c r="B403" t="s">
        <v>7684</v>
      </c>
      <c r="C403" t="s">
        <v>74</v>
      </c>
      <c r="D403" t="s">
        <v>74</v>
      </c>
      <c r="E403" t="s">
        <v>74</v>
      </c>
      <c r="F403" t="s">
        <v>7685</v>
      </c>
      <c r="G403" t="s">
        <v>74</v>
      </c>
      <c r="H403" t="s">
        <v>74</v>
      </c>
      <c r="I403" t="s">
        <v>7686</v>
      </c>
      <c r="J403" t="s">
        <v>2257</v>
      </c>
      <c r="K403" t="s">
        <v>74</v>
      </c>
      <c r="L403" t="s">
        <v>74</v>
      </c>
      <c r="M403" t="s">
        <v>78</v>
      </c>
      <c r="N403" t="s">
        <v>326</v>
      </c>
      <c r="O403" t="s">
        <v>74</v>
      </c>
      <c r="P403" t="s">
        <v>74</v>
      </c>
      <c r="Q403" t="s">
        <v>74</v>
      </c>
      <c r="R403" t="s">
        <v>74</v>
      </c>
      <c r="S403" t="s">
        <v>74</v>
      </c>
      <c r="T403" t="s">
        <v>7687</v>
      </c>
      <c r="U403" t="s">
        <v>7688</v>
      </c>
      <c r="V403" t="s">
        <v>7689</v>
      </c>
      <c r="W403" t="s">
        <v>7690</v>
      </c>
      <c r="X403" t="s">
        <v>7691</v>
      </c>
      <c r="Y403" t="s">
        <v>7692</v>
      </c>
      <c r="Z403" t="s">
        <v>7693</v>
      </c>
      <c r="AA403" t="s">
        <v>7694</v>
      </c>
      <c r="AB403" t="s">
        <v>7695</v>
      </c>
      <c r="AC403" t="s">
        <v>7696</v>
      </c>
      <c r="AD403" t="s">
        <v>7696</v>
      </c>
      <c r="AE403" t="s">
        <v>7697</v>
      </c>
      <c r="AF403" t="s">
        <v>74</v>
      </c>
      <c r="AG403">
        <v>59</v>
      </c>
      <c r="AH403">
        <v>11</v>
      </c>
      <c r="AI403">
        <v>12</v>
      </c>
      <c r="AJ403">
        <v>1</v>
      </c>
      <c r="AK403">
        <v>15</v>
      </c>
      <c r="AL403" t="s">
        <v>851</v>
      </c>
      <c r="AM403" t="s">
        <v>310</v>
      </c>
      <c r="AN403" t="s">
        <v>852</v>
      </c>
      <c r="AO403" t="s">
        <v>2269</v>
      </c>
      <c r="AP403" t="s">
        <v>2270</v>
      </c>
      <c r="AQ403" t="s">
        <v>74</v>
      </c>
      <c r="AR403" t="s">
        <v>2271</v>
      </c>
      <c r="AS403" t="s">
        <v>2272</v>
      </c>
      <c r="AT403" t="s">
        <v>7680</v>
      </c>
      <c r="AU403">
        <v>2010</v>
      </c>
      <c r="AV403">
        <v>22</v>
      </c>
      <c r="AW403">
        <v>4</v>
      </c>
      <c r="AX403" t="s">
        <v>74</v>
      </c>
      <c r="AY403" t="s">
        <v>74</v>
      </c>
      <c r="AZ403" t="s">
        <v>74</v>
      </c>
      <c r="BA403" t="s">
        <v>74</v>
      </c>
      <c r="BB403">
        <v>335</v>
      </c>
      <c r="BC403">
        <v>342</v>
      </c>
      <c r="BD403" t="s">
        <v>74</v>
      </c>
      <c r="BE403" t="s">
        <v>7698</v>
      </c>
      <c r="BF403" t="str">
        <f>HYPERLINK("http://dx.doi.org/10.1017/S0954102010000271","http://dx.doi.org/10.1017/S0954102010000271")</f>
        <v>http://dx.doi.org/10.1017/S0954102010000271</v>
      </c>
      <c r="BG403" t="s">
        <v>74</v>
      </c>
      <c r="BH403" t="s">
        <v>74</v>
      </c>
      <c r="BI403">
        <v>8</v>
      </c>
      <c r="BJ403" t="s">
        <v>755</v>
      </c>
      <c r="BK403" t="s">
        <v>2796</v>
      </c>
      <c r="BL403" t="s">
        <v>756</v>
      </c>
      <c r="BM403" t="s">
        <v>7682</v>
      </c>
      <c r="BN403" t="s">
        <v>74</v>
      </c>
      <c r="BO403" t="s">
        <v>74</v>
      </c>
      <c r="BP403" t="s">
        <v>74</v>
      </c>
      <c r="BQ403" t="s">
        <v>74</v>
      </c>
      <c r="BR403" t="s">
        <v>104</v>
      </c>
      <c r="BS403" t="s">
        <v>7699</v>
      </c>
      <c r="BT403" t="str">
        <f>HYPERLINK("https%3A%2F%2Fwww.webofscience.com%2Fwos%2Fwoscc%2Ffull-record%2FWOS:000280934100002","View Full Record in Web of Science")</f>
        <v>View Full Record in Web of Science</v>
      </c>
    </row>
    <row r="404" spans="1:72" x14ac:dyDescent="0.15">
      <c r="A404" t="s">
        <v>72</v>
      </c>
      <c r="B404" t="s">
        <v>7700</v>
      </c>
      <c r="C404" t="s">
        <v>74</v>
      </c>
      <c r="D404" t="s">
        <v>74</v>
      </c>
      <c r="E404" t="s">
        <v>74</v>
      </c>
      <c r="F404" t="s">
        <v>7701</v>
      </c>
      <c r="G404" t="s">
        <v>74</v>
      </c>
      <c r="H404" t="s">
        <v>74</v>
      </c>
      <c r="I404" t="s">
        <v>7702</v>
      </c>
      <c r="J404" t="s">
        <v>2257</v>
      </c>
      <c r="K404" t="s">
        <v>74</v>
      </c>
      <c r="L404" t="s">
        <v>74</v>
      </c>
      <c r="M404" t="s">
        <v>78</v>
      </c>
      <c r="N404" t="s">
        <v>79</v>
      </c>
      <c r="O404" t="s">
        <v>74</v>
      </c>
      <c r="P404" t="s">
        <v>74</v>
      </c>
      <c r="Q404" t="s">
        <v>74</v>
      </c>
      <c r="R404" t="s">
        <v>74</v>
      </c>
      <c r="S404" t="s">
        <v>74</v>
      </c>
      <c r="T404" t="s">
        <v>7703</v>
      </c>
      <c r="U404" t="s">
        <v>7704</v>
      </c>
      <c r="V404" t="s">
        <v>7705</v>
      </c>
      <c r="W404" t="s">
        <v>7706</v>
      </c>
      <c r="X404" t="s">
        <v>7707</v>
      </c>
      <c r="Y404" t="s">
        <v>7708</v>
      </c>
      <c r="Z404" t="s">
        <v>7709</v>
      </c>
      <c r="AA404" t="s">
        <v>7710</v>
      </c>
      <c r="AB404" t="s">
        <v>7711</v>
      </c>
      <c r="AC404" t="s">
        <v>7712</v>
      </c>
      <c r="AD404" t="s">
        <v>7713</v>
      </c>
      <c r="AE404" t="s">
        <v>7714</v>
      </c>
      <c r="AF404" t="s">
        <v>74</v>
      </c>
      <c r="AG404">
        <v>48</v>
      </c>
      <c r="AH404">
        <v>17</v>
      </c>
      <c r="AI404">
        <v>17</v>
      </c>
      <c r="AJ404">
        <v>0</v>
      </c>
      <c r="AK404">
        <v>10</v>
      </c>
      <c r="AL404" t="s">
        <v>851</v>
      </c>
      <c r="AM404" t="s">
        <v>310</v>
      </c>
      <c r="AN404" t="s">
        <v>852</v>
      </c>
      <c r="AO404" t="s">
        <v>2269</v>
      </c>
      <c r="AP404" t="s">
        <v>2270</v>
      </c>
      <c r="AQ404" t="s">
        <v>74</v>
      </c>
      <c r="AR404" t="s">
        <v>2271</v>
      </c>
      <c r="AS404" t="s">
        <v>2272</v>
      </c>
      <c r="AT404" t="s">
        <v>7680</v>
      </c>
      <c r="AU404">
        <v>2010</v>
      </c>
      <c r="AV404">
        <v>22</v>
      </c>
      <c r="AW404">
        <v>4</v>
      </c>
      <c r="AX404" t="s">
        <v>74</v>
      </c>
      <c r="AY404" t="s">
        <v>74</v>
      </c>
      <c r="AZ404" t="s">
        <v>74</v>
      </c>
      <c r="BA404" t="s">
        <v>74</v>
      </c>
      <c r="BB404">
        <v>343</v>
      </c>
      <c r="BC404">
        <v>360</v>
      </c>
      <c r="BD404" t="s">
        <v>74</v>
      </c>
      <c r="BE404" t="s">
        <v>7715</v>
      </c>
      <c r="BF404" t="str">
        <f>HYPERLINK("http://dx.doi.org/10.1017/S0954102010000179","http://dx.doi.org/10.1017/S0954102010000179")</f>
        <v>http://dx.doi.org/10.1017/S0954102010000179</v>
      </c>
      <c r="BG404" t="s">
        <v>74</v>
      </c>
      <c r="BH404" t="s">
        <v>74</v>
      </c>
      <c r="BI404">
        <v>18</v>
      </c>
      <c r="BJ404" t="s">
        <v>755</v>
      </c>
      <c r="BK404" t="s">
        <v>100</v>
      </c>
      <c r="BL404" t="s">
        <v>756</v>
      </c>
      <c r="BM404" t="s">
        <v>7682</v>
      </c>
      <c r="BN404" t="s">
        <v>74</v>
      </c>
      <c r="BO404" t="s">
        <v>74</v>
      </c>
      <c r="BP404" t="s">
        <v>74</v>
      </c>
      <c r="BQ404" t="s">
        <v>74</v>
      </c>
      <c r="BR404" t="s">
        <v>104</v>
      </c>
      <c r="BS404" t="s">
        <v>7716</v>
      </c>
      <c r="BT404" t="str">
        <f>HYPERLINK("https%3A%2F%2Fwww.webofscience.com%2Fwos%2Fwoscc%2Ffull-record%2FWOS:000280934100003","View Full Record in Web of Science")</f>
        <v>View Full Record in Web of Science</v>
      </c>
    </row>
    <row r="405" spans="1:72" x14ac:dyDescent="0.15">
      <c r="A405" t="s">
        <v>72</v>
      </c>
      <c r="B405" t="s">
        <v>7717</v>
      </c>
      <c r="C405" t="s">
        <v>74</v>
      </c>
      <c r="D405" t="s">
        <v>74</v>
      </c>
      <c r="E405" t="s">
        <v>74</v>
      </c>
      <c r="F405" t="s">
        <v>7718</v>
      </c>
      <c r="G405" t="s">
        <v>74</v>
      </c>
      <c r="H405" t="s">
        <v>74</v>
      </c>
      <c r="I405" t="s">
        <v>7719</v>
      </c>
      <c r="J405" t="s">
        <v>2257</v>
      </c>
      <c r="K405" t="s">
        <v>74</v>
      </c>
      <c r="L405" t="s">
        <v>74</v>
      </c>
      <c r="M405" t="s">
        <v>78</v>
      </c>
      <c r="N405" t="s">
        <v>79</v>
      </c>
      <c r="O405" t="s">
        <v>74</v>
      </c>
      <c r="P405" t="s">
        <v>74</v>
      </c>
      <c r="Q405" t="s">
        <v>74</v>
      </c>
      <c r="R405" t="s">
        <v>74</v>
      </c>
      <c r="S405" t="s">
        <v>74</v>
      </c>
      <c r="T405" t="s">
        <v>7720</v>
      </c>
      <c r="U405" t="s">
        <v>7721</v>
      </c>
      <c r="V405" t="s">
        <v>7722</v>
      </c>
      <c r="W405" t="s">
        <v>7723</v>
      </c>
      <c r="X405" t="s">
        <v>7724</v>
      </c>
      <c r="Y405" t="s">
        <v>7725</v>
      </c>
      <c r="Z405" t="s">
        <v>7726</v>
      </c>
      <c r="AA405" t="s">
        <v>7727</v>
      </c>
      <c r="AB405" t="s">
        <v>7728</v>
      </c>
      <c r="AC405" t="s">
        <v>7729</v>
      </c>
      <c r="AD405" t="s">
        <v>7729</v>
      </c>
      <c r="AE405" t="s">
        <v>7730</v>
      </c>
      <c r="AF405" t="s">
        <v>74</v>
      </c>
      <c r="AG405">
        <v>56</v>
      </c>
      <c r="AH405">
        <v>22</v>
      </c>
      <c r="AI405">
        <v>25</v>
      </c>
      <c r="AJ405">
        <v>0</v>
      </c>
      <c r="AK405">
        <v>18</v>
      </c>
      <c r="AL405" t="s">
        <v>851</v>
      </c>
      <c r="AM405" t="s">
        <v>310</v>
      </c>
      <c r="AN405" t="s">
        <v>852</v>
      </c>
      <c r="AO405" t="s">
        <v>2269</v>
      </c>
      <c r="AP405" t="s">
        <v>74</v>
      </c>
      <c r="AQ405" t="s">
        <v>74</v>
      </c>
      <c r="AR405" t="s">
        <v>2271</v>
      </c>
      <c r="AS405" t="s">
        <v>2272</v>
      </c>
      <c r="AT405" t="s">
        <v>7680</v>
      </c>
      <c r="AU405">
        <v>2010</v>
      </c>
      <c r="AV405">
        <v>22</v>
      </c>
      <c r="AW405">
        <v>4</v>
      </c>
      <c r="AX405" t="s">
        <v>74</v>
      </c>
      <c r="AY405" t="s">
        <v>74</v>
      </c>
      <c r="AZ405" t="s">
        <v>74</v>
      </c>
      <c r="BA405" t="s">
        <v>74</v>
      </c>
      <c r="BB405">
        <v>361</v>
      </c>
      <c r="BC405">
        <v>370</v>
      </c>
      <c r="BD405" t="s">
        <v>74</v>
      </c>
      <c r="BE405" t="s">
        <v>7731</v>
      </c>
      <c r="BF405" t="str">
        <f>HYPERLINK("http://dx.doi.org/10.1017/S0954102010000192","http://dx.doi.org/10.1017/S0954102010000192")</f>
        <v>http://dx.doi.org/10.1017/S0954102010000192</v>
      </c>
      <c r="BG405" t="s">
        <v>74</v>
      </c>
      <c r="BH405" t="s">
        <v>74</v>
      </c>
      <c r="BI405">
        <v>10</v>
      </c>
      <c r="BJ405" t="s">
        <v>755</v>
      </c>
      <c r="BK405" t="s">
        <v>100</v>
      </c>
      <c r="BL405" t="s">
        <v>756</v>
      </c>
      <c r="BM405" t="s">
        <v>7682</v>
      </c>
      <c r="BN405" t="s">
        <v>74</v>
      </c>
      <c r="BO405" t="s">
        <v>74</v>
      </c>
      <c r="BP405" t="s">
        <v>74</v>
      </c>
      <c r="BQ405" t="s">
        <v>74</v>
      </c>
      <c r="BR405" t="s">
        <v>104</v>
      </c>
      <c r="BS405" t="s">
        <v>7732</v>
      </c>
      <c r="BT405" t="str">
        <f>HYPERLINK("https%3A%2F%2Fwww.webofscience.com%2Fwos%2Fwoscc%2Ffull-record%2FWOS:000280934100004","View Full Record in Web of Science")</f>
        <v>View Full Record in Web of Science</v>
      </c>
    </row>
    <row r="406" spans="1:72" x14ac:dyDescent="0.15">
      <c r="A406" t="s">
        <v>72</v>
      </c>
      <c r="B406" t="s">
        <v>7733</v>
      </c>
      <c r="C406" t="s">
        <v>74</v>
      </c>
      <c r="D406" t="s">
        <v>74</v>
      </c>
      <c r="E406" t="s">
        <v>74</v>
      </c>
      <c r="F406" t="s">
        <v>7734</v>
      </c>
      <c r="G406" t="s">
        <v>74</v>
      </c>
      <c r="H406" t="s">
        <v>74</v>
      </c>
      <c r="I406" t="s">
        <v>7735</v>
      </c>
      <c r="J406" t="s">
        <v>2257</v>
      </c>
      <c r="K406" t="s">
        <v>74</v>
      </c>
      <c r="L406" t="s">
        <v>74</v>
      </c>
      <c r="M406" t="s">
        <v>78</v>
      </c>
      <c r="N406" t="s">
        <v>79</v>
      </c>
      <c r="O406" t="s">
        <v>74</v>
      </c>
      <c r="P406" t="s">
        <v>74</v>
      </c>
      <c r="Q406" t="s">
        <v>74</v>
      </c>
      <c r="R406" t="s">
        <v>74</v>
      </c>
      <c r="S406" t="s">
        <v>74</v>
      </c>
      <c r="T406" t="s">
        <v>7736</v>
      </c>
      <c r="U406" t="s">
        <v>7737</v>
      </c>
      <c r="V406" t="s">
        <v>7738</v>
      </c>
      <c r="W406" t="s">
        <v>7739</v>
      </c>
      <c r="X406" t="s">
        <v>7740</v>
      </c>
      <c r="Y406" t="s">
        <v>7741</v>
      </c>
      <c r="Z406" t="s">
        <v>7742</v>
      </c>
      <c r="AA406" t="s">
        <v>74</v>
      </c>
      <c r="AB406" t="s">
        <v>7743</v>
      </c>
      <c r="AC406" t="s">
        <v>74</v>
      </c>
      <c r="AD406" t="s">
        <v>74</v>
      </c>
      <c r="AE406" t="s">
        <v>74</v>
      </c>
      <c r="AF406" t="s">
        <v>74</v>
      </c>
      <c r="AG406">
        <v>30</v>
      </c>
      <c r="AH406">
        <v>49</v>
      </c>
      <c r="AI406">
        <v>54</v>
      </c>
      <c r="AJ406">
        <v>0</v>
      </c>
      <c r="AK406">
        <v>14</v>
      </c>
      <c r="AL406" t="s">
        <v>851</v>
      </c>
      <c r="AM406" t="s">
        <v>310</v>
      </c>
      <c r="AN406" t="s">
        <v>852</v>
      </c>
      <c r="AO406" t="s">
        <v>2269</v>
      </c>
      <c r="AP406" t="s">
        <v>74</v>
      </c>
      <c r="AQ406" t="s">
        <v>74</v>
      </c>
      <c r="AR406" t="s">
        <v>2271</v>
      </c>
      <c r="AS406" t="s">
        <v>2272</v>
      </c>
      <c r="AT406" t="s">
        <v>7680</v>
      </c>
      <c r="AU406">
        <v>2010</v>
      </c>
      <c r="AV406">
        <v>22</v>
      </c>
      <c r="AW406">
        <v>4</v>
      </c>
      <c r="AX406" t="s">
        <v>74</v>
      </c>
      <c r="AY406" t="s">
        <v>74</v>
      </c>
      <c r="AZ406" t="s">
        <v>74</v>
      </c>
      <c r="BA406" t="s">
        <v>74</v>
      </c>
      <c r="BB406">
        <v>371</v>
      </c>
      <c r="BC406">
        <v>378</v>
      </c>
      <c r="BD406" t="s">
        <v>74</v>
      </c>
      <c r="BE406" t="s">
        <v>7744</v>
      </c>
      <c r="BF406" t="str">
        <f>HYPERLINK("http://dx.doi.org/10.1017/S0954102010000180","http://dx.doi.org/10.1017/S0954102010000180")</f>
        <v>http://dx.doi.org/10.1017/S0954102010000180</v>
      </c>
      <c r="BG406" t="s">
        <v>74</v>
      </c>
      <c r="BH406" t="s">
        <v>74</v>
      </c>
      <c r="BI406">
        <v>8</v>
      </c>
      <c r="BJ406" t="s">
        <v>755</v>
      </c>
      <c r="BK406" t="s">
        <v>100</v>
      </c>
      <c r="BL406" t="s">
        <v>756</v>
      </c>
      <c r="BM406" t="s">
        <v>7682</v>
      </c>
      <c r="BN406" t="s">
        <v>74</v>
      </c>
      <c r="BO406" t="s">
        <v>74</v>
      </c>
      <c r="BP406" t="s">
        <v>74</v>
      </c>
      <c r="BQ406" t="s">
        <v>74</v>
      </c>
      <c r="BR406" t="s">
        <v>104</v>
      </c>
      <c r="BS406" t="s">
        <v>7745</v>
      </c>
      <c r="BT406" t="str">
        <f>HYPERLINK("https%3A%2F%2Fwww.webofscience.com%2Fwos%2Fwoscc%2Ffull-record%2FWOS:000280934100005","View Full Record in Web of Science")</f>
        <v>View Full Record in Web of Science</v>
      </c>
    </row>
    <row r="407" spans="1:72" x14ac:dyDescent="0.15">
      <c r="A407" t="s">
        <v>72</v>
      </c>
      <c r="B407" t="s">
        <v>7746</v>
      </c>
      <c r="C407" t="s">
        <v>74</v>
      </c>
      <c r="D407" t="s">
        <v>74</v>
      </c>
      <c r="E407" t="s">
        <v>74</v>
      </c>
      <c r="F407" t="s">
        <v>7747</v>
      </c>
      <c r="G407" t="s">
        <v>74</v>
      </c>
      <c r="H407" t="s">
        <v>74</v>
      </c>
      <c r="I407" t="s">
        <v>7748</v>
      </c>
      <c r="J407" t="s">
        <v>2257</v>
      </c>
      <c r="K407" t="s">
        <v>74</v>
      </c>
      <c r="L407" t="s">
        <v>74</v>
      </c>
      <c r="M407" t="s">
        <v>78</v>
      </c>
      <c r="N407" t="s">
        <v>79</v>
      </c>
      <c r="O407" t="s">
        <v>74</v>
      </c>
      <c r="P407" t="s">
        <v>74</v>
      </c>
      <c r="Q407" t="s">
        <v>74</v>
      </c>
      <c r="R407" t="s">
        <v>74</v>
      </c>
      <c r="S407" t="s">
        <v>74</v>
      </c>
      <c r="T407" t="s">
        <v>7749</v>
      </c>
      <c r="U407" t="s">
        <v>7750</v>
      </c>
      <c r="V407" t="s">
        <v>7751</v>
      </c>
      <c r="W407" t="s">
        <v>7752</v>
      </c>
      <c r="X407" t="s">
        <v>7753</v>
      </c>
      <c r="Y407" t="s">
        <v>7754</v>
      </c>
      <c r="Z407" t="s">
        <v>7755</v>
      </c>
      <c r="AA407" t="s">
        <v>7756</v>
      </c>
      <c r="AB407" t="s">
        <v>7757</v>
      </c>
      <c r="AC407" t="s">
        <v>7758</v>
      </c>
      <c r="AD407" t="s">
        <v>7759</v>
      </c>
      <c r="AE407" t="s">
        <v>7760</v>
      </c>
      <c r="AF407" t="s">
        <v>74</v>
      </c>
      <c r="AG407">
        <v>32</v>
      </c>
      <c r="AH407">
        <v>5</v>
      </c>
      <c r="AI407">
        <v>5</v>
      </c>
      <c r="AJ407">
        <v>0</v>
      </c>
      <c r="AK407">
        <v>18</v>
      </c>
      <c r="AL407" t="s">
        <v>851</v>
      </c>
      <c r="AM407" t="s">
        <v>310</v>
      </c>
      <c r="AN407" t="s">
        <v>852</v>
      </c>
      <c r="AO407" t="s">
        <v>2269</v>
      </c>
      <c r="AP407" t="s">
        <v>2270</v>
      </c>
      <c r="AQ407" t="s">
        <v>74</v>
      </c>
      <c r="AR407" t="s">
        <v>2271</v>
      </c>
      <c r="AS407" t="s">
        <v>2272</v>
      </c>
      <c r="AT407" t="s">
        <v>7680</v>
      </c>
      <c r="AU407">
        <v>2010</v>
      </c>
      <c r="AV407">
        <v>22</v>
      </c>
      <c r="AW407">
        <v>4</v>
      </c>
      <c r="AX407" t="s">
        <v>74</v>
      </c>
      <c r="AY407" t="s">
        <v>74</v>
      </c>
      <c r="AZ407" t="s">
        <v>74</v>
      </c>
      <c r="BA407" t="s">
        <v>74</v>
      </c>
      <c r="BB407">
        <v>379</v>
      </c>
      <c r="BC407">
        <v>385</v>
      </c>
      <c r="BD407" t="s">
        <v>74</v>
      </c>
      <c r="BE407" t="s">
        <v>7761</v>
      </c>
      <c r="BF407" t="str">
        <f>HYPERLINK("http://dx.doi.org/10.1017/S0954102010000040","http://dx.doi.org/10.1017/S0954102010000040")</f>
        <v>http://dx.doi.org/10.1017/S0954102010000040</v>
      </c>
      <c r="BG407" t="s">
        <v>74</v>
      </c>
      <c r="BH407" t="s">
        <v>74</v>
      </c>
      <c r="BI407">
        <v>7</v>
      </c>
      <c r="BJ407" t="s">
        <v>755</v>
      </c>
      <c r="BK407" t="s">
        <v>100</v>
      </c>
      <c r="BL407" t="s">
        <v>756</v>
      </c>
      <c r="BM407" t="s">
        <v>7682</v>
      </c>
      <c r="BN407" t="s">
        <v>74</v>
      </c>
      <c r="BO407" t="s">
        <v>74</v>
      </c>
      <c r="BP407" t="s">
        <v>74</v>
      </c>
      <c r="BQ407" t="s">
        <v>74</v>
      </c>
      <c r="BR407" t="s">
        <v>104</v>
      </c>
      <c r="BS407" t="s">
        <v>7762</v>
      </c>
      <c r="BT407" t="str">
        <f>HYPERLINK("https%3A%2F%2Fwww.webofscience.com%2Fwos%2Fwoscc%2Ffull-record%2FWOS:000280934100006","View Full Record in Web of Science")</f>
        <v>View Full Record in Web of Science</v>
      </c>
    </row>
    <row r="408" spans="1:72" x14ac:dyDescent="0.15">
      <c r="A408" t="s">
        <v>72</v>
      </c>
      <c r="B408" t="s">
        <v>7763</v>
      </c>
      <c r="C408" t="s">
        <v>74</v>
      </c>
      <c r="D408" t="s">
        <v>74</v>
      </c>
      <c r="E408" t="s">
        <v>74</v>
      </c>
      <c r="F408" t="s">
        <v>7764</v>
      </c>
      <c r="G408" t="s">
        <v>74</v>
      </c>
      <c r="H408" t="s">
        <v>74</v>
      </c>
      <c r="I408" t="s">
        <v>7765</v>
      </c>
      <c r="J408" t="s">
        <v>2257</v>
      </c>
      <c r="K408" t="s">
        <v>74</v>
      </c>
      <c r="L408" t="s">
        <v>74</v>
      </c>
      <c r="M408" t="s">
        <v>78</v>
      </c>
      <c r="N408" t="s">
        <v>79</v>
      </c>
      <c r="O408" t="s">
        <v>74</v>
      </c>
      <c r="P408" t="s">
        <v>74</v>
      </c>
      <c r="Q408" t="s">
        <v>74</v>
      </c>
      <c r="R408" t="s">
        <v>74</v>
      </c>
      <c r="S408" t="s">
        <v>74</v>
      </c>
      <c r="T408" t="s">
        <v>7766</v>
      </c>
      <c r="U408" t="s">
        <v>7767</v>
      </c>
      <c r="V408" t="s">
        <v>7768</v>
      </c>
      <c r="W408" t="s">
        <v>7769</v>
      </c>
      <c r="X408" t="s">
        <v>690</v>
      </c>
      <c r="Y408" t="s">
        <v>7770</v>
      </c>
      <c r="Z408" t="s">
        <v>7771</v>
      </c>
      <c r="AA408" t="s">
        <v>74</v>
      </c>
      <c r="AB408" t="s">
        <v>74</v>
      </c>
      <c r="AC408" t="s">
        <v>693</v>
      </c>
      <c r="AD408" t="s">
        <v>337</v>
      </c>
      <c r="AE408" t="s">
        <v>74</v>
      </c>
      <c r="AF408" t="s">
        <v>74</v>
      </c>
      <c r="AG408">
        <v>89</v>
      </c>
      <c r="AH408">
        <v>44</v>
      </c>
      <c r="AI408">
        <v>48</v>
      </c>
      <c r="AJ408">
        <v>1</v>
      </c>
      <c r="AK408">
        <v>67</v>
      </c>
      <c r="AL408" t="s">
        <v>851</v>
      </c>
      <c r="AM408" t="s">
        <v>310</v>
      </c>
      <c r="AN408" t="s">
        <v>852</v>
      </c>
      <c r="AO408" t="s">
        <v>2269</v>
      </c>
      <c r="AP408" t="s">
        <v>2270</v>
      </c>
      <c r="AQ408" t="s">
        <v>74</v>
      </c>
      <c r="AR408" t="s">
        <v>2271</v>
      </c>
      <c r="AS408" t="s">
        <v>2272</v>
      </c>
      <c r="AT408" t="s">
        <v>7680</v>
      </c>
      <c r="AU408">
        <v>2010</v>
      </c>
      <c r="AV408">
        <v>22</v>
      </c>
      <c r="AW408">
        <v>4</v>
      </c>
      <c r="AX408" t="s">
        <v>74</v>
      </c>
      <c r="AY408" t="s">
        <v>74</v>
      </c>
      <c r="AZ408" t="s">
        <v>74</v>
      </c>
      <c r="BA408" t="s">
        <v>74</v>
      </c>
      <c r="BB408">
        <v>387</v>
      </c>
      <c r="BC408">
        <v>398</v>
      </c>
      <c r="BD408" t="s">
        <v>74</v>
      </c>
      <c r="BE408" t="s">
        <v>7772</v>
      </c>
      <c r="BF408" t="str">
        <f>HYPERLINK("http://dx.doi.org/10.1017/S0954102010000222","http://dx.doi.org/10.1017/S0954102010000222")</f>
        <v>http://dx.doi.org/10.1017/S0954102010000222</v>
      </c>
      <c r="BG408" t="s">
        <v>74</v>
      </c>
      <c r="BH408" t="s">
        <v>74</v>
      </c>
      <c r="BI408">
        <v>12</v>
      </c>
      <c r="BJ408" t="s">
        <v>755</v>
      </c>
      <c r="BK408" t="s">
        <v>100</v>
      </c>
      <c r="BL408" t="s">
        <v>756</v>
      </c>
      <c r="BM408" t="s">
        <v>7682</v>
      </c>
      <c r="BN408" t="s">
        <v>74</v>
      </c>
      <c r="BO408" t="s">
        <v>1025</v>
      </c>
      <c r="BP408" t="s">
        <v>74</v>
      </c>
      <c r="BQ408" t="s">
        <v>74</v>
      </c>
      <c r="BR408" t="s">
        <v>104</v>
      </c>
      <c r="BS408" t="s">
        <v>7773</v>
      </c>
      <c r="BT408" t="str">
        <f>HYPERLINK("https%3A%2F%2Fwww.webofscience.com%2Fwos%2Fwoscc%2Ffull-record%2FWOS:000280934100007","View Full Record in Web of Science")</f>
        <v>View Full Record in Web of Science</v>
      </c>
    </row>
    <row r="409" spans="1:72" x14ac:dyDescent="0.15">
      <c r="A409" t="s">
        <v>72</v>
      </c>
      <c r="B409" t="s">
        <v>7774</v>
      </c>
      <c r="C409" t="s">
        <v>74</v>
      </c>
      <c r="D409" t="s">
        <v>74</v>
      </c>
      <c r="E409" t="s">
        <v>74</v>
      </c>
      <c r="F409" t="s">
        <v>7775</v>
      </c>
      <c r="G409" t="s">
        <v>74</v>
      </c>
      <c r="H409" t="s">
        <v>74</v>
      </c>
      <c r="I409" t="s">
        <v>7776</v>
      </c>
      <c r="J409" t="s">
        <v>2257</v>
      </c>
      <c r="K409" t="s">
        <v>74</v>
      </c>
      <c r="L409" t="s">
        <v>74</v>
      </c>
      <c r="M409" t="s">
        <v>78</v>
      </c>
      <c r="N409" t="s">
        <v>79</v>
      </c>
      <c r="O409" t="s">
        <v>74</v>
      </c>
      <c r="P409" t="s">
        <v>74</v>
      </c>
      <c r="Q409" t="s">
        <v>74</v>
      </c>
      <c r="R409" t="s">
        <v>74</v>
      </c>
      <c r="S409" t="s">
        <v>74</v>
      </c>
      <c r="T409" t="s">
        <v>7777</v>
      </c>
      <c r="U409" t="s">
        <v>7778</v>
      </c>
      <c r="V409" t="s">
        <v>7779</v>
      </c>
      <c r="W409" t="s">
        <v>7780</v>
      </c>
      <c r="X409" t="s">
        <v>7781</v>
      </c>
      <c r="Y409" t="s">
        <v>7782</v>
      </c>
      <c r="Z409" t="s">
        <v>7783</v>
      </c>
      <c r="AA409" t="s">
        <v>7784</v>
      </c>
      <c r="AB409" t="s">
        <v>7785</v>
      </c>
      <c r="AC409" t="s">
        <v>7786</v>
      </c>
      <c r="AD409" t="s">
        <v>7786</v>
      </c>
      <c r="AE409" t="s">
        <v>7787</v>
      </c>
      <c r="AF409" t="s">
        <v>74</v>
      </c>
      <c r="AG409">
        <v>38</v>
      </c>
      <c r="AH409">
        <v>12</v>
      </c>
      <c r="AI409">
        <v>14</v>
      </c>
      <c r="AJ409">
        <v>0</v>
      </c>
      <c r="AK409">
        <v>12</v>
      </c>
      <c r="AL409" t="s">
        <v>851</v>
      </c>
      <c r="AM409" t="s">
        <v>310</v>
      </c>
      <c r="AN409" t="s">
        <v>852</v>
      </c>
      <c r="AO409" t="s">
        <v>2269</v>
      </c>
      <c r="AP409" t="s">
        <v>2270</v>
      </c>
      <c r="AQ409" t="s">
        <v>74</v>
      </c>
      <c r="AR409" t="s">
        <v>2271</v>
      </c>
      <c r="AS409" t="s">
        <v>2272</v>
      </c>
      <c r="AT409" t="s">
        <v>7680</v>
      </c>
      <c r="AU409">
        <v>2010</v>
      </c>
      <c r="AV409">
        <v>22</v>
      </c>
      <c r="AW409">
        <v>4</v>
      </c>
      <c r="AX409" t="s">
        <v>74</v>
      </c>
      <c r="AY409" t="s">
        <v>74</v>
      </c>
      <c r="AZ409" t="s">
        <v>74</v>
      </c>
      <c r="BA409" t="s">
        <v>74</v>
      </c>
      <c r="BB409">
        <v>399</v>
      </c>
      <c r="BC409">
        <v>407</v>
      </c>
      <c r="BD409" t="s">
        <v>74</v>
      </c>
      <c r="BE409" t="s">
        <v>7788</v>
      </c>
      <c r="BF409" t="str">
        <f>HYPERLINK("http://dx.doi.org/10.1017/S0954102010000210","http://dx.doi.org/10.1017/S0954102010000210")</f>
        <v>http://dx.doi.org/10.1017/S0954102010000210</v>
      </c>
      <c r="BG409" t="s">
        <v>74</v>
      </c>
      <c r="BH409" t="s">
        <v>74</v>
      </c>
      <c r="BI409">
        <v>9</v>
      </c>
      <c r="BJ409" t="s">
        <v>755</v>
      </c>
      <c r="BK409" t="s">
        <v>100</v>
      </c>
      <c r="BL409" t="s">
        <v>756</v>
      </c>
      <c r="BM409" t="s">
        <v>7682</v>
      </c>
      <c r="BN409" t="s">
        <v>74</v>
      </c>
      <c r="BO409" t="s">
        <v>74</v>
      </c>
      <c r="BP409" t="s">
        <v>74</v>
      </c>
      <c r="BQ409" t="s">
        <v>74</v>
      </c>
      <c r="BR409" t="s">
        <v>104</v>
      </c>
      <c r="BS409" t="s">
        <v>7789</v>
      </c>
      <c r="BT409" t="str">
        <f>HYPERLINK("https%3A%2F%2Fwww.webofscience.com%2Fwos%2Fwoscc%2Ffull-record%2FWOS:000280934100008","View Full Record in Web of Science")</f>
        <v>View Full Record in Web of Science</v>
      </c>
    </row>
    <row r="410" spans="1:72" x14ac:dyDescent="0.15">
      <c r="A410" t="s">
        <v>72</v>
      </c>
      <c r="B410" t="s">
        <v>7790</v>
      </c>
      <c r="C410" t="s">
        <v>74</v>
      </c>
      <c r="D410" t="s">
        <v>74</v>
      </c>
      <c r="E410" t="s">
        <v>74</v>
      </c>
      <c r="F410" t="s">
        <v>7791</v>
      </c>
      <c r="G410" t="s">
        <v>74</v>
      </c>
      <c r="H410" t="s">
        <v>74</v>
      </c>
      <c r="I410" t="s">
        <v>7792</v>
      </c>
      <c r="J410" t="s">
        <v>2257</v>
      </c>
      <c r="K410" t="s">
        <v>74</v>
      </c>
      <c r="L410" t="s">
        <v>74</v>
      </c>
      <c r="M410" t="s">
        <v>78</v>
      </c>
      <c r="N410" t="s">
        <v>79</v>
      </c>
      <c r="O410" t="s">
        <v>74</v>
      </c>
      <c r="P410" t="s">
        <v>74</v>
      </c>
      <c r="Q410" t="s">
        <v>74</v>
      </c>
      <c r="R410" t="s">
        <v>74</v>
      </c>
      <c r="S410" t="s">
        <v>74</v>
      </c>
      <c r="T410" t="s">
        <v>7793</v>
      </c>
      <c r="U410" t="s">
        <v>7794</v>
      </c>
      <c r="V410" t="s">
        <v>7795</v>
      </c>
      <c r="W410" t="s">
        <v>7796</v>
      </c>
      <c r="X410" t="s">
        <v>1837</v>
      </c>
      <c r="Y410" t="s">
        <v>7797</v>
      </c>
      <c r="Z410" t="s">
        <v>7798</v>
      </c>
      <c r="AA410" t="s">
        <v>74</v>
      </c>
      <c r="AB410" t="s">
        <v>74</v>
      </c>
      <c r="AC410" t="s">
        <v>7799</v>
      </c>
      <c r="AD410" t="s">
        <v>7800</v>
      </c>
      <c r="AE410" t="s">
        <v>7801</v>
      </c>
      <c r="AF410" t="s">
        <v>74</v>
      </c>
      <c r="AG410">
        <v>45</v>
      </c>
      <c r="AH410">
        <v>11</v>
      </c>
      <c r="AI410">
        <v>12</v>
      </c>
      <c r="AJ410">
        <v>0</v>
      </c>
      <c r="AK410">
        <v>8</v>
      </c>
      <c r="AL410" t="s">
        <v>851</v>
      </c>
      <c r="AM410" t="s">
        <v>310</v>
      </c>
      <c r="AN410" t="s">
        <v>852</v>
      </c>
      <c r="AO410" t="s">
        <v>2269</v>
      </c>
      <c r="AP410" t="s">
        <v>2270</v>
      </c>
      <c r="AQ410" t="s">
        <v>74</v>
      </c>
      <c r="AR410" t="s">
        <v>2271</v>
      </c>
      <c r="AS410" t="s">
        <v>2272</v>
      </c>
      <c r="AT410" t="s">
        <v>7680</v>
      </c>
      <c r="AU410">
        <v>2010</v>
      </c>
      <c r="AV410">
        <v>22</v>
      </c>
      <c r="AW410">
        <v>4</v>
      </c>
      <c r="AX410" t="s">
        <v>74</v>
      </c>
      <c r="AY410" t="s">
        <v>74</v>
      </c>
      <c r="AZ410" t="s">
        <v>74</v>
      </c>
      <c r="BA410" t="s">
        <v>74</v>
      </c>
      <c r="BB410">
        <v>409</v>
      </c>
      <c r="BC410">
        <v>417</v>
      </c>
      <c r="BD410" t="s">
        <v>74</v>
      </c>
      <c r="BE410" t="s">
        <v>7802</v>
      </c>
      <c r="BF410" t="str">
        <f>HYPERLINK("http://dx.doi.org/10.1017/S0954102010000167","http://dx.doi.org/10.1017/S0954102010000167")</f>
        <v>http://dx.doi.org/10.1017/S0954102010000167</v>
      </c>
      <c r="BG410" t="s">
        <v>74</v>
      </c>
      <c r="BH410" t="s">
        <v>74</v>
      </c>
      <c r="BI410">
        <v>9</v>
      </c>
      <c r="BJ410" t="s">
        <v>755</v>
      </c>
      <c r="BK410" t="s">
        <v>100</v>
      </c>
      <c r="BL410" t="s">
        <v>756</v>
      </c>
      <c r="BM410" t="s">
        <v>7682</v>
      </c>
      <c r="BN410" t="s">
        <v>74</v>
      </c>
      <c r="BO410" t="s">
        <v>74</v>
      </c>
      <c r="BP410" t="s">
        <v>74</v>
      </c>
      <c r="BQ410" t="s">
        <v>74</v>
      </c>
      <c r="BR410" t="s">
        <v>104</v>
      </c>
      <c r="BS410" t="s">
        <v>7803</v>
      </c>
      <c r="BT410" t="str">
        <f>HYPERLINK("https%3A%2F%2Fwww.webofscience.com%2Fwos%2Fwoscc%2Ffull-record%2FWOS:000280934100009","View Full Record in Web of Science")</f>
        <v>View Full Record in Web of Science</v>
      </c>
    </row>
    <row r="411" spans="1:72" x14ac:dyDescent="0.15">
      <c r="A411" t="s">
        <v>72</v>
      </c>
      <c r="B411" t="s">
        <v>7804</v>
      </c>
      <c r="C411" t="s">
        <v>74</v>
      </c>
      <c r="D411" t="s">
        <v>74</v>
      </c>
      <c r="E411" t="s">
        <v>74</v>
      </c>
      <c r="F411" t="s">
        <v>7805</v>
      </c>
      <c r="G411" t="s">
        <v>74</v>
      </c>
      <c r="H411" t="s">
        <v>74</v>
      </c>
      <c r="I411" t="s">
        <v>7806</v>
      </c>
      <c r="J411" t="s">
        <v>2257</v>
      </c>
      <c r="K411" t="s">
        <v>74</v>
      </c>
      <c r="L411" t="s">
        <v>74</v>
      </c>
      <c r="M411" t="s">
        <v>78</v>
      </c>
      <c r="N411" t="s">
        <v>79</v>
      </c>
      <c r="O411" t="s">
        <v>74</v>
      </c>
      <c r="P411" t="s">
        <v>74</v>
      </c>
      <c r="Q411" t="s">
        <v>74</v>
      </c>
      <c r="R411" t="s">
        <v>74</v>
      </c>
      <c r="S411" t="s">
        <v>74</v>
      </c>
      <c r="T411" t="s">
        <v>7807</v>
      </c>
      <c r="U411" t="s">
        <v>7808</v>
      </c>
      <c r="V411" t="s">
        <v>7809</v>
      </c>
      <c r="W411" t="s">
        <v>7810</v>
      </c>
      <c r="X411" t="s">
        <v>7811</v>
      </c>
      <c r="Y411" t="s">
        <v>7812</v>
      </c>
      <c r="Z411" t="s">
        <v>7813</v>
      </c>
      <c r="AA411" t="s">
        <v>74</v>
      </c>
      <c r="AB411" t="s">
        <v>74</v>
      </c>
      <c r="AC411" t="s">
        <v>7814</v>
      </c>
      <c r="AD411" t="s">
        <v>7815</v>
      </c>
      <c r="AE411" t="s">
        <v>7816</v>
      </c>
      <c r="AF411" t="s">
        <v>74</v>
      </c>
      <c r="AG411">
        <v>45</v>
      </c>
      <c r="AH411">
        <v>14</v>
      </c>
      <c r="AI411">
        <v>21</v>
      </c>
      <c r="AJ411">
        <v>3</v>
      </c>
      <c r="AK411">
        <v>25</v>
      </c>
      <c r="AL411" t="s">
        <v>851</v>
      </c>
      <c r="AM411" t="s">
        <v>310</v>
      </c>
      <c r="AN411" t="s">
        <v>852</v>
      </c>
      <c r="AO411" t="s">
        <v>2269</v>
      </c>
      <c r="AP411" t="s">
        <v>2270</v>
      </c>
      <c r="AQ411" t="s">
        <v>74</v>
      </c>
      <c r="AR411" t="s">
        <v>2271</v>
      </c>
      <c r="AS411" t="s">
        <v>2272</v>
      </c>
      <c r="AT411" t="s">
        <v>7680</v>
      </c>
      <c r="AU411">
        <v>2010</v>
      </c>
      <c r="AV411">
        <v>22</v>
      </c>
      <c r="AW411">
        <v>4</v>
      </c>
      <c r="AX411" t="s">
        <v>74</v>
      </c>
      <c r="AY411" t="s">
        <v>74</v>
      </c>
      <c r="AZ411" t="s">
        <v>74</v>
      </c>
      <c r="BA411" t="s">
        <v>74</v>
      </c>
      <c r="BB411">
        <v>419</v>
      </c>
      <c r="BC411">
        <v>434</v>
      </c>
      <c r="BD411" t="s">
        <v>74</v>
      </c>
      <c r="BE411" t="s">
        <v>7817</v>
      </c>
      <c r="BF411" t="str">
        <f>HYPERLINK("http://dx.doi.org/10.1017/S0954102010000234","http://dx.doi.org/10.1017/S0954102010000234")</f>
        <v>http://dx.doi.org/10.1017/S0954102010000234</v>
      </c>
      <c r="BG411" t="s">
        <v>74</v>
      </c>
      <c r="BH411" t="s">
        <v>74</v>
      </c>
      <c r="BI411">
        <v>16</v>
      </c>
      <c r="BJ411" t="s">
        <v>755</v>
      </c>
      <c r="BK411" t="s">
        <v>100</v>
      </c>
      <c r="BL411" t="s">
        <v>756</v>
      </c>
      <c r="BM411" t="s">
        <v>7682</v>
      </c>
      <c r="BN411" t="s">
        <v>74</v>
      </c>
      <c r="BO411" t="s">
        <v>134</v>
      </c>
      <c r="BP411" t="s">
        <v>74</v>
      </c>
      <c r="BQ411" t="s">
        <v>74</v>
      </c>
      <c r="BR411" t="s">
        <v>104</v>
      </c>
      <c r="BS411" t="s">
        <v>7818</v>
      </c>
      <c r="BT411" t="str">
        <f>HYPERLINK("https%3A%2F%2Fwww.webofscience.com%2Fwos%2Fwoscc%2Ffull-record%2FWOS:000280934100010","View Full Record in Web of Science")</f>
        <v>View Full Record in Web of Science</v>
      </c>
    </row>
    <row r="412" spans="1:72" x14ac:dyDescent="0.15">
      <c r="A412" t="s">
        <v>72</v>
      </c>
      <c r="B412" t="s">
        <v>7819</v>
      </c>
      <c r="C412" t="s">
        <v>74</v>
      </c>
      <c r="D412" t="s">
        <v>74</v>
      </c>
      <c r="E412" t="s">
        <v>74</v>
      </c>
      <c r="F412" t="s">
        <v>7820</v>
      </c>
      <c r="G412" t="s">
        <v>74</v>
      </c>
      <c r="H412" t="s">
        <v>74</v>
      </c>
      <c r="I412" t="s">
        <v>7821</v>
      </c>
      <c r="J412" t="s">
        <v>2257</v>
      </c>
      <c r="K412" t="s">
        <v>74</v>
      </c>
      <c r="L412" t="s">
        <v>74</v>
      </c>
      <c r="M412" t="s">
        <v>78</v>
      </c>
      <c r="N412" t="s">
        <v>79</v>
      </c>
      <c r="O412" t="s">
        <v>74</v>
      </c>
      <c r="P412" t="s">
        <v>74</v>
      </c>
      <c r="Q412" t="s">
        <v>74</v>
      </c>
      <c r="R412" t="s">
        <v>74</v>
      </c>
      <c r="S412" t="s">
        <v>74</v>
      </c>
      <c r="T412" t="s">
        <v>7822</v>
      </c>
      <c r="U412" t="s">
        <v>7823</v>
      </c>
      <c r="V412" t="s">
        <v>7824</v>
      </c>
      <c r="W412" t="s">
        <v>7825</v>
      </c>
      <c r="X412" t="s">
        <v>7285</v>
      </c>
      <c r="Y412" t="s">
        <v>7826</v>
      </c>
      <c r="Z412" t="s">
        <v>7827</v>
      </c>
      <c r="AA412" t="s">
        <v>7286</v>
      </c>
      <c r="AB412" t="s">
        <v>7828</v>
      </c>
      <c r="AC412" t="s">
        <v>7829</v>
      </c>
      <c r="AD412" t="s">
        <v>7830</v>
      </c>
      <c r="AE412" t="s">
        <v>7831</v>
      </c>
      <c r="AF412" t="s">
        <v>74</v>
      </c>
      <c r="AG412">
        <v>25</v>
      </c>
      <c r="AH412">
        <v>12</v>
      </c>
      <c r="AI412">
        <v>17</v>
      </c>
      <c r="AJ412">
        <v>0</v>
      </c>
      <c r="AK412">
        <v>11</v>
      </c>
      <c r="AL412" t="s">
        <v>851</v>
      </c>
      <c r="AM412" t="s">
        <v>310</v>
      </c>
      <c r="AN412" t="s">
        <v>852</v>
      </c>
      <c r="AO412" t="s">
        <v>2269</v>
      </c>
      <c r="AP412" t="s">
        <v>74</v>
      </c>
      <c r="AQ412" t="s">
        <v>74</v>
      </c>
      <c r="AR412" t="s">
        <v>2271</v>
      </c>
      <c r="AS412" t="s">
        <v>2272</v>
      </c>
      <c r="AT412" t="s">
        <v>7680</v>
      </c>
      <c r="AU412">
        <v>2010</v>
      </c>
      <c r="AV412">
        <v>22</v>
      </c>
      <c r="AW412">
        <v>4</v>
      </c>
      <c r="AX412" t="s">
        <v>74</v>
      </c>
      <c r="AY412" t="s">
        <v>74</v>
      </c>
      <c r="AZ412" t="s">
        <v>74</v>
      </c>
      <c r="BA412" t="s">
        <v>74</v>
      </c>
      <c r="BB412">
        <v>435</v>
      </c>
      <c r="BC412">
        <v>441</v>
      </c>
      <c r="BD412" t="s">
        <v>74</v>
      </c>
      <c r="BE412" t="s">
        <v>7832</v>
      </c>
      <c r="BF412" t="str">
        <f>HYPERLINK("http://dx.doi.org/10.1017/S0954102010000155","http://dx.doi.org/10.1017/S0954102010000155")</f>
        <v>http://dx.doi.org/10.1017/S0954102010000155</v>
      </c>
      <c r="BG412" t="s">
        <v>74</v>
      </c>
      <c r="BH412" t="s">
        <v>74</v>
      </c>
      <c r="BI412">
        <v>7</v>
      </c>
      <c r="BJ412" t="s">
        <v>755</v>
      </c>
      <c r="BK412" t="s">
        <v>100</v>
      </c>
      <c r="BL412" t="s">
        <v>756</v>
      </c>
      <c r="BM412" t="s">
        <v>7682</v>
      </c>
      <c r="BN412" t="s">
        <v>74</v>
      </c>
      <c r="BO412" t="s">
        <v>74</v>
      </c>
      <c r="BP412" t="s">
        <v>74</v>
      </c>
      <c r="BQ412" t="s">
        <v>74</v>
      </c>
      <c r="BR412" t="s">
        <v>104</v>
      </c>
      <c r="BS412" t="s">
        <v>7833</v>
      </c>
      <c r="BT412" t="str">
        <f>HYPERLINK("https%3A%2F%2Fwww.webofscience.com%2Fwos%2Fwoscc%2Ffull-record%2FWOS:000280934100011","View Full Record in Web of Science")</f>
        <v>View Full Record in Web of Science</v>
      </c>
    </row>
    <row r="413" spans="1:72" x14ac:dyDescent="0.15">
      <c r="A413" t="s">
        <v>72</v>
      </c>
      <c r="B413" t="s">
        <v>7834</v>
      </c>
      <c r="C413" t="s">
        <v>74</v>
      </c>
      <c r="D413" t="s">
        <v>74</v>
      </c>
      <c r="E413" t="s">
        <v>74</v>
      </c>
      <c r="F413" t="s">
        <v>7835</v>
      </c>
      <c r="G413" t="s">
        <v>74</v>
      </c>
      <c r="H413" t="s">
        <v>74</v>
      </c>
      <c r="I413" t="s">
        <v>7836</v>
      </c>
      <c r="J413" t="s">
        <v>2257</v>
      </c>
      <c r="K413" t="s">
        <v>74</v>
      </c>
      <c r="L413" t="s">
        <v>74</v>
      </c>
      <c r="M413" t="s">
        <v>78</v>
      </c>
      <c r="N413" t="s">
        <v>79</v>
      </c>
      <c r="O413" t="s">
        <v>74</v>
      </c>
      <c r="P413" t="s">
        <v>74</v>
      </c>
      <c r="Q413" t="s">
        <v>74</v>
      </c>
      <c r="R413" t="s">
        <v>74</v>
      </c>
      <c r="S413" t="s">
        <v>74</v>
      </c>
      <c r="T413" t="s">
        <v>7837</v>
      </c>
      <c r="U413" t="s">
        <v>7838</v>
      </c>
      <c r="V413" t="s">
        <v>7839</v>
      </c>
      <c r="W413" t="s">
        <v>7840</v>
      </c>
      <c r="X413" t="s">
        <v>7841</v>
      </c>
      <c r="Y413" t="s">
        <v>7842</v>
      </c>
      <c r="Z413" t="s">
        <v>7843</v>
      </c>
      <c r="AA413" t="s">
        <v>7844</v>
      </c>
      <c r="AB413" t="s">
        <v>7845</v>
      </c>
      <c r="AC413" t="s">
        <v>7846</v>
      </c>
      <c r="AD413" t="s">
        <v>7847</v>
      </c>
      <c r="AE413" t="s">
        <v>7848</v>
      </c>
      <c r="AF413" t="s">
        <v>74</v>
      </c>
      <c r="AG413">
        <v>38</v>
      </c>
      <c r="AH413">
        <v>60</v>
      </c>
      <c r="AI413">
        <v>75</v>
      </c>
      <c r="AJ413">
        <v>0</v>
      </c>
      <c r="AK413">
        <v>19</v>
      </c>
      <c r="AL413" t="s">
        <v>851</v>
      </c>
      <c r="AM413" t="s">
        <v>310</v>
      </c>
      <c r="AN413" t="s">
        <v>852</v>
      </c>
      <c r="AO413" t="s">
        <v>2269</v>
      </c>
      <c r="AP413" t="s">
        <v>2270</v>
      </c>
      <c r="AQ413" t="s">
        <v>74</v>
      </c>
      <c r="AR413" t="s">
        <v>2271</v>
      </c>
      <c r="AS413" t="s">
        <v>2272</v>
      </c>
      <c r="AT413" t="s">
        <v>7680</v>
      </c>
      <c r="AU413">
        <v>2010</v>
      </c>
      <c r="AV413">
        <v>22</v>
      </c>
      <c r="AW413">
        <v>4</v>
      </c>
      <c r="AX413" t="s">
        <v>74</v>
      </c>
      <c r="AY413" t="s">
        <v>74</v>
      </c>
      <c r="AZ413" t="s">
        <v>74</v>
      </c>
      <c r="BA413" t="s">
        <v>74</v>
      </c>
      <c r="BB413">
        <v>443</v>
      </c>
      <c r="BC413">
        <v>459</v>
      </c>
      <c r="BD413" t="s">
        <v>74</v>
      </c>
      <c r="BE413" t="s">
        <v>7849</v>
      </c>
      <c r="BF413" t="str">
        <f>HYPERLINK("http://dx.doi.org/10.1017/S0954102010000209","http://dx.doi.org/10.1017/S0954102010000209")</f>
        <v>http://dx.doi.org/10.1017/S0954102010000209</v>
      </c>
      <c r="BG413" t="s">
        <v>74</v>
      </c>
      <c r="BH413" t="s">
        <v>74</v>
      </c>
      <c r="BI413">
        <v>17</v>
      </c>
      <c r="BJ413" t="s">
        <v>755</v>
      </c>
      <c r="BK413" t="s">
        <v>100</v>
      </c>
      <c r="BL413" t="s">
        <v>756</v>
      </c>
      <c r="BM413" t="s">
        <v>7682</v>
      </c>
      <c r="BN413" t="s">
        <v>74</v>
      </c>
      <c r="BO413" t="s">
        <v>74</v>
      </c>
      <c r="BP413" t="s">
        <v>74</v>
      </c>
      <c r="BQ413" t="s">
        <v>74</v>
      </c>
      <c r="BR413" t="s">
        <v>104</v>
      </c>
      <c r="BS413" t="s">
        <v>7850</v>
      </c>
      <c r="BT413" t="str">
        <f>HYPERLINK("https%3A%2F%2Fwww.webofscience.com%2Fwos%2Fwoscc%2Ffull-record%2FWOS:000280934100012","View Full Record in Web of Science")</f>
        <v>View Full Record in Web of Science</v>
      </c>
    </row>
    <row r="414" spans="1:72" x14ac:dyDescent="0.15">
      <c r="A414" t="s">
        <v>72</v>
      </c>
      <c r="B414" t="s">
        <v>7851</v>
      </c>
      <c r="C414" t="s">
        <v>74</v>
      </c>
      <c r="D414" t="s">
        <v>74</v>
      </c>
      <c r="E414" t="s">
        <v>74</v>
      </c>
      <c r="F414" t="s">
        <v>7852</v>
      </c>
      <c r="G414" t="s">
        <v>74</v>
      </c>
      <c r="H414" t="s">
        <v>74</v>
      </c>
      <c r="I414" t="s">
        <v>7853</v>
      </c>
      <c r="J414" t="s">
        <v>7854</v>
      </c>
      <c r="K414" t="s">
        <v>74</v>
      </c>
      <c r="L414" t="s">
        <v>74</v>
      </c>
      <c r="M414" t="s">
        <v>78</v>
      </c>
      <c r="N414" t="s">
        <v>79</v>
      </c>
      <c r="O414" t="s">
        <v>74</v>
      </c>
      <c r="P414" t="s">
        <v>74</v>
      </c>
      <c r="Q414" t="s">
        <v>74</v>
      </c>
      <c r="R414" t="s">
        <v>74</v>
      </c>
      <c r="S414" t="s">
        <v>74</v>
      </c>
      <c r="T414" t="s">
        <v>7855</v>
      </c>
      <c r="U414" t="s">
        <v>7856</v>
      </c>
      <c r="V414" t="s">
        <v>7857</v>
      </c>
      <c r="W414" t="s">
        <v>7858</v>
      </c>
      <c r="X414" t="s">
        <v>3374</v>
      </c>
      <c r="Y414" t="s">
        <v>3375</v>
      </c>
      <c r="Z414" t="s">
        <v>3376</v>
      </c>
      <c r="AA414" t="s">
        <v>7859</v>
      </c>
      <c r="AB414" t="s">
        <v>7860</v>
      </c>
      <c r="AC414" t="s">
        <v>7861</v>
      </c>
      <c r="AD414" t="s">
        <v>7862</v>
      </c>
      <c r="AE414" t="s">
        <v>7863</v>
      </c>
      <c r="AF414" t="s">
        <v>74</v>
      </c>
      <c r="AG414">
        <v>33</v>
      </c>
      <c r="AH414">
        <v>15</v>
      </c>
      <c r="AI414">
        <v>15</v>
      </c>
      <c r="AJ414">
        <v>0</v>
      </c>
      <c r="AK414">
        <v>8</v>
      </c>
      <c r="AL414" t="s">
        <v>464</v>
      </c>
      <c r="AM414" t="s">
        <v>310</v>
      </c>
      <c r="AN414" t="s">
        <v>971</v>
      </c>
      <c r="AO414" t="s">
        <v>7864</v>
      </c>
      <c r="AP414" t="s">
        <v>7865</v>
      </c>
      <c r="AQ414" t="s">
        <v>74</v>
      </c>
      <c r="AR414" t="s">
        <v>7866</v>
      </c>
      <c r="AS414" t="s">
        <v>7867</v>
      </c>
      <c r="AT414" t="s">
        <v>7680</v>
      </c>
      <c r="AU414">
        <v>2010</v>
      </c>
      <c r="AV414">
        <v>192</v>
      </c>
      <c r="AW414">
        <v>8</v>
      </c>
      <c r="AX414" t="s">
        <v>74</v>
      </c>
      <c r="AY414" t="s">
        <v>74</v>
      </c>
      <c r="AZ414" t="s">
        <v>74</v>
      </c>
      <c r="BA414" t="s">
        <v>74</v>
      </c>
      <c r="BB414">
        <v>663</v>
      </c>
      <c r="BC414">
        <v>672</v>
      </c>
      <c r="BD414" t="s">
        <v>74</v>
      </c>
      <c r="BE414" t="s">
        <v>7868</v>
      </c>
      <c r="BF414" t="str">
        <f>HYPERLINK("http://dx.doi.org/10.1007/s00203-010-0591-7","http://dx.doi.org/10.1007/s00203-010-0591-7")</f>
        <v>http://dx.doi.org/10.1007/s00203-010-0591-7</v>
      </c>
      <c r="BG414" t="s">
        <v>74</v>
      </c>
      <c r="BH414" t="s">
        <v>74</v>
      </c>
      <c r="BI414">
        <v>10</v>
      </c>
      <c r="BJ414" t="s">
        <v>737</v>
      </c>
      <c r="BK414" t="s">
        <v>100</v>
      </c>
      <c r="BL414" t="s">
        <v>737</v>
      </c>
      <c r="BM414" t="s">
        <v>7869</v>
      </c>
      <c r="BN414">
        <v>20552170</v>
      </c>
      <c r="BO414" t="s">
        <v>74</v>
      </c>
      <c r="BP414" t="s">
        <v>74</v>
      </c>
      <c r="BQ414" t="s">
        <v>74</v>
      </c>
      <c r="BR414" t="s">
        <v>104</v>
      </c>
      <c r="BS414" t="s">
        <v>7870</v>
      </c>
      <c r="BT414" t="str">
        <f>HYPERLINK("https%3A%2F%2Fwww.webofscience.com%2Fwos%2Fwoscc%2Ffull-record%2FWOS:000280036500007","View Full Record in Web of Science")</f>
        <v>View Full Record in Web of Science</v>
      </c>
    </row>
    <row r="415" spans="1:72" x14ac:dyDescent="0.15">
      <c r="A415" t="s">
        <v>72</v>
      </c>
      <c r="B415" t="s">
        <v>7871</v>
      </c>
      <c r="C415" t="s">
        <v>74</v>
      </c>
      <c r="D415" t="s">
        <v>74</v>
      </c>
      <c r="E415" t="s">
        <v>74</v>
      </c>
      <c r="F415" t="s">
        <v>7872</v>
      </c>
      <c r="G415" t="s">
        <v>74</v>
      </c>
      <c r="H415" t="s">
        <v>74</v>
      </c>
      <c r="I415" t="s">
        <v>7873</v>
      </c>
      <c r="J415" t="s">
        <v>77</v>
      </c>
      <c r="K415" t="s">
        <v>74</v>
      </c>
      <c r="L415" t="s">
        <v>74</v>
      </c>
      <c r="M415" t="s">
        <v>78</v>
      </c>
      <c r="N415" t="s">
        <v>220</v>
      </c>
      <c r="O415" t="s">
        <v>74</v>
      </c>
      <c r="P415" t="s">
        <v>74</v>
      </c>
      <c r="Q415" t="s">
        <v>74</v>
      </c>
      <c r="R415" t="s">
        <v>74</v>
      </c>
      <c r="S415" t="s">
        <v>74</v>
      </c>
      <c r="T415" t="s">
        <v>74</v>
      </c>
      <c r="U415" t="s">
        <v>7874</v>
      </c>
      <c r="V415" t="s">
        <v>74</v>
      </c>
      <c r="W415" t="s">
        <v>7875</v>
      </c>
      <c r="X415" t="s">
        <v>7876</v>
      </c>
      <c r="Y415" t="s">
        <v>7877</v>
      </c>
      <c r="Z415" t="s">
        <v>7878</v>
      </c>
      <c r="AA415" t="s">
        <v>74</v>
      </c>
      <c r="AB415" t="s">
        <v>7879</v>
      </c>
      <c r="AC415" t="s">
        <v>74</v>
      </c>
      <c r="AD415" t="s">
        <v>74</v>
      </c>
      <c r="AE415" t="s">
        <v>74</v>
      </c>
      <c r="AF415" t="s">
        <v>74</v>
      </c>
      <c r="AG415">
        <v>34</v>
      </c>
      <c r="AH415">
        <v>21</v>
      </c>
      <c r="AI415">
        <v>22</v>
      </c>
      <c r="AJ415">
        <v>0</v>
      </c>
      <c r="AK415">
        <v>13</v>
      </c>
      <c r="AL415" t="s">
        <v>119</v>
      </c>
      <c r="AM415" t="s">
        <v>120</v>
      </c>
      <c r="AN415" t="s">
        <v>121</v>
      </c>
      <c r="AO415" t="s">
        <v>93</v>
      </c>
      <c r="AP415" t="s">
        <v>94</v>
      </c>
      <c r="AQ415" t="s">
        <v>74</v>
      </c>
      <c r="AR415" t="s">
        <v>95</v>
      </c>
      <c r="AS415" t="s">
        <v>96</v>
      </c>
      <c r="AT415" t="s">
        <v>7680</v>
      </c>
      <c r="AU415">
        <v>2010</v>
      </c>
      <c r="AV415">
        <v>42</v>
      </c>
      <c r="AW415">
        <v>3</v>
      </c>
      <c r="AX415" t="s">
        <v>74</v>
      </c>
      <c r="AY415" t="s">
        <v>74</v>
      </c>
      <c r="AZ415" t="s">
        <v>74</v>
      </c>
      <c r="BA415" t="s">
        <v>74</v>
      </c>
      <c r="BB415">
        <v>245</v>
      </c>
      <c r="BC415">
        <v>249</v>
      </c>
      <c r="BD415" t="s">
        <v>74</v>
      </c>
      <c r="BE415" t="s">
        <v>7880</v>
      </c>
      <c r="BF415" t="str">
        <f>HYPERLINK("http://dx.doi.org/10.1657/1938-4246-42.3.245","http://dx.doi.org/10.1657/1938-4246-42.3.245")</f>
        <v>http://dx.doi.org/10.1657/1938-4246-42.3.245</v>
      </c>
      <c r="BG415" t="s">
        <v>74</v>
      </c>
      <c r="BH415" t="s">
        <v>74</v>
      </c>
      <c r="BI415">
        <v>5</v>
      </c>
      <c r="BJ415" t="s">
        <v>99</v>
      </c>
      <c r="BK415" t="s">
        <v>100</v>
      </c>
      <c r="BL415" t="s">
        <v>101</v>
      </c>
      <c r="BM415" t="s">
        <v>7881</v>
      </c>
      <c r="BN415" t="s">
        <v>74</v>
      </c>
      <c r="BO415" t="s">
        <v>103</v>
      </c>
      <c r="BP415" t="s">
        <v>74</v>
      </c>
      <c r="BQ415" t="s">
        <v>74</v>
      </c>
      <c r="BR415" t="s">
        <v>104</v>
      </c>
      <c r="BS415" t="s">
        <v>7882</v>
      </c>
      <c r="BT415" t="str">
        <f>HYPERLINK("https%3A%2F%2Fwww.webofscience.com%2Fwos%2Fwoscc%2Ffull-record%2FWOS:000281921300001","View Full Record in Web of Science")</f>
        <v>View Full Record in Web of Science</v>
      </c>
    </row>
    <row r="416" spans="1:72" x14ac:dyDescent="0.15">
      <c r="A416" t="s">
        <v>72</v>
      </c>
      <c r="B416" t="s">
        <v>7883</v>
      </c>
      <c r="C416" t="s">
        <v>74</v>
      </c>
      <c r="D416" t="s">
        <v>74</v>
      </c>
      <c r="E416" t="s">
        <v>74</v>
      </c>
      <c r="F416" t="s">
        <v>7884</v>
      </c>
      <c r="G416" t="s">
        <v>74</v>
      </c>
      <c r="H416" t="s">
        <v>74</v>
      </c>
      <c r="I416" t="s">
        <v>7885</v>
      </c>
      <c r="J416" t="s">
        <v>77</v>
      </c>
      <c r="K416" t="s">
        <v>74</v>
      </c>
      <c r="L416" t="s">
        <v>74</v>
      </c>
      <c r="M416" t="s">
        <v>78</v>
      </c>
      <c r="N416" t="s">
        <v>79</v>
      </c>
      <c r="O416" t="s">
        <v>74</v>
      </c>
      <c r="P416" t="s">
        <v>74</v>
      </c>
      <c r="Q416" t="s">
        <v>74</v>
      </c>
      <c r="R416" t="s">
        <v>74</v>
      </c>
      <c r="S416" t="s">
        <v>74</v>
      </c>
      <c r="T416" t="s">
        <v>74</v>
      </c>
      <c r="U416" t="s">
        <v>7886</v>
      </c>
      <c r="V416" t="s">
        <v>7887</v>
      </c>
      <c r="W416" t="s">
        <v>7888</v>
      </c>
      <c r="X416" t="s">
        <v>7889</v>
      </c>
      <c r="Y416" t="s">
        <v>7890</v>
      </c>
      <c r="Z416" t="s">
        <v>7891</v>
      </c>
      <c r="AA416" t="s">
        <v>74</v>
      </c>
      <c r="AB416" t="s">
        <v>74</v>
      </c>
      <c r="AC416" t="s">
        <v>7892</v>
      </c>
      <c r="AD416" t="s">
        <v>7893</v>
      </c>
      <c r="AE416" t="s">
        <v>7894</v>
      </c>
      <c r="AF416" t="s">
        <v>74</v>
      </c>
      <c r="AG416">
        <v>17</v>
      </c>
      <c r="AH416">
        <v>18</v>
      </c>
      <c r="AI416">
        <v>22</v>
      </c>
      <c r="AJ416">
        <v>0</v>
      </c>
      <c r="AK416">
        <v>4</v>
      </c>
      <c r="AL416" t="s">
        <v>119</v>
      </c>
      <c r="AM416" t="s">
        <v>120</v>
      </c>
      <c r="AN416" t="s">
        <v>121</v>
      </c>
      <c r="AO416" t="s">
        <v>93</v>
      </c>
      <c r="AP416" t="s">
        <v>94</v>
      </c>
      <c r="AQ416" t="s">
        <v>74</v>
      </c>
      <c r="AR416" t="s">
        <v>95</v>
      </c>
      <c r="AS416" t="s">
        <v>96</v>
      </c>
      <c r="AT416" t="s">
        <v>7680</v>
      </c>
      <c r="AU416">
        <v>2010</v>
      </c>
      <c r="AV416">
        <v>42</v>
      </c>
      <c r="AW416">
        <v>3</v>
      </c>
      <c r="AX416" t="s">
        <v>74</v>
      </c>
      <c r="AY416" t="s">
        <v>74</v>
      </c>
      <c r="AZ416" t="s">
        <v>74</v>
      </c>
      <c r="BA416" t="s">
        <v>74</v>
      </c>
      <c r="BB416">
        <v>250</v>
      </c>
      <c r="BC416">
        <v>259</v>
      </c>
      <c r="BD416" t="s">
        <v>74</v>
      </c>
      <c r="BE416" t="s">
        <v>7895</v>
      </c>
      <c r="BF416" t="str">
        <f>HYPERLINK("http://dx.doi.org/10.1657/1938-4246-42.3.250","http://dx.doi.org/10.1657/1938-4246-42.3.250")</f>
        <v>http://dx.doi.org/10.1657/1938-4246-42.3.250</v>
      </c>
      <c r="BG416" t="s">
        <v>74</v>
      </c>
      <c r="BH416" t="s">
        <v>74</v>
      </c>
      <c r="BI416">
        <v>10</v>
      </c>
      <c r="BJ416" t="s">
        <v>99</v>
      </c>
      <c r="BK416" t="s">
        <v>100</v>
      </c>
      <c r="BL416" t="s">
        <v>101</v>
      </c>
      <c r="BM416" t="s">
        <v>7881</v>
      </c>
      <c r="BN416" t="s">
        <v>74</v>
      </c>
      <c r="BO416" t="s">
        <v>123</v>
      </c>
      <c r="BP416" t="s">
        <v>74</v>
      </c>
      <c r="BQ416" t="s">
        <v>74</v>
      </c>
      <c r="BR416" t="s">
        <v>104</v>
      </c>
      <c r="BS416" t="s">
        <v>7896</v>
      </c>
      <c r="BT416" t="str">
        <f>HYPERLINK("https%3A%2F%2Fwww.webofscience.com%2Fwos%2Fwoscc%2Ffull-record%2FWOS:000281921300002","View Full Record in Web of Science")</f>
        <v>View Full Record in Web of Science</v>
      </c>
    </row>
    <row r="417" spans="1:72" x14ac:dyDescent="0.15">
      <c r="A417" t="s">
        <v>72</v>
      </c>
      <c r="B417" t="s">
        <v>7897</v>
      </c>
      <c r="C417" t="s">
        <v>74</v>
      </c>
      <c r="D417" t="s">
        <v>74</v>
      </c>
      <c r="E417" t="s">
        <v>74</v>
      </c>
      <c r="F417" t="s">
        <v>7898</v>
      </c>
      <c r="G417" t="s">
        <v>74</v>
      </c>
      <c r="H417" t="s">
        <v>74</v>
      </c>
      <c r="I417" t="s">
        <v>7899</v>
      </c>
      <c r="J417" t="s">
        <v>77</v>
      </c>
      <c r="K417" t="s">
        <v>74</v>
      </c>
      <c r="L417" t="s">
        <v>74</v>
      </c>
      <c r="M417" t="s">
        <v>78</v>
      </c>
      <c r="N417" t="s">
        <v>79</v>
      </c>
      <c r="O417" t="s">
        <v>74</v>
      </c>
      <c r="P417" t="s">
        <v>74</v>
      </c>
      <c r="Q417" t="s">
        <v>74</v>
      </c>
      <c r="R417" t="s">
        <v>74</v>
      </c>
      <c r="S417" t="s">
        <v>74</v>
      </c>
      <c r="T417" t="s">
        <v>74</v>
      </c>
      <c r="U417" t="s">
        <v>7900</v>
      </c>
      <c r="V417" t="s">
        <v>7901</v>
      </c>
      <c r="W417" t="s">
        <v>7902</v>
      </c>
      <c r="X417" t="s">
        <v>7889</v>
      </c>
      <c r="Y417" t="s">
        <v>7903</v>
      </c>
      <c r="Z417" t="s">
        <v>7904</v>
      </c>
      <c r="AA417" t="s">
        <v>74</v>
      </c>
      <c r="AB417" t="s">
        <v>74</v>
      </c>
      <c r="AC417" t="s">
        <v>7905</v>
      </c>
      <c r="AD417" t="s">
        <v>7906</v>
      </c>
      <c r="AE417" t="s">
        <v>7907</v>
      </c>
      <c r="AF417" t="s">
        <v>74</v>
      </c>
      <c r="AG417">
        <v>57</v>
      </c>
      <c r="AH417">
        <v>19</v>
      </c>
      <c r="AI417">
        <v>20</v>
      </c>
      <c r="AJ417">
        <v>2</v>
      </c>
      <c r="AK417">
        <v>12</v>
      </c>
      <c r="AL417" t="s">
        <v>119</v>
      </c>
      <c r="AM417" t="s">
        <v>120</v>
      </c>
      <c r="AN417" t="s">
        <v>121</v>
      </c>
      <c r="AO417" t="s">
        <v>93</v>
      </c>
      <c r="AP417" t="s">
        <v>94</v>
      </c>
      <c r="AQ417" t="s">
        <v>74</v>
      </c>
      <c r="AR417" t="s">
        <v>95</v>
      </c>
      <c r="AS417" t="s">
        <v>96</v>
      </c>
      <c r="AT417" t="s">
        <v>7680</v>
      </c>
      <c r="AU417">
        <v>2010</v>
      </c>
      <c r="AV417">
        <v>42</v>
      </c>
      <c r="AW417">
        <v>3</v>
      </c>
      <c r="AX417" t="s">
        <v>74</v>
      </c>
      <c r="AY417" t="s">
        <v>74</v>
      </c>
      <c r="AZ417" t="s">
        <v>74</v>
      </c>
      <c r="BA417" t="s">
        <v>74</v>
      </c>
      <c r="BB417">
        <v>260</v>
      </c>
      <c r="BC417">
        <v>275</v>
      </c>
      <c r="BD417" t="s">
        <v>74</v>
      </c>
      <c r="BE417" t="s">
        <v>7908</v>
      </c>
      <c r="BF417" t="str">
        <f>HYPERLINK("http://dx.doi.org/10.1657/1938-4246-42.3.260","http://dx.doi.org/10.1657/1938-4246-42.3.260")</f>
        <v>http://dx.doi.org/10.1657/1938-4246-42.3.260</v>
      </c>
      <c r="BG417" t="s">
        <v>74</v>
      </c>
      <c r="BH417" t="s">
        <v>74</v>
      </c>
      <c r="BI417">
        <v>16</v>
      </c>
      <c r="BJ417" t="s">
        <v>99</v>
      </c>
      <c r="BK417" t="s">
        <v>100</v>
      </c>
      <c r="BL417" t="s">
        <v>101</v>
      </c>
      <c r="BM417" t="s">
        <v>7881</v>
      </c>
      <c r="BN417" t="s">
        <v>74</v>
      </c>
      <c r="BO417" t="s">
        <v>134</v>
      </c>
      <c r="BP417" t="s">
        <v>74</v>
      </c>
      <c r="BQ417" t="s">
        <v>74</v>
      </c>
      <c r="BR417" t="s">
        <v>104</v>
      </c>
      <c r="BS417" t="s">
        <v>7909</v>
      </c>
      <c r="BT417" t="str">
        <f>HYPERLINK("https%3A%2F%2Fwww.webofscience.com%2Fwos%2Fwoscc%2Ffull-record%2FWOS:000281921300003","View Full Record in Web of Science")</f>
        <v>View Full Record in Web of Science</v>
      </c>
    </row>
    <row r="418" spans="1:72" x14ac:dyDescent="0.15">
      <c r="A418" t="s">
        <v>72</v>
      </c>
      <c r="B418" t="s">
        <v>7910</v>
      </c>
      <c r="C418" t="s">
        <v>74</v>
      </c>
      <c r="D418" t="s">
        <v>74</v>
      </c>
      <c r="E418" t="s">
        <v>74</v>
      </c>
      <c r="F418" t="s">
        <v>7911</v>
      </c>
      <c r="G418" t="s">
        <v>74</v>
      </c>
      <c r="H418" t="s">
        <v>74</v>
      </c>
      <c r="I418" t="s">
        <v>7912</v>
      </c>
      <c r="J418" t="s">
        <v>77</v>
      </c>
      <c r="K418" t="s">
        <v>74</v>
      </c>
      <c r="L418" t="s">
        <v>74</v>
      </c>
      <c r="M418" t="s">
        <v>78</v>
      </c>
      <c r="N418" t="s">
        <v>79</v>
      </c>
      <c r="O418" t="s">
        <v>74</v>
      </c>
      <c r="P418" t="s">
        <v>74</v>
      </c>
      <c r="Q418" t="s">
        <v>74</v>
      </c>
      <c r="R418" t="s">
        <v>74</v>
      </c>
      <c r="S418" t="s">
        <v>74</v>
      </c>
      <c r="T418" t="s">
        <v>74</v>
      </c>
      <c r="U418" t="s">
        <v>7913</v>
      </c>
      <c r="V418" t="s">
        <v>7914</v>
      </c>
      <c r="W418" t="s">
        <v>7915</v>
      </c>
      <c r="X418" t="s">
        <v>7916</v>
      </c>
      <c r="Y418" t="s">
        <v>7917</v>
      </c>
      <c r="Z418" t="s">
        <v>7918</v>
      </c>
      <c r="AA418" t="s">
        <v>74</v>
      </c>
      <c r="AB418" t="s">
        <v>74</v>
      </c>
      <c r="AC418" t="s">
        <v>7919</v>
      </c>
      <c r="AD418" t="s">
        <v>7920</v>
      </c>
      <c r="AE418" t="s">
        <v>7921</v>
      </c>
      <c r="AF418" t="s">
        <v>74</v>
      </c>
      <c r="AG418">
        <v>34</v>
      </c>
      <c r="AH418">
        <v>15</v>
      </c>
      <c r="AI418">
        <v>15</v>
      </c>
      <c r="AJ418">
        <v>0</v>
      </c>
      <c r="AK418">
        <v>4</v>
      </c>
      <c r="AL418" t="s">
        <v>119</v>
      </c>
      <c r="AM418" t="s">
        <v>120</v>
      </c>
      <c r="AN418" t="s">
        <v>121</v>
      </c>
      <c r="AO418" t="s">
        <v>93</v>
      </c>
      <c r="AP418" t="s">
        <v>94</v>
      </c>
      <c r="AQ418" t="s">
        <v>74</v>
      </c>
      <c r="AR418" t="s">
        <v>95</v>
      </c>
      <c r="AS418" t="s">
        <v>96</v>
      </c>
      <c r="AT418" t="s">
        <v>7680</v>
      </c>
      <c r="AU418">
        <v>2010</v>
      </c>
      <c r="AV418">
        <v>42</v>
      </c>
      <c r="AW418">
        <v>3</v>
      </c>
      <c r="AX418" t="s">
        <v>74</v>
      </c>
      <c r="AY418" t="s">
        <v>74</v>
      </c>
      <c r="AZ418" t="s">
        <v>74</v>
      </c>
      <c r="BA418" t="s">
        <v>74</v>
      </c>
      <c r="BB418">
        <v>276</v>
      </c>
      <c r="BC418">
        <v>284</v>
      </c>
      <c r="BD418" t="s">
        <v>74</v>
      </c>
      <c r="BE418" t="s">
        <v>7922</v>
      </c>
      <c r="BF418" t="str">
        <f>HYPERLINK("http://dx.doi.org/10.1657/1938-4246-42.3.276","http://dx.doi.org/10.1657/1938-4246-42.3.276")</f>
        <v>http://dx.doi.org/10.1657/1938-4246-42.3.276</v>
      </c>
      <c r="BG418" t="s">
        <v>74</v>
      </c>
      <c r="BH418" t="s">
        <v>74</v>
      </c>
      <c r="BI418">
        <v>9</v>
      </c>
      <c r="BJ418" t="s">
        <v>99</v>
      </c>
      <c r="BK418" t="s">
        <v>100</v>
      </c>
      <c r="BL418" t="s">
        <v>101</v>
      </c>
      <c r="BM418" t="s">
        <v>7881</v>
      </c>
      <c r="BN418" t="s">
        <v>74</v>
      </c>
      <c r="BO418" t="s">
        <v>123</v>
      </c>
      <c r="BP418" t="s">
        <v>74</v>
      </c>
      <c r="BQ418" t="s">
        <v>74</v>
      </c>
      <c r="BR418" t="s">
        <v>104</v>
      </c>
      <c r="BS418" t="s">
        <v>7923</v>
      </c>
      <c r="BT418" t="str">
        <f>HYPERLINK("https%3A%2F%2Fwww.webofscience.com%2Fwos%2Fwoscc%2Ffull-record%2FWOS:000281921300004","View Full Record in Web of Science")</f>
        <v>View Full Record in Web of Science</v>
      </c>
    </row>
    <row r="419" spans="1:72" x14ac:dyDescent="0.15">
      <c r="A419" t="s">
        <v>72</v>
      </c>
      <c r="B419" t="s">
        <v>7924</v>
      </c>
      <c r="C419" t="s">
        <v>74</v>
      </c>
      <c r="D419" t="s">
        <v>74</v>
      </c>
      <c r="E419" t="s">
        <v>74</v>
      </c>
      <c r="F419" t="s">
        <v>7925</v>
      </c>
      <c r="G419" t="s">
        <v>74</v>
      </c>
      <c r="H419" t="s">
        <v>74</v>
      </c>
      <c r="I419" t="s">
        <v>7926</v>
      </c>
      <c r="J419" t="s">
        <v>77</v>
      </c>
      <c r="K419" t="s">
        <v>74</v>
      </c>
      <c r="L419" t="s">
        <v>74</v>
      </c>
      <c r="M419" t="s">
        <v>78</v>
      </c>
      <c r="N419" t="s">
        <v>79</v>
      </c>
      <c r="O419" t="s">
        <v>74</v>
      </c>
      <c r="P419" t="s">
        <v>74</v>
      </c>
      <c r="Q419" t="s">
        <v>74</v>
      </c>
      <c r="R419" t="s">
        <v>74</v>
      </c>
      <c r="S419" t="s">
        <v>74</v>
      </c>
      <c r="T419" t="s">
        <v>74</v>
      </c>
      <c r="U419" t="s">
        <v>7927</v>
      </c>
      <c r="V419" t="s">
        <v>7928</v>
      </c>
      <c r="W419" t="s">
        <v>7929</v>
      </c>
      <c r="X419" t="s">
        <v>7930</v>
      </c>
      <c r="Y419" t="s">
        <v>7931</v>
      </c>
      <c r="Z419" t="s">
        <v>7932</v>
      </c>
      <c r="AA419" t="s">
        <v>7933</v>
      </c>
      <c r="AB419" t="s">
        <v>74</v>
      </c>
      <c r="AC419" t="s">
        <v>7934</v>
      </c>
      <c r="AD419" t="s">
        <v>7935</v>
      </c>
      <c r="AE419" t="s">
        <v>7936</v>
      </c>
      <c r="AF419" t="s">
        <v>74</v>
      </c>
      <c r="AG419">
        <v>69</v>
      </c>
      <c r="AH419">
        <v>30</v>
      </c>
      <c r="AI419">
        <v>35</v>
      </c>
      <c r="AJ419">
        <v>0</v>
      </c>
      <c r="AK419">
        <v>29</v>
      </c>
      <c r="AL419" t="s">
        <v>119</v>
      </c>
      <c r="AM419" t="s">
        <v>120</v>
      </c>
      <c r="AN419" t="s">
        <v>121</v>
      </c>
      <c r="AO419" t="s">
        <v>93</v>
      </c>
      <c r="AP419" t="s">
        <v>94</v>
      </c>
      <c r="AQ419" t="s">
        <v>74</v>
      </c>
      <c r="AR419" t="s">
        <v>95</v>
      </c>
      <c r="AS419" t="s">
        <v>96</v>
      </c>
      <c r="AT419" t="s">
        <v>7680</v>
      </c>
      <c r="AU419">
        <v>2010</v>
      </c>
      <c r="AV419">
        <v>42</v>
      </c>
      <c r="AW419">
        <v>3</v>
      </c>
      <c r="AX419" t="s">
        <v>74</v>
      </c>
      <c r="AY419" t="s">
        <v>74</v>
      </c>
      <c r="AZ419" t="s">
        <v>74</v>
      </c>
      <c r="BA419" t="s">
        <v>74</v>
      </c>
      <c r="BB419">
        <v>285</v>
      </c>
      <c r="BC419">
        <v>296</v>
      </c>
      <c r="BD419" t="s">
        <v>74</v>
      </c>
      <c r="BE419" t="s">
        <v>7937</v>
      </c>
      <c r="BF419" t="str">
        <f>HYPERLINK("http://dx.doi.org/10.1657/1938-4246-42.3.285","http://dx.doi.org/10.1657/1938-4246-42.3.285")</f>
        <v>http://dx.doi.org/10.1657/1938-4246-42.3.285</v>
      </c>
      <c r="BG419" t="s">
        <v>74</v>
      </c>
      <c r="BH419" t="s">
        <v>74</v>
      </c>
      <c r="BI419">
        <v>12</v>
      </c>
      <c r="BJ419" t="s">
        <v>99</v>
      </c>
      <c r="BK419" t="s">
        <v>100</v>
      </c>
      <c r="BL419" t="s">
        <v>101</v>
      </c>
      <c r="BM419" t="s">
        <v>7881</v>
      </c>
      <c r="BN419" t="s">
        <v>74</v>
      </c>
      <c r="BO419" t="s">
        <v>103</v>
      </c>
      <c r="BP419" t="s">
        <v>74</v>
      </c>
      <c r="BQ419" t="s">
        <v>74</v>
      </c>
      <c r="BR419" t="s">
        <v>104</v>
      </c>
      <c r="BS419" t="s">
        <v>7938</v>
      </c>
      <c r="BT419" t="str">
        <f>HYPERLINK("https%3A%2F%2Fwww.webofscience.com%2Fwos%2Fwoscc%2Ffull-record%2FWOS:000281921300005","View Full Record in Web of Science")</f>
        <v>View Full Record in Web of Science</v>
      </c>
    </row>
    <row r="420" spans="1:72" x14ac:dyDescent="0.15">
      <c r="A420" t="s">
        <v>72</v>
      </c>
      <c r="B420" t="s">
        <v>243</v>
      </c>
      <c r="C420" t="s">
        <v>74</v>
      </c>
      <c r="D420" t="s">
        <v>74</v>
      </c>
      <c r="E420" t="s">
        <v>74</v>
      </c>
      <c r="F420" t="s">
        <v>244</v>
      </c>
      <c r="G420" t="s">
        <v>74</v>
      </c>
      <c r="H420" t="s">
        <v>74</v>
      </c>
      <c r="I420" t="s">
        <v>7939</v>
      </c>
      <c r="J420" t="s">
        <v>77</v>
      </c>
      <c r="K420" t="s">
        <v>74</v>
      </c>
      <c r="L420" t="s">
        <v>74</v>
      </c>
      <c r="M420" t="s">
        <v>78</v>
      </c>
      <c r="N420" t="s">
        <v>79</v>
      </c>
      <c r="O420" t="s">
        <v>74</v>
      </c>
      <c r="P420" t="s">
        <v>74</v>
      </c>
      <c r="Q420" t="s">
        <v>74</v>
      </c>
      <c r="R420" t="s">
        <v>74</v>
      </c>
      <c r="S420" t="s">
        <v>74</v>
      </c>
      <c r="T420" t="s">
        <v>74</v>
      </c>
      <c r="U420" t="s">
        <v>7940</v>
      </c>
      <c r="V420" t="s">
        <v>7941</v>
      </c>
      <c r="W420" t="s">
        <v>7942</v>
      </c>
      <c r="X420" t="s">
        <v>7943</v>
      </c>
      <c r="Y420" t="s">
        <v>7944</v>
      </c>
      <c r="Z420" t="s">
        <v>7945</v>
      </c>
      <c r="AA420" t="s">
        <v>74</v>
      </c>
      <c r="AB420" t="s">
        <v>74</v>
      </c>
      <c r="AC420" t="s">
        <v>7946</v>
      </c>
      <c r="AD420" t="s">
        <v>7947</v>
      </c>
      <c r="AE420" t="s">
        <v>7948</v>
      </c>
      <c r="AF420" t="s">
        <v>74</v>
      </c>
      <c r="AG420">
        <v>47</v>
      </c>
      <c r="AH420">
        <v>21</v>
      </c>
      <c r="AI420">
        <v>24</v>
      </c>
      <c r="AJ420">
        <v>0</v>
      </c>
      <c r="AK420">
        <v>11</v>
      </c>
      <c r="AL420" t="s">
        <v>90</v>
      </c>
      <c r="AM420" t="s">
        <v>91</v>
      </c>
      <c r="AN420" t="s">
        <v>92</v>
      </c>
      <c r="AO420" t="s">
        <v>93</v>
      </c>
      <c r="AP420" t="s">
        <v>74</v>
      </c>
      <c r="AQ420" t="s">
        <v>74</v>
      </c>
      <c r="AR420" t="s">
        <v>95</v>
      </c>
      <c r="AS420" t="s">
        <v>96</v>
      </c>
      <c r="AT420" t="s">
        <v>7680</v>
      </c>
      <c r="AU420">
        <v>2010</v>
      </c>
      <c r="AV420">
        <v>42</v>
      </c>
      <c r="AW420">
        <v>3</v>
      </c>
      <c r="AX420" t="s">
        <v>74</v>
      </c>
      <c r="AY420" t="s">
        <v>74</v>
      </c>
      <c r="AZ420" t="s">
        <v>74</v>
      </c>
      <c r="BA420" t="s">
        <v>74</v>
      </c>
      <c r="BB420">
        <v>297</v>
      </c>
      <c r="BC420">
        <v>305</v>
      </c>
      <c r="BD420" t="s">
        <v>74</v>
      </c>
      <c r="BE420" t="s">
        <v>7949</v>
      </c>
      <c r="BF420" t="str">
        <f>HYPERLINK("http://dx.doi.org/10.1657/1938-4246-42.3.297","http://dx.doi.org/10.1657/1938-4246-42.3.297")</f>
        <v>http://dx.doi.org/10.1657/1938-4246-42.3.297</v>
      </c>
      <c r="BG420" t="s">
        <v>74</v>
      </c>
      <c r="BH420" t="s">
        <v>74</v>
      </c>
      <c r="BI420">
        <v>9</v>
      </c>
      <c r="BJ420" t="s">
        <v>99</v>
      </c>
      <c r="BK420" t="s">
        <v>100</v>
      </c>
      <c r="BL420" t="s">
        <v>101</v>
      </c>
      <c r="BM420" t="s">
        <v>7881</v>
      </c>
      <c r="BN420" t="s">
        <v>74</v>
      </c>
      <c r="BO420" t="s">
        <v>103</v>
      </c>
      <c r="BP420" t="s">
        <v>74</v>
      </c>
      <c r="BQ420" t="s">
        <v>74</v>
      </c>
      <c r="BR420" t="s">
        <v>104</v>
      </c>
      <c r="BS420" t="s">
        <v>7950</v>
      </c>
      <c r="BT420" t="str">
        <f>HYPERLINK("https%3A%2F%2Fwww.webofscience.com%2Fwos%2Fwoscc%2Ffull-record%2FWOS:000281921300006","View Full Record in Web of Science")</f>
        <v>View Full Record in Web of Science</v>
      </c>
    </row>
    <row r="421" spans="1:72" x14ac:dyDescent="0.15">
      <c r="A421" t="s">
        <v>72</v>
      </c>
      <c r="B421" t="s">
        <v>7951</v>
      </c>
      <c r="C421" t="s">
        <v>74</v>
      </c>
      <c r="D421" t="s">
        <v>74</v>
      </c>
      <c r="E421" t="s">
        <v>74</v>
      </c>
      <c r="F421" t="s">
        <v>7952</v>
      </c>
      <c r="G421" t="s">
        <v>74</v>
      </c>
      <c r="H421" t="s">
        <v>74</v>
      </c>
      <c r="I421" t="s">
        <v>7953</v>
      </c>
      <c r="J421" t="s">
        <v>77</v>
      </c>
      <c r="K421" t="s">
        <v>74</v>
      </c>
      <c r="L421" t="s">
        <v>74</v>
      </c>
      <c r="M421" t="s">
        <v>78</v>
      </c>
      <c r="N421" t="s">
        <v>79</v>
      </c>
      <c r="O421" t="s">
        <v>74</v>
      </c>
      <c r="P421" t="s">
        <v>74</v>
      </c>
      <c r="Q421" t="s">
        <v>74</v>
      </c>
      <c r="R421" t="s">
        <v>74</v>
      </c>
      <c r="S421" t="s">
        <v>74</v>
      </c>
      <c r="T421" t="s">
        <v>74</v>
      </c>
      <c r="U421" t="s">
        <v>7954</v>
      </c>
      <c r="V421" t="s">
        <v>7955</v>
      </c>
      <c r="W421" t="s">
        <v>7956</v>
      </c>
      <c r="X421" t="s">
        <v>7957</v>
      </c>
      <c r="Y421" t="s">
        <v>7958</v>
      </c>
      <c r="Z421" t="s">
        <v>7959</v>
      </c>
      <c r="AA421" t="s">
        <v>7960</v>
      </c>
      <c r="AB421" t="s">
        <v>7961</v>
      </c>
      <c r="AC421" t="s">
        <v>7962</v>
      </c>
      <c r="AD421" t="s">
        <v>7963</v>
      </c>
      <c r="AE421" t="s">
        <v>7964</v>
      </c>
      <c r="AF421" t="s">
        <v>74</v>
      </c>
      <c r="AG421">
        <v>41</v>
      </c>
      <c r="AH421">
        <v>36</v>
      </c>
      <c r="AI421">
        <v>41</v>
      </c>
      <c r="AJ421">
        <v>0</v>
      </c>
      <c r="AK421">
        <v>19</v>
      </c>
      <c r="AL421" t="s">
        <v>90</v>
      </c>
      <c r="AM421" t="s">
        <v>91</v>
      </c>
      <c r="AN421" t="s">
        <v>92</v>
      </c>
      <c r="AO421" t="s">
        <v>93</v>
      </c>
      <c r="AP421" t="s">
        <v>74</v>
      </c>
      <c r="AQ421" t="s">
        <v>74</v>
      </c>
      <c r="AR421" t="s">
        <v>95</v>
      </c>
      <c r="AS421" t="s">
        <v>96</v>
      </c>
      <c r="AT421" t="s">
        <v>7680</v>
      </c>
      <c r="AU421">
        <v>2010</v>
      </c>
      <c r="AV421">
        <v>42</v>
      </c>
      <c r="AW421">
        <v>3</v>
      </c>
      <c r="AX421" t="s">
        <v>74</v>
      </c>
      <c r="AY421" t="s">
        <v>74</v>
      </c>
      <c r="AZ421" t="s">
        <v>74</v>
      </c>
      <c r="BA421" t="s">
        <v>74</v>
      </c>
      <c r="BB421">
        <v>306</v>
      </c>
      <c r="BC421">
        <v>314</v>
      </c>
      <c r="BD421" t="s">
        <v>74</v>
      </c>
      <c r="BE421" t="s">
        <v>7965</v>
      </c>
      <c r="BF421" t="str">
        <f>HYPERLINK("http://dx.doi.org/10.1657/1938-4246-42.3.306","http://dx.doi.org/10.1657/1938-4246-42.3.306")</f>
        <v>http://dx.doi.org/10.1657/1938-4246-42.3.306</v>
      </c>
      <c r="BG421" t="s">
        <v>74</v>
      </c>
      <c r="BH421" t="s">
        <v>74</v>
      </c>
      <c r="BI421">
        <v>9</v>
      </c>
      <c r="BJ421" t="s">
        <v>99</v>
      </c>
      <c r="BK421" t="s">
        <v>100</v>
      </c>
      <c r="BL421" t="s">
        <v>101</v>
      </c>
      <c r="BM421" t="s">
        <v>7881</v>
      </c>
      <c r="BN421" t="s">
        <v>74</v>
      </c>
      <c r="BO421" t="s">
        <v>123</v>
      </c>
      <c r="BP421" t="s">
        <v>74</v>
      </c>
      <c r="BQ421" t="s">
        <v>74</v>
      </c>
      <c r="BR421" t="s">
        <v>104</v>
      </c>
      <c r="BS421" t="s">
        <v>7966</v>
      </c>
      <c r="BT421" t="str">
        <f>HYPERLINK("https%3A%2F%2Fwww.webofscience.com%2Fwos%2Fwoscc%2Ffull-record%2FWOS:000281921300007","View Full Record in Web of Science")</f>
        <v>View Full Record in Web of Science</v>
      </c>
    </row>
    <row r="422" spans="1:72" x14ac:dyDescent="0.15">
      <c r="A422" t="s">
        <v>72</v>
      </c>
      <c r="B422" t="s">
        <v>7967</v>
      </c>
      <c r="C422" t="s">
        <v>74</v>
      </c>
      <c r="D422" t="s">
        <v>74</v>
      </c>
      <c r="E422" t="s">
        <v>74</v>
      </c>
      <c r="F422" t="s">
        <v>7968</v>
      </c>
      <c r="G422" t="s">
        <v>74</v>
      </c>
      <c r="H422" t="s">
        <v>74</v>
      </c>
      <c r="I422" t="s">
        <v>7969</v>
      </c>
      <c r="J422" t="s">
        <v>77</v>
      </c>
      <c r="K422" t="s">
        <v>74</v>
      </c>
      <c r="L422" t="s">
        <v>74</v>
      </c>
      <c r="M422" t="s">
        <v>78</v>
      </c>
      <c r="N422" t="s">
        <v>79</v>
      </c>
      <c r="O422" t="s">
        <v>74</v>
      </c>
      <c r="P422" t="s">
        <v>74</v>
      </c>
      <c r="Q422" t="s">
        <v>74</v>
      </c>
      <c r="R422" t="s">
        <v>74</v>
      </c>
      <c r="S422" t="s">
        <v>74</v>
      </c>
      <c r="T422" t="s">
        <v>74</v>
      </c>
      <c r="U422" t="s">
        <v>7970</v>
      </c>
      <c r="V422" t="s">
        <v>7971</v>
      </c>
      <c r="W422" t="s">
        <v>7972</v>
      </c>
      <c r="X422" t="s">
        <v>7973</v>
      </c>
      <c r="Y422" t="s">
        <v>7974</v>
      </c>
      <c r="Z422" t="s">
        <v>7975</v>
      </c>
      <c r="AA422" t="s">
        <v>74</v>
      </c>
      <c r="AB422" t="s">
        <v>74</v>
      </c>
      <c r="AC422" t="s">
        <v>7976</v>
      </c>
      <c r="AD422" t="s">
        <v>7977</v>
      </c>
      <c r="AE422" t="s">
        <v>7978</v>
      </c>
      <c r="AF422" t="s">
        <v>74</v>
      </c>
      <c r="AG422">
        <v>39</v>
      </c>
      <c r="AH422">
        <v>16</v>
      </c>
      <c r="AI422">
        <v>17</v>
      </c>
      <c r="AJ422">
        <v>0</v>
      </c>
      <c r="AK422">
        <v>13</v>
      </c>
      <c r="AL422" t="s">
        <v>90</v>
      </c>
      <c r="AM422" t="s">
        <v>91</v>
      </c>
      <c r="AN422" t="s">
        <v>92</v>
      </c>
      <c r="AO422" t="s">
        <v>93</v>
      </c>
      <c r="AP422" t="s">
        <v>94</v>
      </c>
      <c r="AQ422" t="s">
        <v>74</v>
      </c>
      <c r="AR422" t="s">
        <v>95</v>
      </c>
      <c r="AS422" t="s">
        <v>96</v>
      </c>
      <c r="AT422" t="s">
        <v>7680</v>
      </c>
      <c r="AU422">
        <v>2010</v>
      </c>
      <c r="AV422">
        <v>42</v>
      </c>
      <c r="AW422">
        <v>3</v>
      </c>
      <c r="AX422" t="s">
        <v>74</v>
      </c>
      <c r="AY422" t="s">
        <v>74</v>
      </c>
      <c r="AZ422" t="s">
        <v>74</v>
      </c>
      <c r="BA422" t="s">
        <v>74</v>
      </c>
      <c r="BB422">
        <v>315</v>
      </c>
      <c r="BC422">
        <v>324</v>
      </c>
      <c r="BD422" t="s">
        <v>74</v>
      </c>
      <c r="BE422" t="s">
        <v>7979</v>
      </c>
      <c r="BF422" t="str">
        <f>HYPERLINK("http://dx.doi.org/10.1657/1938-4246-42.3.315","http://dx.doi.org/10.1657/1938-4246-42.3.315")</f>
        <v>http://dx.doi.org/10.1657/1938-4246-42.3.315</v>
      </c>
      <c r="BG422" t="s">
        <v>74</v>
      </c>
      <c r="BH422" t="s">
        <v>74</v>
      </c>
      <c r="BI422">
        <v>10</v>
      </c>
      <c r="BJ422" t="s">
        <v>99</v>
      </c>
      <c r="BK422" t="s">
        <v>100</v>
      </c>
      <c r="BL422" t="s">
        <v>101</v>
      </c>
      <c r="BM422" t="s">
        <v>7881</v>
      </c>
      <c r="BN422" t="s">
        <v>74</v>
      </c>
      <c r="BO422" t="s">
        <v>123</v>
      </c>
      <c r="BP422" t="s">
        <v>74</v>
      </c>
      <c r="BQ422" t="s">
        <v>74</v>
      </c>
      <c r="BR422" t="s">
        <v>104</v>
      </c>
      <c r="BS422" t="s">
        <v>7980</v>
      </c>
      <c r="BT422" t="str">
        <f>HYPERLINK("https%3A%2F%2Fwww.webofscience.com%2Fwos%2Fwoscc%2Ffull-record%2FWOS:000281921300008","View Full Record in Web of Science")</f>
        <v>View Full Record in Web of Science</v>
      </c>
    </row>
    <row r="423" spans="1:72" x14ac:dyDescent="0.15">
      <c r="A423" t="s">
        <v>72</v>
      </c>
      <c r="B423" t="s">
        <v>7981</v>
      </c>
      <c r="C423" t="s">
        <v>74</v>
      </c>
      <c r="D423" t="s">
        <v>74</v>
      </c>
      <c r="E423" t="s">
        <v>74</v>
      </c>
      <c r="F423" t="s">
        <v>7982</v>
      </c>
      <c r="G423" t="s">
        <v>74</v>
      </c>
      <c r="H423" t="s">
        <v>74</v>
      </c>
      <c r="I423" t="s">
        <v>7983</v>
      </c>
      <c r="J423" t="s">
        <v>77</v>
      </c>
      <c r="K423" t="s">
        <v>74</v>
      </c>
      <c r="L423" t="s">
        <v>74</v>
      </c>
      <c r="M423" t="s">
        <v>78</v>
      </c>
      <c r="N423" t="s">
        <v>79</v>
      </c>
      <c r="O423" t="s">
        <v>74</v>
      </c>
      <c r="P423" t="s">
        <v>74</v>
      </c>
      <c r="Q423" t="s">
        <v>74</v>
      </c>
      <c r="R423" t="s">
        <v>74</v>
      </c>
      <c r="S423" t="s">
        <v>74</v>
      </c>
      <c r="T423" t="s">
        <v>74</v>
      </c>
      <c r="U423" t="s">
        <v>7984</v>
      </c>
      <c r="V423" t="s">
        <v>7985</v>
      </c>
      <c r="W423" t="s">
        <v>7986</v>
      </c>
      <c r="X423" t="s">
        <v>7987</v>
      </c>
      <c r="Y423" t="s">
        <v>7988</v>
      </c>
      <c r="Z423" t="s">
        <v>7989</v>
      </c>
      <c r="AA423" t="s">
        <v>7960</v>
      </c>
      <c r="AB423" t="s">
        <v>7990</v>
      </c>
      <c r="AC423" t="s">
        <v>7991</v>
      </c>
      <c r="AD423" t="s">
        <v>7992</v>
      </c>
      <c r="AE423" t="s">
        <v>7993</v>
      </c>
      <c r="AF423" t="s">
        <v>74</v>
      </c>
      <c r="AG423">
        <v>25</v>
      </c>
      <c r="AH423">
        <v>10</v>
      </c>
      <c r="AI423">
        <v>11</v>
      </c>
      <c r="AJ423">
        <v>0</v>
      </c>
      <c r="AK423">
        <v>9</v>
      </c>
      <c r="AL423" t="s">
        <v>119</v>
      </c>
      <c r="AM423" t="s">
        <v>120</v>
      </c>
      <c r="AN423" t="s">
        <v>121</v>
      </c>
      <c r="AO423" t="s">
        <v>93</v>
      </c>
      <c r="AP423" t="s">
        <v>94</v>
      </c>
      <c r="AQ423" t="s">
        <v>74</v>
      </c>
      <c r="AR423" t="s">
        <v>95</v>
      </c>
      <c r="AS423" t="s">
        <v>96</v>
      </c>
      <c r="AT423" t="s">
        <v>7680</v>
      </c>
      <c r="AU423">
        <v>2010</v>
      </c>
      <c r="AV423">
        <v>42</v>
      </c>
      <c r="AW423">
        <v>3</v>
      </c>
      <c r="AX423" t="s">
        <v>74</v>
      </c>
      <c r="AY423" t="s">
        <v>74</v>
      </c>
      <c r="AZ423" t="s">
        <v>74</v>
      </c>
      <c r="BA423" t="s">
        <v>74</v>
      </c>
      <c r="BB423">
        <v>325</v>
      </c>
      <c r="BC423">
        <v>334</v>
      </c>
      <c r="BD423" t="s">
        <v>74</v>
      </c>
      <c r="BE423" t="s">
        <v>7994</v>
      </c>
      <c r="BF423" t="str">
        <f>HYPERLINK("http://dx.doi.org/10.1657/1938-4246-42.3.325","http://dx.doi.org/10.1657/1938-4246-42.3.325")</f>
        <v>http://dx.doi.org/10.1657/1938-4246-42.3.325</v>
      </c>
      <c r="BG423" t="s">
        <v>74</v>
      </c>
      <c r="BH423" t="s">
        <v>74</v>
      </c>
      <c r="BI423">
        <v>10</v>
      </c>
      <c r="BJ423" t="s">
        <v>99</v>
      </c>
      <c r="BK423" t="s">
        <v>100</v>
      </c>
      <c r="BL423" t="s">
        <v>101</v>
      </c>
      <c r="BM423" t="s">
        <v>7881</v>
      </c>
      <c r="BN423" t="s">
        <v>74</v>
      </c>
      <c r="BO423" t="s">
        <v>134</v>
      </c>
      <c r="BP423" t="s">
        <v>74</v>
      </c>
      <c r="BQ423" t="s">
        <v>74</v>
      </c>
      <c r="BR423" t="s">
        <v>104</v>
      </c>
      <c r="BS423" t="s">
        <v>7995</v>
      </c>
      <c r="BT423" t="str">
        <f>HYPERLINK("https%3A%2F%2Fwww.webofscience.com%2Fwos%2Fwoscc%2Ffull-record%2FWOS:000281921300009","View Full Record in Web of Science")</f>
        <v>View Full Record in Web of Science</v>
      </c>
    </row>
    <row r="424" spans="1:72" x14ac:dyDescent="0.15">
      <c r="A424" t="s">
        <v>72</v>
      </c>
      <c r="B424" t="s">
        <v>7996</v>
      </c>
      <c r="C424" t="s">
        <v>74</v>
      </c>
      <c r="D424" t="s">
        <v>74</v>
      </c>
      <c r="E424" t="s">
        <v>74</v>
      </c>
      <c r="F424" t="s">
        <v>7997</v>
      </c>
      <c r="G424" t="s">
        <v>74</v>
      </c>
      <c r="H424" t="s">
        <v>74</v>
      </c>
      <c r="I424" t="s">
        <v>7998</v>
      </c>
      <c r="J424" t="s">
        <v>77</v>
      </c>
      <c r="K424" t="s">
        <v>74</v>
      </c>
      <c r="L424" t="s">
        <v>74</v>
      </c>
      <c r="M424" t="s">
        <v>78</v>
      </c>
      <c r="N424" t="s">
        <v>79</v>
      </c>
      <c r="O424" t="s">
        <v>74</v>
      </c>
      <c r="P424" t="s">
        <v>74</v>
      </c>
      <c r="Q424" t="s">
        <v>74</v>
      </c>
      <c r="R424" t="s">
        <v>74</v>
      </c>
      <c r="S424" t="s">
        <v>74</v>
      </c>
      <c r="T424" t="s">
        <v>74</v>
      </c>
      <c r="U424" t="s">
        <v>7999</v>
      </c>
      <c r="V424" t="s">
        <v>8000</v>
      </c>
      <c r="W424" t="s">
        <v>8001</v>
      </c>
      <c r="X424" t="s">
        <v>8002</v>
      </c>
      <c r="Y424" t="s">
        <v>8003</v>
      </c>
      <c r="Z424" t="s">
        <v>8004</v>
      </c>
      <c r="AA424" t="s">
        <v>74</v>
      </c>
      <c r="AB424" t="s">
        <v>74</v>
      </c>
      <c r="AC424" t="s">
        <v>8005</v>
      </c>
      <c r="AD424" t="s">
        <v>289</v>
      </c>
      <c r="AE424" t="s">
        <v>8006</v>
      </c>
      <c r="AF424" t="s">
        <v>74</v>
      </c>
      <c r="AG424">
        <v>65</v>
      </c>
      <c r="AH424">
        <v>10</v>
      </c>
      <c r="AI424">
        <v>11</v>
      </c>
      <c r="AJ424">
        <v>0</v>
      </c>
      <c r="AK424">
        <v>47</v>
      </c>
      <c r="AL424" t="s">
        <v>119</v>
      </c>
      <c r="AM424" t="s">
        <v>120</v>
      </c>
      <c r="AN424" t="s">
        <v>121</v>
      </c>
      <c r="AO424" t="s">
        <v>93</v>
      </c>
      <c r="AP424" t="s">
        <v>94</v>
      </c>
      <c r="AQ424" t="s">
        <v>74</v>
      </c>
      <c r="AR424" t="s">
        <v>95</v>
      </c>
      <c r="AS424" t="s">
        <v>96</v>
      </c>
      <c r="AT424" t="s">
        <v>7680</v>
      </c>
      <c r="AU424">
        <v>2010</v>
      </c>
      <c r="AV424">
        <v>42</v>
      </c>
      <c r="AW424">
        <v>3</v>
      </c>
      <c r="AX424" t="s">
        <v>74</v>
      </c>
      <c r="AY424" t="s">
        <v>74</v>
      </c>
      <c r="AZ424" t="s">
        <v>74</v>
      </c>
      <c r="BA424" t="s">
        <v>74</v>
      </c>
      <c r="BB424">
        <v>335</v>
      </c>
      <c r="BC424">
        <v>341</v>
      </c>
      <c r="BD424" t="s">
        <v>74</v>
      </c>
      <c r="BE424" t="s">
        <v>8007</v>
      </c>
      <c r="BF424" t="str">
        <f>HYPERLINK("http://dx.doi.org/10.1657/1938-4246-42.3.335","http://dx.doi.org/10.1657/1938-4246-42.3.335")</f>
        <v>http://dx.doi.org/10.1657/1938-4246-42.3.335</v>
      </c>
      <c r="BG424" t="s">
        <v>74</v>
      </c>
      <c r="BH424" t="s">
        <v>74</v>
      </c>
      <c r="BI424">
        <v>7</v>
      </c>
      <c r="BJ424" t="s">
        <v>99</v>
      </c>
      <c r="BK424" t="s">
        <v>100</v>
      </c>
      <c r="BL424" t="s">
        <v>101</v>
      </c>
      <c r="BM424" t="s">
        <v>7881</v>
      </c>
      <c r="BN424" t="s">
        <v>74</v>
      </c>
      <c r="BO424" t="s">
        <v>134</v>
      </c>
      <c r="BP424" t="s">
        <v>74</v>
      </c>
      <c r="BQ424" t="s">
        <v>74</v>
      </c>
      <c r="BR424" t="s">
        <v>104</v>
      </c>
      <c r="BS424" t="s">
        <v>8008</v>
      </c>
      <c r="BT424" t="str">
        <f>HYPERLINK("https%3A%2F%2Fwww.webofscience.com%2Fwos%2Fwoscc%2Ffull-record%2FWOS:000281921300010","View Full Record in Web of Science")</f>
        <v>View Full Record in Web of Science</v>
      </c>
    </row>
    <row r="425" spans="1:72" x14ac:dyDescent="0.15">
      <c r="A425" t="s">
        <v>72</v>
      </c>
      <c r="B425" t="s">
        <v>8009</v>
      </c>
      <c r="C425" t="s">
        <v>74</v>
      </c>
      <c r="D425" t="s">
        <v>74</v>
      </c>
      <c r="E425" t="s">
        <v>74</v>
      </c>
      <c r="F425" t="s">
        <v>8010</v>
      </c>
      <c r="G425" t="s">
        <v>74</v>
      </c>
      <c r="H425" t="s">
        <v>74</v>
      </c>
      <c r="I425" t="s">
        <v>8011</v>
      </c>
      <c r="J425" t="s">
        <v>77</v>
      </c>
      <c r="K425" t="s">
        <v>74</v>
      </c>
      <c r="L425" t="s">
        <v>74</v>
      </c>
      <c r="M425" t="s">
        <v>78</v>
      </c>
      <c r="N425" t="s">
        <v>79</v>
      </c>
      <c r="O425" t="s">
        <v>74</v>
      </c>
      <c r="P425" t="s">
        <v>74</v>
      </c>
      <c r="Q425" t="s">
        <v>74</v>
      </c>
      <c r="R425" t="s">
        <v>74</v>
      </c>
      <c r="S425" t="s">
        <v>74</v>
      </c>
      <c r="T425" t="s">
        <v>74</v>
      </c>
      <c r="U425" t="s">
        <v>8012</v>
      </c>
      <c r="V425" t="s">
        <v>8013</v>
      </c>
      <c r="W425" t="s">
        <v>8014</v>
      </c>
      <c r="X425" t="s">
        <v>8015</v>
      </c>
      <c r="Y425" t="s">
        <v>8016</v>
      </c>
      <c r="Z425" t="s">
        <v>8017</v>
      </c>
      <c r="AA425" t="s">
        <v>8018</v>
      </c>
      <c r="AB425" t="s">
        <v>8019</v>
      </c>
      <c r="AC425" t="s">
        <v>8020</v>
      </c>
      <c r="AD425" t="s">
        <v>8021</v>
      </c>
      <c r="AE425" t="s">
        <v>8022</v>
      </c>
      <c r="AF425" t="s">
        <v>74</v>
      </c>
      <c r="AG425">
        <v>36</v>
      </c>
      <c r="AH425">
        <v>30</v>
      </c>
      <c r="AI425">
        <v>36</v>
      </c>
      <c r="AJ425">
        <v>1</v>
      </c>
      <c r="AK425">
        <v>32</v>
      </c>
      <c r="AL425" t="s">
        <v>119</v>
      </c>
      <c r="AM425" t="s">
        <v>120</v>
      </c>
      <c r="AN425" t="s">
        <v>121</v>
      </c>
      <c r="AO425" t="s">
        <v>93</v>
      </c>
      <c r="AP425" t="s">
        <v>94</v>
      </c>
      <c r="AQ425" t="s">
        <v>74</v>
      </c>
      <c r="AR425" t="s">
        <v>95</v>
      </c>
      <c r="AS425" t="s">
        <v>96</v>
      </c>
      <c r="AT425" t="s">
        <v>7680</v>
      </c>
      <c r="AU425">
        <v>2010</v>
      </c>
      <c r="AV425">
        <v>42</v>
      </c>
      <c r="AW425">
        <v>3</v>
      </c>
      <c r="AX425" t="s">
        <v>74</v>
      </c>
      <c r="AY425" t="s">
        <v>74</v>
      </c>
      <c r="AZ425" t="s">
        <v>74</v>
      </c>
      <c r="BA425" t="s">
        <v>74</v>
      </c>
      <c r="BB425">
        <v>342</v>
      </c>
      <c r="BC425">
        <v>350</v>
      </c>
      <c r="BD425" t="s">
        <v>74</v>
      </c>
      <c r="BE425" t="s">
        <v>8023</v>
      </c>
      <c r="BF425" t="str">
        <f>HYPERLINK("http://dx.doi.org/10.1657/1938-4246-42.3.342","http://dx.doi.org/10.1657/1938-4246-42.3.342")</f>
        <v>http://dx.doi.org/10.1657/1938-4246-42.3.342</v>
      </c>
      <c r="BG425" t="s">
        <v>74</v>
      </c>
      <c r="BH425" t="s">
        <v>74</v>
      </c>
      <c r="BI425">
        <v>9</v>
      </c>
      <c r="BJ425" t="s">
        <v>99</v>
      </c>
      <c r="BK425" t="s">
        <v>100</v>
      </c>
      <c r="BL425" t="s">
        <v>101</v>
      </c>
      <c r="BM425" t="s">
        <v>7881</v>
      </c>
      <c r="BN425" t="s">
        <v>74</v>
      </c>
      <c r="BO425" t="s">
        <v>74</v>
      </c>
      <c r="BP425" t="s">
        <v>74</v>
      </c>
      <c r="BQ425" t="s">
        <v>74</v>
      </c>
      <c r="BR425" t="s">
        <v>104</v>
      </c>
      <c r="BS425" t="s">
        <v>8024</v>
      </c>
      <c r="BT425" t="str">
        <f>HYPERLINK("https%3A%2F%2Fwww.webofscience.com%2Fwos%2Fwoscc%2Ffull-record%2FWOS:000281921300011","View Full Record in Web of Science")</f>
        <v>View Full Record in Web of Science</v>
      </c>
    </row>
    <row r="426" spans="1:72" x14ac:dyDescent="0.15">
      <c r="A426" t="s">
        <v>72</v>
      </c>
      <c r="B426" t="s">
        <v>8025</v>
      </c>
      <c r="C426" t="s">
        <v>74</v>
      </c>
      <c r="D426" t="s">
        <v>74</v>
      </c>
      <c r="E426" t="s">
        <v>74</v>
      </c>
      <c r="F426" t="s">
        <v>8026</v>
      </c>
      <c r="G426" t="s">
        <v>74</v>
      </c>
      <c r="H426" t="s">
        <v>74</v>
      </c>
      <c r="I426" t="s">
        <v>8027</v>
      </c>
      <c r="J426" t="s">
        <v>77</v>
      </c>
      <c r="K426" t="s">
        <v>74</v>
      </c>
      <c r="L426" t="s">
        <v>74</v>
      </c>
      <c r="M426" t="s">
        <v>78</v>
      </c>
      <c r="N426" t="s">
        <v>79</v>
      </c>
      <c r="O426" t="s">
        <v>74</v>
      </c>
      <c r="P426" t="s">
        <v>74</v>
      </c>
      <c r="Q426" t="s">
        <v>74</v>
      </c>
      <c r="R426" t="s">
        <v>74</v>
      </c>
      <c r="S426" t="s">
        <v>74</v>
      </c>
      <c r="T426" t="s">
        <v>74</v>
      </c>
      <c r="U426" t="s">
        <v>8028</v>
      </c>
      <c r="V426" t="s">
        <v>8029</v>
      </c>
      <c r="W426" t="s">
        <v>8030</v>
      </c>
      <c r="X426" t="s">
        <v>8031</v>
      </c>
      <c r="Y426" t="s">
        <v>8032</v>
      </c>
      <c r="Z426" t="s">
        <v>8033</v>
      </c>
      <c r="AA426" t="s">
        <v>74</v>
      </c>
      <c r="AB426" t="s">
        <v>74</v>
      </c>
      <c r="AC426" t="s">
        <v>8034</v>
      </c>
      <c r="AD426" t="s">
        <v>8034</v>
      </c>
      <c r="AE426" t="s">
        <v>8035</v>
      </c>
      <c r="AF426" t="s">
        <v>74</v>
      </c>
      <c r="AG426">
        <v>73</v>
      </c>
      <c r="AH426">
        <v>40</v>
      </c>
      <c r="AI426">
        <v>43</v>
      </c>
      <c r="AJ426">
        <v>1</v>
      </c>
      <c r="AK426">
        <v>35</v>
      </c>
      <c r="AL426" t="s">
        <v>90</v>
      </c>
      <c r="AM426" t="s">
        <v>91</v>
      </c>
      <c r="AN426" t="s">
        <v>92</v>
      </c>
      <c r="AO426" t="s">
        <v>93</v>
      </c>
      <c r="AP426" t="s">
        <v>74</v>
      </c>
      <c r="AQ426" t="s">
        <v>74</v>
      </c>
      <c r="AR426" t="s">
        <v>95</v>
      </c>
      <c r="AS426" t="s">
        <v>96</v>
      </c>
      <c r="AT426" t="s">
        <v>7680</v>
      </c>
      <c r="AU426">
        <v>2010</v>
      </c>
      <c r="AV426">
        <v>42</v>
      </c>
      <c r="AW426">
        <v>3</v>
      </c>
      <c r="AX426" t="s">
        <v>74</v>
      </c>
      <c r="AY426" t="s">
        <v>74</v>
      </c>
      <c r="AZ426" t="s">
        <v>74</v>
      </c>
      <c r="BA426" t="s">
        <v>74</v>
      </c>
      <c r="BB426">
        <v>351</v>
      </c>
      <c r="BC426">
        <v>361</v>
      </c>
      <c r="BD426" t="s">
        <v>74</v>
      </c>
      <c r="BE426" t="s">
        <v>8036</v>
      </c>
      <c r="BF426" t="str">
        <f>HYPERLINK("http://dx.doi.org/10.1657/1938-4246-42.3.351","http://dx.doi.org/10.1657/1938-4246-42.3.351")</f>
        <v>http://dx.doi.org/10.1657/1938-4246-42.3.351</v>
      </c>
      <c r="BG426" t="s">
        <v>74</v>
      </c>
      <c r="BH426" t="s">
        <v>74</v>
      </c>
      <c r="BI426">
        <v>11</v>
      </c>
      <c r="BJ426" t="s">
        <v>99</v>
      </c>
      <c r="BK426" t="s">
        <v>100</v>
      </c>
      <c r="BL426" t="s">
        <v>101</v>
      </c>
      <c r="BM426" t="s">
        <v>7881</v>
      </c>
      <c r="BN426" t="s">
        <v>74</v>
      </c>
      <c r="BO426" t="s">
        <v>8037</v>
      </c>
      <c r="BP426" t="s">
        <v>74</v>
      </c>
      <c r="BQ426" t="s">
        <v>74</v>
      </c>
      <c r="BR426" t="s">
        <v>104</v>
      </c>
      <c r="BS426" t="s">
        <v>8038</v>
      </c>
      <c r="BT426" t="str">
        <f>HYPERLINK("https%3A%2F%2Fwww.webofscience.com%2Fwos%2Fwoscc%2Ffull-record%2FWOS:000281921300012","View Full Record in Web of Science")</f>
        <v>View Full Record in Web of Science</v>
      </c>
    </row>
    <row r="427" spans="1:72" x14ac:dyDescent="0.15">
      <c r="A427" t="s">
        <v>72</v>
      </c>
      <c r="B427" t="s">
        <v>8039</v>
      </c>
      <c r="C427" t="s">
        <v>74</v>
      </c>
      <c r="D427" t="s">
        <v>74</v>
      </c>
      <c r="E427" t="s">
        <v>74</v>
      </c>
      <c r="F427" t="s">
        <v>8040</v>
      </c>
      <c r="G427" t="s">
        <v>74</v>
      </c>
      <c r="H427" t="s">
        <v>74</v>
      </c>
      <c r="I427" t="s">
        <v>8041</v>
      </c>
      <c r="J427" t="s">
        <v>77</v>
      </c>
      <c r="K427" t="s">
        <v>74</v>
      </c>
      <c r="L427" t="s">
        <v>74</v>
      </c>
      <c r="M427" t="s">
        <v>78</v>
      </c>
      <c r="N427" t="s">
        <v>79</v>
      </c>
      <c r="O427" t="s">
        <v>74</v>
      </c>
      <c r="P427" t="s">
        <v>74</v>
      </c>
      <c r="Q427" t="s">
        <v>74</v>
      </c>
      <c r="R427" t="s">
        <v>74</v>
      </c>
      <c r="S427" t="s">
        <v>74</v>
      </c>
      <c r="T427" t="s">
        <v>74</v>
      </c>
      <c r="U427" t="s">
        <v>8042</v>
      </c>
      <c r="V427" t="s">
        <v>8043</v>
      </c>
      <c r="W427" t="s">
        <v>8044</v>
      </c>
      <c r="X427" t="s">
        <v>8045</v>
      </c>
      <c r="Y427" t="s">
        <v>8046</v>
      </c>
      <c r="Z427" t="s">
        <v>8047</v>
      </c>
      <c r="AA427" t="s">
        <v>8048</v>
      </c>
      <c r="AB427" t="s">
        <v>74</v>
      </c>
      <c r="AC427" t="s">
        <v>8049</v>
      </c>
      <c r="AD427" t="s">
        <v>8050</v>
      </c>
      <c r="AE427" t="s">
        <v>8051</v>
      </c>
      <c r="AF427" t="s">
        <v>74</v>
      </c>
      <c r="AG427">
        <v>93</v>
      </c>
      <c r="AH427">
        <v>18</v>
      </c>
      <c r="AI427">
        <v>20</v>
      </c>
      <c r="AJ427">
        <v>1</v>
      </c>
      <c r="AK427">
        <v>31</v>
      </c>
      <c r="AL427" t="s">
        <v>119</v>
      </c>
      <c r="AM427" t="s">
        <v>120</v>
      </c>
      <c r="AN427" t="s">
        <v>121</v>
      </c>
      <c r="AO427" t="s">
        <v>93</v>
      </c>
      <c r="AP427" t="s">
        <v>94</v>
      </c>
      <c r="AQ427" t="s">
        <v>74</v>
      </c>
      <c r="AR427" t="s">
        <v>95</v>
      </c>
      <c r="AS427" t="s">
        <v>96</v>
      </c>
      <c r="AT427" t="s">
        <v>7680</v>
      </c>
      <c r="AU427">
        <v>2010</v>
      </c>
      <c r="AV427">
        <v>42</v>
      </c>
      <c r="AW427">
        <v>3</v>
      </c>
      <c r="AX427" t="s">
        <v>74</v>
      </c>
      <c r="AY427" t="s">
        <v>74</v>
      </c>
      <c r="AZ427" t="s">
        <v>74</v>
      </c>
      <c r="BA427" t="s">
        <v>74</v>
      </c>
      <c r="BB427">
        <v>362</v>
      </c>
      <c r="BC427">
        <v>375</v>
      </c>
      <c r="BD427" t="s">
        <v>74</v>
      </c>
      <c r="BE427" t="s">
        <v>8052</v>
      </c>
      <c r="BF427" t="str">
        <f>HYPERLINK("http://dx.doi.org/10.1657/1938-4246-42.3.362","http://dx.doi.org/10.1657/1938-4246-42.3.362")</f>
        <v>http://dx.doi.org/10.1657/1938-4246-42.3.362</v>
      </c>
      <c r="BG427" t="s">
        <v>74</v>
      </c>
      <c r="BH427" t="s">
        <v>74</v>
      </c>
      <c r="BI427">
        <v>14</v>
      </c>
      <c r="BJ427" t="s">
        <v>99</v>
      </c>
      <c r="BK427" t="s">
        <v>100</v>
      </c>
      <c r="BL427" t="s">
        <v>101</v>
      </c>
      <c r="BM427" t="s">
        <v>7881</v>
      </c>
      <c r="BN427" t="s">
        <v>74</v>
      </c>
      <c r="BO427" t="s">
        <v>8053</v>
      </c>
      <c r="BP427" t="s">
        <v>74</v>
      </c>
      <c r="BQ427" t="s">
        <v>74</v>
      </c>
      <c r="BR427" t="s">
        <v>104</v>
      </c>
      <c r="BS427" t="s">
        <v>8054</v>
      </c>
      <c r="BT427" t="str">
        <f>HYPERLINK("https%3A%2F%2Fwww.webofscience.com%2Fwos%2Fwoscc%2Ffull-record%2FWOS:000281921300013","View Full Record in Web of Science")</f>
        <v>View Full Record in Web of Science</v>
      </c>
    </row>
    <row r="428" spans="1:72" x14ac:dyDescent="0.15">
      <c r="A428" t="s">
        <v>72</v>
      </c>
      <c r="B428" t="s">
        <v>8055</v>
      </c>
      <c r="C428" t="s">
        <v>74</v>
      </c>
      <c r="D428" t="s">
        <v>74</v>
      </c>
      <c r="E428" t="s">
        <v>74</v>
      </c>
      <c r="F428" t="s">
        <v>8056</v>
      </c>
      <c r="G428" t="s">
        <v>74</v>
      </c>
      <c r="H428" t="s">
        <v>74</v>
      </c>
      <c r="I428" t="s">
        <v>8057</v>
      </c>
      <c r="J428" t="s">
        <v>8058</v>
      </c>
      <c r="K428" t="s">
        <v>74</v>
      </c>
      <c r="L428" t="s">
        <v>74</v>
      </c>
      <c r="M428" t="s">
        <v>78</v>
      </c>
      <c r="N428" t="s">
        <v>79</v>
      </c>
      <c r="O428" t="s">
        <v>74</v>
      </c>
      <c r="P428" t="s">
        <v>74</v>
      </c>
      <c r="Q428" t="s">
        <v>74</v>
      </c>
      <c r="R428" t="s">
        <v>74</v>
      </c>
      <c r="S428" t="s">
        <v>74</v>
      </c>
      <c r="T428" t="s">
        <v>8059</v>
      </c>
      <c r="U428" t="s">
        <v>8060</v>
      </c>
      <c r="V428" t="s">
        <v>8061</v>
      </c>
      <c r="W428" t="s">
        <v>8062</v>
      </c>
      <c r="X428" t="s">
        <v>8063</v>
      </c>
      <c r="Y428" t="s">
        <v>8064</v>
      </c>
      <c r="Z428" t="s">
        <v>8065</v>
      </c>
      <c r="AA428" t="s">
        <v>8066</v>
      </c>
      <c r="AB428" t="s">
        <v>8067</v>
      </c>
      <c r="AC428" t="s">
        <v>8068</v>
      </c>
      <c r="AD428" t="s">
        <v>8069</v>
      </c>
      <c r="AE428" t="s">
        <v>8070</v>
      </c>
      <c r="AF428" t="s">
        <v>74</v>
      </c>
      <c r="AG428">
        <v>39</v>
      </c>
      <c r="AH428">
        <v>47</v>
      </c>
      <c r="AI428">
        <v>51</v>
      </c>
      <c r="AJ428">
        <v>1</v>
      </c>
      <c r="AK428">
        <v>15</v>
      </c>
      <c r="AL428" t="s">
        <v>1797</v>
      </c>
      <c r="AM428" t="s">
        <v>510</v>
      </c>
      <c r="AN428" t="s">
        <v>1798</v>
      </c>
      <c r="AO428" t="s">
        <v>8071</v>
      </c>
      <c r="AP428" t="s">
        <v>8072</v>
      </c>
      <c r="AQ428" t="s">
        <v>74</v>
      </c>
      <c r="AR428" t="s">
        <v>8073</v>
      </c>
      <c r="AS428" t="s">
        <v>8074</v>
      </c>
      <c r="AT428" t="s">
        <v>7680</v>
      </c>
      <c r="AU428">
        <v>2010</v>
      </c>
      <c r="AV428">
        <v>140</v>
      </c>
      <c r="AW428">
        <v>2</v>
      </c>
      <c r="AX428" t="s">
        <v>74</v>
      </c>
      <c r="AY428" t="s">
        <v>74</v>
      </c>
      <c r="AZ428" t="s">
        <v>74</v>
      </c>
      <c r="BA428" t="s">
        <v>74</v>
      </c>
      <c r="BB428">
        <v>602</v>
      </c>
      <c r="BC428">
        <v>611</v>
      </c>
      <c r="BD428" t="s">
        <v>74</v>
      </c>
      <c r="BE428" t="s">
        <v>8075</v>
      </c>
      <c r="BF428" t="str">
        <f>HYPERLINK("http://dx.doi.org/10.1088/0004-6256/140/2/602","http://dx.doi.org/10.1088/0004-6256/140/2/602")</f>
        <v>http://dx.doi.org/10.1088/0004-6256/140/2/602</v>
      </c>
      <c r="BG428" t="s">
        <v>74</v>
      </c>
      <c r="BH428" t="s">
        <v>74</v>
      </c>
      <c r="BI428">
        <v>10</v>
      </c>
      <c r="BJ428" t="s">
        <v>1805</v>
      </c>
      <c r="BK428" t="s">
        <v>100</v>
      </c>
      <c r="BL428" t="s">
        <v>1805</v>
      </c>
      <c r="BM428" t="s">
        <v>8076</v>
      </c>
      <c r="BN428" t="s">
        <v>74</v>
      </c>
      <c r="BO428" t="s">
        <v>3474</v>
      </c>
      <c r="BP428" t="s">
        <v>74</v>
      </c>
      <c r="BQ428" t="s">
        <v>74</v>
      </c>
      <c r="BR428" t="s">
        <v>104</v>
      </c>
      <c r="BS428" t="s">
        <v>8077</v>
      </c>
      <c r="BT428" t="str">
        <f>HYPERLINK("https%3A%2F%2Fwww.webofscience.com%2Fwos%2Fwoscc%2Ffull-record%2FWOS:000279958000026","View Full Record in Web of Science")</f>
        <v>View Full Record in Web of Science</v>
      </c>
    </row>
    <row r="429" spans="1:72" x14ac:dyDescent="0.15">
      <c r="A429" t="s">
        <v>72</v>
      </c>
      <c r="B429" t="s">
        <v>8078</v>
      </c>
      <c r="C429" t="s">
        <v>74</v>
      </c>
      <c r="D429" t="s">
        <v>74</v>
      </c>
      <c r="E429" t="s">
        <v>74</v>
      </c>
      <c r="F429" t="s">
        <v>8079</v>
      </c>
      <c r="G429" t="s">
        <v>74</v>
      </c>
      <c r="H429" t="s">
        <v>74</v>
      </c>
      <c r="I429" t="s">
        <v>8080</v>
      </c>
      <c r="J429" t="s">
        <v>1784</v>
      </c>
      <c r="K429" t="s">
        <v>74</v>
      </c>
      <c r="L429" t="s">
        <v>74</v>
      </c>
      <c r="M429" t="s">
        <v>78</v>
      </c>
      <c r="N429" t="s">
        <v>79</v>
      </c>
      <c r="O429" t="s">
        <v>74</v>
      </c>
      <c r="P429" t="s">
        <v>74</v>
      </c>
      <c r="Q429" t="s">
        <v>74</v>
      </c>
      <c r="R429" t="s">
        <v>74</v>
      </c>
      <c r="S429" t="s">
        <v>74</v>
      </c>
      <c r="T429" t="s">
        <v>8081</v>
      </c>
      <c r="U429" t="s">
        <v>8082</v>
      </c>
      <c r="V429" t="s">
        <v>8083</v>
      </c>
      <c r="W429" t="s">
        <v>8084</v>
      </c>
      <c r="X429" t="s">
        <v>8085</v>
      </c>
      <c r="Y429" t="s">
        <v>8086</v>
      </c>
      <c r="Z429" t="s">
        <v>8087</v>
      </c>
      <c r="AA429" t="s">
        <v>8088</v>
      </c>
      <c r="AB429" t="s">
        <v>8089</v>
      </c>
      <c r="AC429" t="s">
        <v>8090</v>
      </c>
      <c r="AD429" t="s">
        <v>8091</v>
      </c>
      <c r="AE429" t="s">
        <v>8092</v>
      </c>
      <c r="AF429" t="s">
        <v>74</v>
      </c>
      <c r="AG429">
        <v>67</v>
      </c>
      <c r="AH429">
        <v>122</v>
      </c>
      <c r="AI429">
        <v>135</v>
      </c>
      <c r="AJ429">
        <v>0</v>
      </c>
      <c r="AK429">
        <v>6</v>
      </c>
      <c r="AL429" t="s">
        <v>1797</v>
      </c>
      <c r="AM429" t="s">
        <v>510</v>
      </c>
      <c r="AN429" t="s">
        <v>1798</v>
      </c>
      <c r="AO429" t="s">
        <v>1799</v>
      </c>
      <c r="AP429" t="s">
        <v>1800</v>
      </c>
      <c r="AQ429" t="s">
        <v>74</v>
      </c>
      <c r="AR429" t="s">
        <v>1801</v>
      </c>
      <c r="AS429" t="s">
        <v>1802</v>
      </c>
      <c r="AT429" t="s">
        <v>8093</v>
      </c>
      <c r="AU429">
        <v>2010</v>
      </c>
      <c r="AV429">
        <v>718</v>
      </c>
      <c r="AW429">
        <v>2</v>
      </c>
      <c r="AX429" t="s">
        <v>74</v>
      </c>
      <c r="AY429" t="s">
        <v>74</v>
      </c>
      <c r="AZ429" t="s">
        <v>74</v>
      </c>
      <c r="BA429" t="s">
        <v>74</v>
      </c>
      <c r="BB429">
        <v>632</v>
      </c>
      <c r="BC429">
        <v>646</v>
      </c>
      <c r="BD429" t="s">
        <v>74</v>
      </c>
      <c r="BE429" t="s">
        <v>8094</v>
      </c>
      <c r="BF429" t="str">
        <f>HYPERLINK("http://dx.doi.org/10.1088/0004-637X/718/2/632","http://dx.doi.org/10.1088/0004-637X/718/2/632")</f>
        <v>http://dx.doi.org/10.1088/0004-637X/718/2/632</v>
      </c>
      <c r="BG429" t="s">
        <v>74</v>
      </c>
      <c r="BH429" t="s">
        <v>74</v>
      </c>
      <c r="BI429">
        <v>15</v>
      </c>
      <c r="BJ429" t="s">
        <v>1805</v>
      </c>
      <c r="BK429" t="s">
        <v>100</v>
      </c>
      <c r="BL429" t="s">
        <v>1805</v>
      </c>
      <c r="BM429" t="s">
        <v>8095</v>
      </c>
      <c r="BN429" t="s">
        <v>74</v>
      </c>
      <c r="BO429" t="s">
        <v>123</v>
      </c>
      <c r="BP429" t="s">
        <v>74</v>
      </c>
      <c r="BQ429" t="s">
        <v>74</v>
      </c>
      <c r="BR429" t="s">
        <v>104</v>
      </c>
      <c r="BS429" t="s">
        <v>8096</v>
      </c>
      <c r="BT429" t="str">
        <f>HYPERLINK("https%3A%2F%2Fwww.webofscience.com%2Fwos%2Fwoscc%2Ffull-record%2FWOS:000279976200005","View Full Record in Web of Science")</f>
        <v>View Full Record in Web of Science</v>
      </c>
    </row>
    <row r="430" spans="1:72" x14ac:dyDescent="0.15">
      <c r="A430" t="s">
        <v>72</v>
      </c>
      <c r="B430" t="s">
        <v>8097</v>
      </c>
      <c r="C430" t="s">
        <v>74</v>
      </c>
      <c r="D430" t="s">
        <v>74</v>
      </c>
      <c r="E430" t="s">
        <v>74</v>
      </c>
      <c r="F430" t="s">
        <v>8098</v>
      </c>
      <c r="G430" t="s">
        <v>74</v>
      </c>
      <c r="H430" t="s">
        <v>3084</v>
      </c>
      <c r="I430" t="s">
        <v>8099</v>
      </c>
      <c r="J430" t="s">
        <v>8100</v>
      </c>
      <c r="K430" t="s">
        <v>74</v>
      </c>
      <c r="L430" t="s">
        <v>74</v>
      </c>
      <c r="M430" t="s">
        <v>78</v>
      </c>
      <c r="N430" t="s">
        <v>79</v>
      </c>
      <c r="O430" t="s">
        <v>74</v>
      </c>
      <c r="P430" t="s">
        <v>74</v>
      </c>
      <c r="Q430" t="s">
        <v>74</v>
      </c>
      <c r="R430" t="s">
        <v>74</v>
      </c>
      <c r="S430" t="s">
        <v>74</v>
      </c>
      <c r="T430" t="s">
        <v>8101</v>
      </c>
      <c r="U430" t="s">
        <v>74</v>
      </c>
      <c r="V430" t="s">
        <v>8102</v>
      </c>
      <c r="W430" t="s">
        <v>8103</v>
      </c>
      <c r="X430" t="s">
        <v>8104</v>
      </c>
      <c r="Y430" t="s">
        <v>3091</v>
      </c>
      <c r="Z430" t="s">
        <v>8105</v>
      </c>
      <c r="AA430" t="s">
        <v>8106</v>
      </c>
      <c r="AB430" t="s">
        <v>8107</v>
      </c>
      <c r="AC430" t="s">
        <v>8108</v>
      </c>
      <c r="AD430" t="s">
        <v>8109</v>
      </c>
      <c r="AE430" t="s">
        <v>8110</v>
      </c>
      <c r="AF430" t="s">
        <v>74</v>
      </c>
      <c r="AG430">
        <v>11</v>
      </c>
      <c r="AH430">
        <v>120</v>
      </c>
      <c r="AI430">
        <v>131</v>
      </c>
      <c r="AJ430">
        <v>0</v>
      </c>
      <c r="AK430">
        <v>8</v>
      </c>
      <c r="AL430" t="s">
        <v>1797</v>
      </c>
      <c r="AM430" t="s">
        <v>510</v>
      </c>
      <c r="AN430" t="s">
        <v>1798</v>
      </c>
      <c r="AO430" t="s">
        <v>8111</v>
      </c>
      <c r="AP430" t="s">
        <v>74</v>
      </c>
      <c r="AQ430" t="s">
        <v>74</v>
      </c>
      <c r="AR430" t="s">
        <v>8112</v>
      </c>
      <c r="AS430" t="s">
        <v>8113</v>
      </c>
      <c r="AT430" t="s">
        <v>8093</v>
      </c>
      <c r="AU430">
        <v>2010</v>
      </c>
      <c r="AV430">
        <v>718</v>
      </c>
      <c r="AW430">
        <v>2</v>
      </c>
      <c r="AX430" t="s">
        <v>74</v>
      </c>
      <c r="AY430" t="s">
        <v>74</v>
      </c>
      <c r="AZ430" t="s">
        <v>74</v>
      </c>
      <c r="BA430" t="s">
        <v>74</v>
      </c>
      <c r="BB430" t="s">
        <v>8114</v>
      </c>
      <c r="BC430" t="s">
        <v>8115</v>
      </c>
      <c r="BD430" t="s">
        <v>74</v>
      </c>
      <c r="BE430" t="s">
        <v>8116</v>
      </c>
      <c r="BF430" t="str">
        <f>HYPERLINK("http://dx.doi.org/10.1088/2041-8205/718/2/L194","http://dx.doi.org/10.1088/2041-8205/718/2/L194")</f>
        <v>http://dx.doi.org/10.1088/2041-8205/718/2/L194</v>
      </c>
      <c r="BG430" t="s">
        <v>74</v>
      </c>
      <c r="BH430" t="s">
        <v>74</v>
      </c>
      <c r="BI430">
        <v>5</v>
      </c>
      <c r="BJ430" t="s">
        <v>1805</v>
      </c>
      <c r="BK430" t="s">
        <v>100</v>
      </c>
      <c r="BL430" t="s">
        <v>1805</v>
      </c>
      <c r="BM430" t="s">
        <v>8117</v>
      </c>
      <c r="BN430" t="s">
        <v>74</v>
      </c>
      <c r="BO430" t="s">
        <v>8118</v>
      </c>
      <c r="BP430" t="s">
        <v>74</v>
      </c>
      <c r="BQ430" t="s">
        <v>74</v>
      </c>
      <c r="BR430" t="s">
        <v>104</v>
      </c>
      <c r="BS430" t="s">
        <v>8119</v>
      </c>
      <c r="BT430" t="str">
        <f>HYPERLINK("https%3A%2F%2Fwww.webofscience.com%2Fwos%2Fwoscc%2Ffull-record%2FWOS:000280710700031","View Full Record in Web of Science")</f>
        <v>View Full Record in Web of Science</v>
      </c>
    </row>
    <row r="431" spans="1:72" x14ac:dyDescent="0.15">
      <c r="A431" t="s">
        <v>72</v>
      </c>
      <c r="B431" t="s">
        <v>8120</v>
      </c>
      <c r="C431" t="s">
        <v>74</v>
      </c>
      <c r="D431" t="s">
        <v>74</v>
      </c>
      <c r="E431" t="s">
        <v>74</v>
      </c>
      <c r="F431" t="s">
        <v>8121</v>
      </c>
      <c r="G431" t="s">
        <v>74</v>
      </c>
      <c r="H431" t="s">
        <v>74</v>
      </c>
      <c r="I431" t="s">
        <v>8122</v>
      </c>
      <c r="J431" t="s">
        <v>251</v>
      </c>
      <c r="K431" t="s">
        <v>74</v>
      </c>
      <c r="L431" t="s">
        <v>74</v>
      </c>
      <c r="M431" t="s">
        <v>78</v>
      </c>
      <c r="N431" t="s">
        <v>79</v>
      </c>
      <c r="O431" t="s">
        <v>74</v>
      </c>
      <c r="P431" t="s">
        <v>74</v>
      </c>
      <c r="Q431" t="s">
        <v>74</v>
      </c>
      <c r="R431" t="s">
        <v>74</v>
      </c>
      <c r="S431" t="s">
        <v>74</v>
      </c>
      <c r="T431" t="s">
        <v>8123</v>
      </c>
      <c r="U431" t="s">
        <v>8124</v>
      </c>
      <c r="V431" t="s">
        <v>8125</v>
      </c>
      <c r="W431" t="s">
        <v>8126</v>
      </c>
      <c r="X431" t="s">
        <v>8127</v>
      </c>
      <c r="Y431" t="s">
        <v>8128</v>
      </c>
      <c r="Z431" t="s">
        <v>8129</v>
      </c>
      <c r="AA431" t="s">
        <v>8130</v>
      </c>
      <c r="AB431" t="s">
        <v>8131</v>
      </c>
      <c r="AC431" t="s">
        <v>8132</v>
      </c>
      <c r="AD431" t="s">
        <v>6494</v>
      </c>
      <c r="AE431" t="s">
        <v>8133</v>
      </c>
      <c r="AF431" t="s">
        <v>74</v>
      </c>
      <c r="AG431">
        <v>47</v>
      </c>
      <c r="AH431">
        <v>5</v>
      </c>
      <c r="AI431">
        <v>7</v>
      </c>
      <c r="AJ431">
        <v>2</v>
      </c>
      <c r="AK431">
        <v>33</v>
      </c>
      <c r="AL431" t="s">
        <v>264</v>
      </c>
      <c r="AM431" t="s">
        <v>265</v>
      </c>
      <c r="AN431" t="s">
        <v>266</v>
      </c>
      <c r="AO431" t="s">
        <v>267</v>
      </c>
      <c r="AP431" t="s">
        <v>268</v>
      </c>
      <c r="AQ431" t="s">
        <v>74</v>
      </c>
      <c r="AR431" t="s">
        <v>269</v>
      </c>
      <c r="AS431" t="s">
        <v>270</v>
      </c>
      <c r="AT431" t="s">
        <v>7680</v>
      </c>
      <c r="AU431">
        <v>2010</v>
      </c>
      <c r="AV431">
        <v>44</v>
      </c>
      <c r="AW431">
        <v>25</v>
      </c>
      <c r="AX431" t="s">
        <v>74</v>
      </c>
      <c r="AY431" t="s">
        <v>74</v>
      </c>
      <c r="AZ431" t="s">
        <v>74</v>
      </c>
      <c r="BA431" t="s">
        <v>74</v>
      </c>
      <c r="BB431">
        <v>2971</v>
      </c>
      <c r="BC431">
        <v>2979</v>
      </c>
      <c r="BD431" t="s">
        <v>74</v>
      </c>
      <c r="BE431" t="s">
        <v>8134</v>
      </c>
      <c r="BF431" t="str">
        <f>HYPERLINK("http://dx.doi.org/10.1016/j.atmosenv.2010.05.015","http://dx.doi.org/10.1016/j.atmosenv.2010.05.015")</f>
        <v>http://dx.doi.org/10.1016/j.atmosenv.2010.05.015</v>
      </c>
      <c r="BG431" t="s">
        <v>74</v>
      </c>
      <c r="BH431" t="s">
        <v>74</v>
      </c>
      <c r="BI431">
        <v>9</v>
      </c>
      <c r="BJ431" t="s">
        <v>272</v>
      </c>
      <c r="BK431" t="s">
        <v>100</v>
      </c>
      <c r="BL431" t="s">
        <v>273</v>
      </c>
      <c r="BM431" t="s">
        <v>8135</v>
      </c>
      <c r="BN431" t="s">
        <v>74</v>
      </c>
      <c r="BO431" t="s">
        <v>74</v>
      </c>
      <c r="BP431" t="s">
        <v>74</v>
      </c>
      <c r="BQ431" t="s">
        <v>74</v>
      </c>
      <c r="BR431" t="s">
        <v>104</v>
      </c>
      <c r="BS431" t="s">
        <v>8136</v>
      </c>
      <c r="BT431" t="str">
        <f>HYPERLINK("https%3A%2F%2Fwww.webofscience.com%2Fwos%2Fwoscc%2Ffull-record%2FWOS:000280616100004","View Full Record in Web of Science")</f>
        <v>View Full Record in Web of Science</v>
      </c>
    </row>
    <row r="432" spans="1:72" x14ac:dyDescent="0.15">
      <c r="A432" t="s">
        <v>72</v>
      </c>
      <c r="B432" t="s">
        <v>8137</v>
      </c>
      <c r="C432" t="s">
        <v>74</v>
      </c>
      <c r="D432" t="s">
        <v>74</v>
      </c>
      <c r="E432" t="s">
        <v>74</v>
      </c>
      <c r="F432" t="s">
        <v>8138</v>
      </c>
      <c r="G432" t="s">
        <v>74</v>
      </c>
      <c r="H432" t="s">
        <v>74</v>
      </c>
      <c r="I432" t="s">
        <v>8139</v>
      </c>
      <c r="J432" t="s">
        <v>8140</v>
      </c>
      <c r="K432" t="s">
        <v>74</v>
      </c>
      <c r="L432" t="s">
        <v>74</v>
      </c>
      <c r="M432" t="s">
        <v>78</v>
      </c>
      <c r="N432" t="s">
        <v>79</v>
      </c>
      <c r="O432" t="s">
        <v>74</v>
      </c>
      <c r="P432" t="s">
        <v>74</v>
      </c>
      <c r="Q432" t="s">
        <v>74</v>
      </c>
      <c r="R432" t="s">
        <v>74</v>
      </c>
      <c r="S432" t="s">
        <v>74</v>
      </c>
      <c r="T432" t="s">
        <v>8141</v>
      </c>
      <c r="U432" t="s">
        <v>8142</v>
      </c>
      <c r="V432" t="s">
        <v>8143</v>
      </c>
      <c r="W432" t="s">
        <v>8144</v>
      </c>
      <c r="X432" t="s">
        <v>8145</v>
      </c>
      <c r="Y432" t="s">
        <v>8146</v>
      </c>
      <c r="Z432" t="s">
        <v>8147</v>
      </c>
      <c r="AA432" t="s">
        <v>8148</v>
      </c>
      <c r="AB432" t="s">
        <v>8149</v>
      </c>
      <c r="AC432" t="s">
        <v>8150</v>
      </c>
      <c r="AD432" t="s">
        <v>8150</v>
      </c>
      <c r="AE432" t="s">
        <v>8151</v>
      </c>
      <c r="AF432" t="s">
        <v>74</v>
      </c>
      <c r="AG432">
        <v>31</v>
      </c>
      <c r="AH432">
        <v>29</v>
      </c>
      <c r="AI432">
        <v>30</v>
      </c>
      <c r="AJ432">
        <v>0</v>
      </c>
      <c r="AK432">
        <v>10</v>
      </c>
      <c r="AL432" t="s">
        <v>8152</v>
      </c>
      <c r="AM432" t="s">
        <v>8153</v>
      </c>
      <c r="AN432" t="s">
        <v>8154</v>
      </c>
      <c r="AO432" t="s">
        <v>8155</v>
      </c>
      <c r="AP432" t="s">
        <v>8156</v>
      </c>
      <c r="AQ432" t="s">
        <v>74</v>
      </c>
      <c r="AR432" t="s">
        <v>8140</v>
      </c>
      <c r="AS432" t="s">
        <v>8157</v>
      </c>
      <c r="AT432" t="s">
        <v>7680</v>
      </c>
      <c r="AU432">
        <v>2010</v>
      </c>
      <c r="AV432">
        <v>92</v>
      </c>
      <c r="AW432">
        <v>8</v>
      </c>
      <c r="AX432" t="s">
        <v>74</v>
      </c>
      <c r="AY432" t="s">
        <v>74</v>
      </c>
      <c r="AZ432" t="s">
        <v>74</v>
      </c>
      <c r="BA432" t="s">
        <v>74</v>
      </c>
      <c r="BB432">
        <v>949</v>
      </c>
      <c r="BC432">
        <v>957</v>
      </c>
      <c r="BD432" t="s">
        <v>74</v>
      </c>
      <c r="BE432" t="s">
        <v>8158</v>
      </c>
      <c r="BF432" t="str">
        <f>HYPERLINK("http://dx.doi.org/10.1016/j.biochi.2010.04.001","http://dx.doi.org/10.1016/j.biochi.2010.04.001")</f>
        <v>http://dx.doi.org/10.1016/j.biochi.2010.04.001</v>
      </c>
      <c r="BG432" t="s">
        <v>74</v>
      </c>
      <c r="BH432" t="s">
        <v>74</v>
      </c>
      <c r="BI432">
        <v>9</v>
      </c>
      <c r="BJ432" t="s">
        <v>1933</v>
      </c>
      <c r="BK432" t="s">
        <v>100</v>
      </c>
      <c r="BL432" t="s">
        <v>1933</v>
      </c>
      <c r="BM432" t="s">
        <v>8159</v>
      </c>
      <c r="BN432">
        <v>20382198</v>
      </c>
      <c r="BO432" t="s">
        <v>74</v>
      </c>
      <c r="BP432" t="s">
        <v>74</v>
      </c>
      <c r="BQ432" t="s">
        <v>74</v>
      </c>
      <c r="BR432" t="s">
        <v>104</v>
      </c>
      <c r="BS432" t="s">
        <v>8160</v>
      </c>
      <c r="BT432" t="str">
        <f>HYPERLINK("https%3A%2F%2Fwww.webofscience.com%2Fwos%2Fwoscc%2Ffull-record%2FWOS:000280570800005","View Full Record in Web of Science")</f>
        <v>View Full Record in Web of Science</v>
      </c>
    </row>
    <row r="433" spans="1:72" x14ac:dyDescent="0.15">
      <c r="A433" t="s">
        <v>72</v>
      </c>
      <c r="B433" t="s">
        <v>8161</v>
      </c>
      <c r="C433" t="s">
        <v>74</v>
      </c>
      <c r="D433" t="s">
        <v>74</v>
      </c>
      <c r="E433" t="s">
        <v>74</v>
      </c>
      <c r="F433" t="s">
        <v>8162</v>
      </c>
      <c r="G433" t="s">
        <v>74</v>
      </c>
      <c r="H433" t="s">
        <v>74</v>
      </c>
      <c r="I433" t="s">
        <v>8163</v>
      </c>
      <c r="J433" t="s">
        <v>8140</v>
      </c>
      <c r="K433" t="s">
        <v>74</v>
      </c>
      <c r="L433" t="s">
        <v>74</v>
      </c>
      <c r="M433" t="s">
        <v>78</v>
      </c>
      <c r="N433" t="s">
        <v>79</v>
      </c>
      <c r="O433" t="s">
        <v>74</v>
      </c>
      <c r="P433" t="s">
        <v>74</v>
      </c>
      <c r="Q433" t="s">
        <v>74</v>
      </c>
      <c r="R433" t="s">
        <v>74</v>
      </c>
      <c r="S433" t="s">
        <v>74</v>
      </c>
      <c r="T433" t="s">
        <v>8164</v>
      </c>
      <c r="U433" t="s">
        <v>8165</v>
      </c>
      <c r="V433" t="s">
        <v>8166</v>
      </c>
      <c r="W433" t="s">
        <v>8167</v>
      </c>
      <c r="X433" t="s">
        <v>8168</v>
      </c>
      <c r="Y433" t="s">
        <v>8169</v>
      </c>
      <c r="Z433" t="s">
        <v>8170</v>
      </c>
      <c r="AA433" t="s">
        <v>8171</v>
      </c>
      <c r="AB433" t="s">
        <v>8172</v>
      </c>
      <c r="AC433" t="s">
        <v>8173</v>
      </c>
      <c r="AD433" t="s">
        <v>8174</v>
      </c>
      <c r="AE433" t="s">
        <v>8175</v>
      </c>
      <c r="AF433" t="s">
        <v>74</v>
      </c>
      <c r="AG433">
        <v>30</v>
      </c>
      <c r="AH433">
        <v>32</v>
      </c>
      <c r="AI433">
        <v>32</v>
      </c>
      <c r="AJ433">
        <v>0</v>
      </c>
      <c r="AK433">
        <v>6</v>
      </c>
      <c r="AL433" t="s">
        <v>8152</v>
      </c>
      <c r="AM433" t="s">
        <v>8153</v>
      </c>
      <c r="AN433" t="s">
        <v>8154</v>
      </c>
      <c r="AO433" t="s">
        <v>8155</v>
      </c>
      <c r="AP433" t="s">
        <v>8156</v>
      </c>
      <c r="AQ433" t="s">
        <v>74</v>
      </c>
      <c r="AR433" t="s">
        <v>8140</v>
      </c>
      <c r="AS433" t="s">
        <v>8157</v>
      </c>
      <c r="AT433" t="s">
        <v>7680</v>
      </c>
      <c r="AU433">
        <v>2010</v>
      </c>
      <c r="AV433">
        <v>92</v>
      </c>
      <c r="AW433">
        <v>8</v>
      </c>
      <c r="AX433" t="s">
        <v>74</v>
      </c>
      <c r="AY433" t="s">
        <v>74</v>
      </c>
      <c r="AZ433" t="s">
        <v>74</v>
      </c>
      <c r="BA433" t="s">
        <v>74</v>
      </c>
      <c r="BB433">
        <v>1003</v>
      </c>
      <c r="BC433">
        <v>1009</v>
      </c>
      <c r="BD433" t="s">
        <v>74</v>
      </c>
      <c r="BE433" t="s">
        <v>8176</v>
      </c>
      <c r="BF433" t="str">
        <f>HYPERLINK("http://dx.doi.org/10.1016/j.biochi.2010.04.018","http://dx.doi.org/10.1016/j.biochi.2010.04.018")</f>
        <v>http://dx.doi.org/10.1016/j.biochi.2010.04.018</v>
      </c>
      <c r="BG433" t="s">
        <v>74</v>
      </c>
      <c r="BH433" t="s">
        <v>74</v>
      </c>
      <c r="BI433">
        <v>7</v>
      </c>
      <c r="BJ433" t="s">
        <v>1933</v>
      </c>
      <c r="BK433" t="s">
        <v>100</v>
      </c>
      <c r="BL433" t="s">
        <v>1933</v>
      </c>
      <c r="BM433" t="s">
        <v>8159</v>
      </c>
      <c r="BN433">
        <v>20434514</v>
      </c>
      <c r="BO433" t="s">
        <v>74</v>
      </c>
      <c r="BP433" t="s">
        <v>74</v>
      </c>
      <c r="BQ433" t="s">
        <v>74</v>
      </c>
      <c r="BR433" t="s">
        <v>104</v>
      </c>
      <c r="BS433" t="s">
        <v>8177</v>
      </c>
      <c r="BT433" t="str">
        <f>HYPERLINK("https%3A%2F%2Fwww.webofscience.com%2Fwos%2Fwoscc%2Ffull-record%2FWOS:000280570800012","View Full Record in Web of Science")</f>
        <v>View Full Record in Web of Science</v>
      </c>
    </row>
    <row r="434" spans="1:72" x14ac:dyDescent="0.15">
      <c r="A434" t="s">
        <v>72</v>
      </c>
      <c r="B434" t="s">
        <v>8178</v>
      </c>
      <c r="C434" t="s">
        <v>74</v>
      </c>
      <c r="D434" t="s">
        <v>74</v>
      </c>
      <c r="E434" t="s">
        <v>74</v>
      </c>
      <c r="F434" t="s">
        <v>8179</v>
      </c>
      <c r="G434" t="s">
        <v>74</v>
      </c>
      <c r="H434" t="s">
        <v>74</v>
      </c>
      <c r="I434" t="s">
        <v>8180</v>
      </c>
      <c r="J434" t="s">
        <v>353</v>
      </c>
      <c r="K434" t="s">
        <v>74</v>
      </c>
      <c r="L434" t="s">
        <v>74</v>
      </c>
      <c r="M434" t="s">
        <v>78</v>
      </c>
      <c r="N434" t="s">
        <v>79</v>
      </c>
      <c r="O434" t="s">
        <v>74</v>
      </c>
      <c r="P434" t="s">
        <v>74</v>
      </c>
      <c r="Q434" t="s">
        <v>74</v>
      </c>
      <c r="R434" t="s">
        <v>74</v>
      </c>
      <c r="S434" t="s">
        <v>74</v>
      </c>
      <c r="T434" t="s">
        <v>8181</v>
      </c>
      <c r="U434" t="s">
        <v>8182</v>
      </c>
      <c r="V434" t="s">
        <v>8183</v>
      </c>
      <c r="W434" t="s">
        <v>8184</v>
      </c>
      <c r="X434" t="s">
        <v>8185</v>
      </c>
      <c r="Y434" t="s">
        <v>8186</v>
      </c>
      <c r="Z434" t="s">
        <v>8187</v>
      </c>
      <c r="AA434" t="s">
        <v>74</v>
      </c>
      <c r="AB434" t="s">
        <v>8188</v>
      </c>
      <c r="AC434" t="s">
        <v>8189</v>
      </c>
      <c r="AD434" t="s">
        <v>8190</v>
      </c>
      <c r="AE434" t="s">
        <v>8191</v>
      </c>
      <c r="AF434" t="s">
        <v>74</v>
      </c>
      <c r="AG434">
        <v>18</v>
      </c>
      <c r="AH434">
        <v>6</v>
      </c>
      <c r="AI434">
        <v>7</v>
      </c>
      <c r="AJ434">
        <v>1</v>
      </c>
      <c r="AK434">
        <v>10</v>
      </c>
      <c r="AL434" t="s">
        <v>119</v>
      </c>
      <c r="AM434" t="s">
        <v>120</v>
      </c>
      <c r="AN434" t="s">
        <v>121</v>
      </c>
      <c r="AO434" t="s">
        <v>365</v>
      </c>
      <c r="AP434" t="s">
        <v>366</v>
      </c>
      <c r="AQ434" t="s">
        <v>74</v>
      </c>
      <c r="AR434" t="s">
        <v>367</v>
      </c>
      <c r="AS434" t="s">
        <v>368</v>
      </c>
      <c r="AT434" t="s">
        <v>7680</v>
      </c>
      <c r="AU434">
        <v>2010</v>
      </c>
      <c r="AV434">
        <v>24</v>
      </c>
      <c r="AW434">
        <v>3</v>
      </c>
      <c r="AX434" t="s">
        <v>74</v>
      </c>
      <c r="AY434" t="s">
        <v>74</v>
      </c>
      <c r="AZ434" t="s">
        <v>74</v>
      </c>
      <c r="BA434" t="s">
        <v>74</v>
      </c>
      <c r="BB434">
        <v>1946</v>
      </c>
      <c r="BC434">
        <v>1949</v>
      </c>
      <c r="BD434" t="s">
        <v>74</v>
      </c>
      <c r="BE434" t="s">
        <v>8192</v>
      </c>
      <c r="BF434" t="str">
        <f>HYPERLINK("http://dx.doi.org/10.2478/V10133-010-0068-5","http://dx.doi.org/10.2478/V10133-010-0068-5")</f>
        <v>http://dx.doi.org/10.2478/V10133-010-0068-5</v>
      </c>
      <c r="BG434" t="s">
        <v>74</v>
      </c>
      <c r="BH434" t="s">
        <v>74</v>
      </c>
      <c r="BI434">
        <v>4</v>
      </c>
      <c r="BJ434" t="s">
        <v>370</v>
      </c>
      <c r="BK434" t="s">
        <v>100</v>
      </c>
      <c r="BL434" t="s">
        <v>370</v>
      </c>
      <c r="BM434" t="s">
        <v>8193</v>
      </c>
      <c r="BN434" t="s">
        <v>74</v>
      </c>
      <c r="BO434" t="s">
        <v>394</v>
      </c>
      <c r="BP434" t="s">
        <v>74</v>
      </c>
      <c r="BQ434" t="s">
        <v>74</v>
      </c>
      <c r="BR434" t="s">
        <v>104</v>
      </c>
      <c r="BS434" t="s">
        <v>8194</v>
      </c>
      <c r="BT434" t="str">
        <f>HYPERLINK("https%3A%2F%2Fwww.webofscience.com%2Fwos%2Fwoscc%2Ffull-record%2FWOS:000281303100005","View Full Record in Web of Science")</f>
        <v>View Full Record in Web of Science</v>
      </c>
    </row>
    <row r="435" spans="1:72" x14ac:dyDescent="0.15">
      <c r="A435" t="s">
        <v>72</v>
      </c>
      <c r="B435" t="s">
        <v>8195</v>
      </c>
      <c r="C435" t="s">
        <v>74</v>
      </c>
      <c r="D435" t="s">
        <v>74</v>
      </c>
      <c r="E435" t="s">
        <v>74</v>
      </c>
      <c r="F435" t="s">
        <v>8196</v>
      </c>
      <c r="G435" t="s">
        <v>74</v>
      </c>
      <c r="H435" t="s">
        <v>74</v>
      </c>
      <c r="I435" t="s">
        <v>8197</v>
      </c>
      <c r="J435" t="s">
        <v>8198</v>
      </c>
      <c r="K435" t="s">
        <v>74</v>
      </c>
      <c r="L435" t="s">
        <v>74</v>
      </c>
      <c r="M435" t="s">
        <v>78</v>
      </c>
      <c r="N435" t="s">
        <v>79</v>
      </c>
      <c r="O435" t="s">
        <v>74</v>
      </c>
      <c r="P435" t="s">
        <v>74</v>
      </c>
      <c r="Q435" t="s">
        <v>74</v>
      </c>
      <c r="R435" t="s">
        <v>74</v>
      </c>
      <c r="S435" t="s">
        <v>74</v>
      </c>
      <c r="T435" t="s">
        <v>74</v>
      </c>
      <c r="U435" t="s">
        <v>8199</v>
      </c>
      <c r="V435" t="s">
        <v>8200</v>
      </c>
      <c r="W435" t="s">
        <v>8201</v>
      </c>
      <c r="X435" t="s">
        <v>8202</v>
      </c>
      <c r="Y435" t="s">
        <v>8203</v>
      </c>
      <c r="Z435" t="s">
        <v>8204</v>
      </c>
      <c r="AA435" t="s">
        <v>8205</v>
      </c>
      <c r="AB435" t="s">
        <v>8206</v>
      </c>
      <c r="AC435" t="s">
        <v>8207</v>
      </c>
      <c r="AD435" t="s">
        <v>8208</v>
      </c>
      <c r="AE435" t="s">
        <v>8209</v>
      </c>
      <c r="AF435" t="s">
        <v>74</v>
      </c>
      <c r="AG435">
        <v>75</v>
      </c>
      <c r="AH435">
        <v>31</v>
      </c>
      <c r="AI435">
        <v>35</v>
      </c>
      <c r="AJ435">
        <v>2</v>
      </c>
      <c r="AK435">
        <v>20</v>
      </c>
      <c r="AL435" t="s">
        <v>8210</v>
      </c>
      <c r="AM435" t="s">
        <v>5603</v>
      </c>
      <c r="AN435" t="s">
        <v>8211</v>
      </c>
      <c r="AO435" t="s">
        <v>8212</v>
      </c>
      <c r="AP435" t="s">
        <v>74</v>
      </c>
      <c r="AQ435" t="s">
        <v>74</v>
      </c>
      <c r="AR435" t="s">
        <v>8213</v>
      </c>
      <c r="AS435" t="s">
        <v>8214</v>
      </c>
      <c r="AT435" t="s">
        <v>7680</v>
      </c>
      <c r="AU435">
        <v>2010</v>
      </c>
      <c r="AV435">
        <v>67</v>
      </c>
      <c r="AW435">
        <v>8</v>
      </c>
      <c r="AX435" t="s">
        <v>74</v>
      </c>
      <c r="AY435" t="s">
        <v>74</v>
      </c>
      <c r="AZ435" t="s">
        <v>74</v>
      </c>
      <c r="BA435" t="s">
        <v>74</v>
      </c>
      <c r="BB435">
        <v>1303</v>
      </c>
      <c r="BC435">
        <v>1315</v>
      </c>
      <c r="BD435" t="s">
        <v>74</v>
      </c>
      <c r="BE435" t="s">
        <v>8215</v>
      </c>
      <c r="BF435" t="str">
        <f>HYPERLINK("http://dx.doi.org/10.1139/F10-065","http://dx.doi.org/10.1139/F10-065")</f>
        <v>http://dx.doi.org/10.1139/F10-065</v>
      </c>
      <c r="BG435" t="s">
        <v>74</v>
      </c>
      <c r="BH435" t="s">
        <v>74</v>
      </c>
      <c r="BI435">
        <v>13</v>
      </c>
      <c r="BJ435" t="s">
        <v>8216</v>
      </c>
      <c r="BK435" t="s">
        <v>100</v>
      </c>
      <c r="BL435" t="s">
        <v>8216</v>
      </c>
      <c r="BM435" t="s">
        <v>8217</v>
      </c>
      <c r="BN435" t="s">
        <v>74</v>
      </c>
      <c r="BO435" t="s">
        <v>74</v>
      </c>
      <c r="BP435" t="s">
        <v>74</v>
      </c>
      <c r="BQ435" t="s">
        <v>74</v>
      </c>
      <c r="BR435" t="s">
        <v>104</v>
      </c>
      <c r="BS435" t="s">
        <v>8218</v>
      </c>
      <c r="BT435" t="str">
        <f>HYPERLINK("https%3A%2F%2Fwww.webofscience.com%2Fwos%2Fwoscc%2Ffull-record%2FWOS:000281208400009","View Full Record in Web of Science")</f>
        <v>View Full Record in Web of Science</v>
      </c>
    </row>
    <row r="436" spans="1:72" x14ac:dyDescent="0.15">
      <c r="A436" t="s">
        <v>72</v>
      </c>
      <c r="B436" t="s">
        <v>8219</v>
      </c>
      <c r="C436" t="s">
        <v>74</v>
      </c>
      <c r="D436" t="s">
        <v>74</v>
      </c>
      <c r="E436" t="s">
        <v>74</v>
      </c>
      <c r="F436" t="s">
        <v>8220</v>
      </c>
      <c r="G436" t="s">
        <v>74</v>
      </c>
      <c r="H436" t="s">
        <v>74</v>
      </c>
      <c r="I436" t="s">
        <v>8221</v>
      </c>
      <c r="J436" t="s">
        <v>425</v>
      </c>
      <c r="K436" t="s">
        <v>74</v>
      </c>
      <c r="L436" t="s">
        <v>74</v>
      </c>
      <c r="M436" t="s">
        <v>78</v>
      </c>
      <c r="N436" t="s">
        <v>79</v>
      </c>
      <c r="O436" t="s">
        <v>74</v>
      </c>
      <c r="P436" t="s">
        <v>74</v>
      </c>
      <c r="Q436" t="s">
        <v>74</v>
      </c>
      <c r="R436" t="s">
        <v>74</v>
      </c>
      <c r="S436" t="s">
        <v>74</v>
      </c>
      <c r="T436" t="s">
        <v>8222</v>
      </c>
      <c r="U436" t="s">
        <v>8223</v>
      </c>
      <c r="V436" t="s">
        <v>8224</v>
      </c>
      <c r="W436" t="s">
        <v>8225</v>
      </c>
      <c r="X436" t="s">
        <v>8226</v>
      </c>
      <c r="Y436" t="s">
        <v>8227</v>
      </c>
      <c r="Z436" t="s">
        <v>8228</v>
      </c>
      <c r="AA436" t="s">
        <v>8229</v>
      </c>
      <c r="AB436" t="s">
        <v>8230</v>
      </c>
      <c r="AC436" t="s">
        <v>8231</v>
      </c>
      <c r="AD436" t="s">
        <v>8232</v>
      </c>
      <c r="AE436" t="s">
        <v>8233</v>
      </c>
      <c r="AF436" t="s">
        <v>74</v>
      </c>
      <c r="AG436">
        <v>20</v>
      </c>
      <c r="AH436">
        <v>7</v>
      </c>
      <c r="AI436">
        <v>9</v>
      </c>
      <c r="AJ436">
        <v>3</v>
      </c>
      <c r="AK436">
        <v>21</v>
      </c>
      <c r="AL436" t="s">
        <v>436</v>
      </c>
      <c r="AM436" t="s">
        <v>437</v>
      </c>
      <c r="AN436" t="s">
        <v>438</v>
      </c>
      <c r="AO436" t="s">
        <v>439</v>
      </c>
      <c r="AP436" t="s">
        <v>440</v>
      </c>
      <c r="AQ436" t="s">
        <v>74</v>
      </c>
      <c r="AR436" t="s">
        <v>441</v>
      </c>
      <c r="AS436" t="s">
        <v>442</v>
      </c>
      <c r="AT436" t="s">
        <v>7680</v>
      </c>
      <c r="AU436">
        <v>2010</v>
      </c>
      <c r="AV436">
        <v>55</v>
      </c>
      <c r="AW436">
        <v>22</v>
      </c>
      <c r="AX436" t="s">
        <v>74</v>
      </c>
      <c r="AY436" t="s">
        <v>74</v>
      </c>
      <c r="AZ436" t="s">
        <v>74</v>
      </c>
      <c r="BA436" t="s">
        <v>74</v>
      </c>
      <c r="BB436">
        <v>2469</v>
      </c>
      <c r="BC436">
        <v>2472</v>
      </c>
      <c r="BD436" t="s">
        <v>74</v>
      </c>
      <c r="BE436" t="s">
        <v>8234</v>
      </c>
      <c r="BF436" t="str">
        <f>HYPERLINK("http://dx.doi.org/10.1007/s11434-010-3210-8","http://dx.doi.org/10.1007/s11434-010-3210-8")</f>
        <v>http://dx.doi.org/10.1007/s11434-010-3210-8</v>
      </c>
      <c r="BG436" t="s">
        <v>74</v>
      </c>
      <c r="BH436" t="s">
        <v>74</v>
      </c>
      <c r="BI436">
        <v>4</v>
      </c>
      <c r="BJ436" t="s">
        <v>444</v>
      </c>
      <c r="BK436" t="s">
        <v>100</v>
      </c>
      <c r="BL436" t="s">
        <v>445</v>
      </c>
      <c r="BM436" t="s">
        <v>8235</v>
      </c>
      <c r="BN436" t="s">
        <v>74</v>
      </c>
      <c r="BO436" t="s">
        <v>74</v>
      </c>
      <c r="BP436" t="s">
        <v>74</v>
      </c>
      <c r="BQ436" t="s">
        <v>74</v>
      </c>
      <c r="BR436" t="s">
        <v>104</v>
      </c>
      <c r="BS436" t="s">
        <v>8236</v>
      </c>
      <c r="BT436" t="str">
        <f>HYPERLINK("https%3A%2F%2Fwww.webofscience.com%2Fwos%2Fwoscc%2Ffull-record%2FWOS:000280808100021","View Full Record in Web of Science")</f>
        <v>View Full Record in Web of Science</v>
      </c>
    </row>
    <row r="437" spans="1:72" x14ac:dyDescent="0.15">
      <c r="A437" t="s">
        <v>72</v>
      </c>
      <c r="B437" t="s">
        <v>8237</v>
      </c>
      <c r="C437" t="s">
        <v>74</v>
      </c>
      <c r="D437" t="s">
        <v>74</v>
      </c>
      <c r="E437" t="s">
        <v>74</v>
      </c>
      <c r="F437" t="s">
        <v>8238</v>
      </c>
      <c r="G437" t="s">
        <v>74</v>
      </c>
      <c r="H437" t="s">
        <v>74</v>
      </c>
      <c r="I437" t="s">
        <v>8239</v>
      </c>
      <c r="J437" t="s">
        <v>425</v>
      </c>
      <c r="K437" t="s">
        <v>74</v>
      </c>
      <c r="L437" t="s">
        <v>74</v>
      </c>
      <c r="M437" t="s">
        <v>78</v>
      </c>
      <c r="N437" t="s">
        <v>79</v>
      </c>
      <c r="O437" t="s">
        <v>74</v>
      </c>
      <c r="P437" t="s">
        <v>74</v>
      </c>
      <c r="Q437" t="s">
        <v>74</v>
      </c>
      <c r="R437" t="s">
        <v>74</v>
      </c>
      <c r="S437" t="s">
        <v>74</v>
      </c>
      <c r="T437" t="s">
        <v>8240</v>
      </c>
      <c r="U437" t="s">
        <v>8241</v>
      </c>
      <c r="V437" t="s">
        <v>8242</v>
      </c>
      <c r="W437" t="s">
        <v>8243</v>
      </c>
      <c r="X437" t="s">
        <v>8244</v>
      </c>
      <c r="Y437" t="s">
        <v>8245</v>
      </c>
      <c r="Z437" t="s">
        <v>8246</v>
      </c>
      <c r="AA437" t="s">
        <v>8247</v>
      </c>
      <c r="AB437" t="s">
        <v>8248</v>
      </c>
      <c r="AC437" t="s">
        <v>8249</v>
      </c>
      <c r="AD437" t="s">
        <v>8250</v>
      </c>
      <c r="AE437" t="s">
        <v>8251</v>
      </c>
      <c r="AF437" t="s">
        <v>74</v>
      </c>
      <c r="AG437">
        <v>40</v>
      </c>
      <c r="AH437">
        <v>2</v>
      </c>
      <c r="AI437">
        <v>2</v>
      </c>
      <c r="AJ437">
        <v>3</v>
      </c>
      <c r="AK437">
        <v>22</v>
      </c>
      <c r="AL437" t="s">
        <v>436</v>
      </c>
      <c r="AM437" t="s">
        <v>437</v>
      </c>
      <c r="AN437" t="s">
        <v>438</v>
      </c>
      <c r="AO437" t="s">
        <v>439</v>
      </c>
      <c r="AP437" t="s">
        <v>74</v>
      </c>
      <c r="AQ437" t="s">
        <v>74</v>
      </c>
      <c r="AR437" t="s">
        <v>441</v>
      </c>
      <c r="AS437" t="s">
        <v>442</v>
      </c>
      <c r="AT437" t="s">
        <v>7680</v>
      </c>
      <c r="AU437">
        <v>2010</v>
      </c>
      <c r="AV437">
        <v>55</v>
      </c>
      <c r="AW437">
        <v>23</v>
      </c>
      <c r="AX437" t="s">
        <v>74</v>
      </c>
      <c r="AY437" t="s">
        <v>74</v>
      </c>
      <c r="AZ437" t="s">
        <v>74</v>
      </c>
      <c r="BA437" t="s">
        <v>74</v>
      </c>
      <c r="BB437">
        <v>2572</v>
      </c>
      <c r="BC437">
        <v>2578</v>
      </c>
      <c r="BD437" t="s">
        <v>74</v>
      </c>
      <c r="BE437" t="s">
        <v>8252</v>
      </c>
      <c r="BF437" t="str">
        <f>HYPERLINK("http://dx.doi.org/10.1007/s11434-010-3233-1","http://dx.doi.org/10.1007/s11434-010-3233-1")</f>
        <v>http://dx.doi.org/10.1007/s11434-010-3233-1</v>
      </c>
      <c r="BG437" t="s">
        <v>74</v>
      </c>
      <c r="BH437" t="s">
        <v>74</v>
      </c>
      <c r="BI437">
        <v>7</v>
      </c>
      <c r="BJ437" t="s">
        <v>444</v>
      </c>
      <c r="BK437" t="s">
        <v>100</v>
      </c>
      <c r="BL437" t="s">
        <v>445</v>
      </c>
      <c r="BM437" t="s">
        <v>8253</v>
      </c>
      <c r="BN437" t="s">
        <v>74</v>
      </c>
      <c r="BO437" t="s">
        <v>74</v>
      </c>
      <c r="BP437" t="s">
        <v>74</v>
      </c>
      <c r="BQ437" t="s">
        <v>74</v>
      </c>
      <c r="BR437" t="s">
        <v>104</v>
      </c>
      <c r="BS437" t="s">
        <v>8254</v>
      </c>
      <c r="BT437" t="str">
        <f>HYPERLINK("https%3A%2F%2Fwww.webofscience.com%2Fwos%2Fwoscc%2Ffull-record%2FWOS:000280920100014","View Full Record in Web of Science")</f>
        <v>View Full Record in Web of Science</v>
      </c>
    </row>
    <row r="438" spans="1:72" x14ac:dyDescent="0.15">
      <c r="A438" t="s">
        <v>72</v>
      </c>
      <c r="B438" t="s">
        <v>8255</v>
      </c>
      <c r="C438" t="s">
        <v>74</v>
      </c>
      <c r="D438" t="s">
        <v>74</v>
      </c>
      <c r="E438" t="s">
        <v>74</v>
      </c>
      <c r="F438" t="s">
        <v>8256</v>
      </c>
      <c r="G438" t="s">
        <v>74</v>
      </c>
      <c r="H438" t="s">
        <v>74</v>
      </c>
      <c r="I438" t="s">
        <v>8257</v>
      </c>
      <c r="J438" t="s">
        <v>425</v>
      </c>
      <c r="K438" t="s">
        <v>74</v>
      </c>
      <c r="L438" t="s">
        <v>74</v>
      </c>
      <c r="M438" t="s">
        <v>78</v>
      </c>
      <c r="N438" t="s">
        <v>79</v>
      </c>
      <c r="O438" t="s">
        <v>74</v>
      </c>
      <c r="P438" t="s">
        <v>74</v>
      </c>
      <c r="Q438" t="s">
        <v>74</v>
      </c>
      <c r="R438" t="s">
        <v>74</v>
      </c>
      <c r="S438" t="s">
        <v>74</v>
      </c>
      <c r="T438" t="s">
        <v>8258</v>
      </c>
      <c r="U438" t="s">
        <v>8259</v>
      </c>
      <c r="V438" t="s">
        <v>8260</v>
      </c>
      <c r="W438" t="s">
        <v>8261</v>
      </c>
      <c r="X438" t="s">
        <v>8262</v>
      </c>
      <c r="Y438" t="s">
        <v>8263</v>
      </c>
      <c r="Z438" t="s">
        <v>8264</v>
      </c>
      <c r="AA438" t="s">
        <v>8265</v>
      </c>
      <c r="AB438" t="s">
        <v>8266</v>
      </c>
      <c r="AC438" t="s">
        <v>8267</v>
      </c>
      <c r="AD438" t="s">
        <v>8268</v>
      </c>
      <c r="AE438" t="s">
        <v>8269</v>
      </c>
      <c r="AF438" t="s">
        <v>74</v>
      </c>
      <c r="AG438">
        <v>24</v>
      </c>
      <c r="AH438">
        <v>16</v>
      </c>
      <c r="AI438">
        <v>22</v>
      </c>
      <c r="AJ438">
        <v>0</v>
      </c>
      <c r="AK438">
        <v>13</v>
      </c>
      <c r="AL438" t="s">
        <v>436</v>
      </c>
      <c r="AM438" t="s">
        <v>437</v>
      </c>
      <c r="AN438" t="s">
        <v>438</v>
      </c>
      <c r="AO438" t="s">
        <v>439</v>
      </c>
      <c r="AP438" t="s">
        <v>440</v>
      </c>
      <c r="AQ438" t="s">
        <v>74</v>
      </c>
      <c r="AR438" t="s">
        <v>441</v>
      </c>
      <c r="AS438" t="s">
        <v>442</v>
      </c>
      <c r="AT438" t="s">
        <v>7680</v>
      </c>
      <c r="AU438">
        <v>2010</v>
      </c>
      <c r="AV438">
        <v>55</v>
      </c>
      <c r="AW438">
        <v>24</v>
      </c>
      <c r="AX438" t="s">
        <v>74</v>
      </c>
      <c r="AY438" t="s">
        <v>74</v>
      </c>
      <c r="AZ438" t="s">
        <v>74</v>
      </c>
      <c r="BA438" t="s">
        <v>74</v>
      </c>
      <c r="BB438">
        <v>2709</v>
      </c>
      <c r="BC438">
        <v>2714</v>
      </c>
      <c r="BD438" t="s">
        <v>74</v>
      </c>
      <c r="BE438" t="s">
        <v>8270</v>
      </c>
      <c r="BF438" t="str">
        <f>HYPERLINK("http://dx.doi.org/10.1007/s11434-010-3179-3","http://dx.doi.org/10.1007/s11434-010-3179-3")</f>
        <v>http://dx.doi.org/10.1007/s11434-010-3179-3</v>
      </c>
      <c r="BG438" t="s">
        <v>74</v>
      </c>
      <c r="BH438" t="s">
        <v>74</v>
      </c>
      <c r="BI438">
        <v>6</v>
      </c>
      <c r="BJ438" t="s">
        <v>444</v>
      </c>
      <c r="BK438" t="s">
        <v>100</v>
      </c>
      <c r="BL438" t="s">
        <v>445</v>
      </c>
      <c r="BM438" t="s">
        <v>8271</v>
      </c>
      <c r="BN438" t="s">
        <v>74</v>
      </c>
      <c r="BO438" t="s">
        <v>74</v>
      </c>
      <c r="BP438" t="s">
        <v>74</v>
      </c>
      <c r="BQ438" t="s">
        <v>74</v>
      </c>
      <c r="BR438" t="s">
        <v>104</v>
      </c>
      <c r="BS438" t="s">
        <v>8272</v>
      </c>
      <c r="BT438" t="str">
        <f>HYPERLINK("https%3A%2F%2Fwww.webofscience.com%2Fwos%2Fwoscc%2Ffull-record%2FWOS:000280920600018","View Full Record in Web of Science")</f>
        <v>View Full Record in Web of Science</v>
      </c>
    </row>
    <row r="439" spans="1:72" x14ac:dyDescent="0.15">
      <c r="A439" t="s">
        <v>72</v>
      </c>
      <c r="B439" t="s">
        <v>8273</v>
      </c>
      <c r="C439" t="s">
        <v>74</v>
      </c>
      <c r="D439" t="s">
        <v>74</v>
      </c>
      <c r="E439" t="s">
        <v>74</v>
      </c>
      <c r="F439" t="s">
        <v>8274</v>
      </c>
      <c r="G439" t="s">
        <v>74</v>
      </c>
      <c r="H439" t="s">
        <v>74</v>
      </c>
      <c r="I439" t="s">
        <v>8275</v>
      </c>
      <c r="J439" t="s">
        <v>425</v>
      </c>
      <c r="K439" t="s">
        <v>74</v>
      </c>
      <c r="L439" t="s">
        <v>74</v>
      </c>
      <c r="M439" t="s">
        <v>78</v>
      </c>
      <c r="N439" t="s">
        <v>79</v>
      </c>
      <c r="O439" t="s">
        <v>74</v>
      </c>
      <c r="P439" t="s">
        <v>74</v>
      </c>
      <c r="Q439" t="s">
        <v>74</v>
      </c>
      <c r="R439" t="s">
        <v>74</v>
      </c>
      <c r="S439" t="s">
        <v>74</v>
      </c>
      <c r="T439" t="s">
        <v>8276</v>
      </c>
      <c r="U439" t="s">
        <v>8277</v>
      </c>
      <c r="V439" t="s">
        <v>8278</v>
      </c>
      <c r="W439" t="s">
        <v>8279</v>
      </c>
      <c r="X439" t="s">
        <v>8280</v>
      </c>
      <c r="Y439" t="s">
        <v>8281</v>
      </c>
      <c r="Z439" t="s">
        <v>8282</v>
      </c>
      <c r="AA439" t="s">
        <v>8283</v>
      </c>
      <c r="AB439" t="s">
        <v>8284</v>
      </c>
      <c r="AC439" t="s">
        <v>8285</v>
      </c>
      <c r="AD439" t="s">
        <v>8286</v>
      </c>
      <c r="AE439" t="s">
        <v>8287</v>
      </c>
      <c r="AF439" t="s">
        <v>74</v>
      </c>
      <c r="AG439">
        <v>21</v>
      </c>
      <c r="AH439">
        <v>8</v>
      </c>
      <c r="AI439">
        <v>10</v>
      </c>
      <c r="AJ439">
        <v>0</v>
      </c>
      <c r="AK439">
        <v>12</v>
      </c>
      <c r="AL439" t="s">
        <v>436</v>
      </c>
      <c r="AM439" t="s">
        <v>437</v>
      </c>
      <c r="AN439" t="s">
        <v>438</v>
      </c>
      <c r="AO439" t="s">
        <v>439</v>
      </c>
      <c r="AP439" t="s">
        <v>440</v>
      </c>
      <c r="AQ439" t="s">
        <v>74</v>
      </c>
      <c r="AR439" t="s">
        <v>441</v>
      </c>
      <c r="AS439" t="s">
        <v>442</v>
      </c>
      <c r="AT439" t="s">
        <v>7680</v>
      </c>
      <c r="AU439">
        <v>2010</v>
      </c>
      <c r="AV439">
        <v>55</v>
      </c>
      <c r="AW439">
        <v>24</v>
      </c>
      <c r="AX439" t="s">
        <v>74</v>
      </c>
      <c r="AY439" t="s">
        <v>74</v>
      </c>
      <c r="AZ439" t="s">
        <v>74</v>
      </c>
      <c r="BA439" t="s">
        <v>74</v>
      </c>
      <c r="BB439">
        <v>2715</v>
      </c>
      <c r="BC439">
        <v>2722</v>
      </c>
      <c r="BD439" t="s">
        <v>74</v>
      </c>
      <c r="BE439" t="s">
        <v>8288</v>
      </c>
      <c r="BF439" t="str">
        <f>HYPERLINK("http://dx.doi.org/10.1007/s11434-010-3238-9","http://dx.doi.org/10.1007/s11434-010-3238-9")</f>
        <v>http://dx.doi.org/10.1007/s11434-010-3238-9</v>
      </c>
      <c r="BG439" t="s">
        <v>74</v>
      </c>
      <c r="BH439" t="s">
        <v>74</v>
      </c>
      <c r="BI439">
        <v>8</v>
      </c>
      <c r="BJ439" t="s">
        <v>444</v>
      </c>
      <c r="BK439" t="s">
        <v>100</v>
      </c>
      <c r="BL439" t="s">
        <v>445</v>
      </c>
      <c r="BM439" t="s">
        <v>8271</v>
      </c>
      <c r="BN439" t="s">
        <v>74</v>
      </c>
      <c r="BO439" t="s">
        <v>74</v>
      </c>
      <c r="BP439" t="s">
        <v>74</v>
      </c>
      <c r="BQ439" t="s">
        <v>74</v>
      </c>
      <c r="BR439" t="s">
        <v>104</v>
      </c>
      <c r="BS439" t="s">
        <v>8289</v>
      </c>
      <c r="BT439" t="str">
        <f>HYPERLINK("https%3A%2F%2Fwww.webofscience.com%2Fwos%2Fwoscc%2Ffull-record%2FWOS:000280920600019","View Full Record in Web of Science")</f>
        <v>View Full Record in Web of Science</v>
      </c>
    </row>
    <row r="440" spans="1:72" x14ac:dyDescent="0.15">
      <c r="A440" t="s">
        <v>72</v>
      </c>
      <c r="B440" t="s">
        <v>8290</v>
      </c>
      <c r="C440" t="s">
        <v>74</v>
      </c>
      <c r="D440" t="s">
        <v>74</v>
      </c>
      <c r="E440" t="s">
        <v>74</v>
      </c>
      <c r="F440" t="s">
        <v>8291</v>
      </c>
      <c r="G440" t="s">
        <v>74</v>
      </c>
      <c r="H440" t="s">
        <v>74</v>
      </c>
      <c r="I440" t="s">
        <v>8292</v>
      </c>
      <c r="J440" t="s">
        <v>5666</v>
      </c>
      <c r="K440" t="s">
        <v>74</v>
      </c>
      <c r="L440" t="s">
        <v>74</v>
      </c>
      <c r="M440" t="s">
        <v>78</v>
      </c>
      <c r="N440" t="s">
        <v>79</v>
      </c>
      <c r="O440" t="s">
        <v>74</v>
      </c>
      <c r="P440" t="s">
        <v>74</v>
      </c>
      <c r="Q440" t="s">
        <v>74</v>
      </c>
      <c r="R440" t="s">
        <v>74</v>
      </c>
      <c r="S440" t="s">
        <v>74</v>
      </c>
      <c r="T440" t="s">
        <v>8293</v>
      </c>
      <c r="U440" t="s">
        <v>8294</v>
      </c>
      <c r="V440" t="s">
        <v>8295</v>
      </c>
      <c r="W440" t="s">
        <v>7403</v>
      </c>
      <c r="X440" t="s">
        <v>3251</v>
      </c>
      <c r="Y440" t="s">
        <v>7404</v>
      </c>
      <c r="Z440" t="s">
        <v>7405</v>
      </c>
      <c r="AA440" t="s">
        <v>74</v>
      </c>
      <c r="AB440" t="s">
        <v>74</v>
      </c>
      <c r="AC440" t="s">
        <v>8296</v>
      </c>
      <c r="AD440" t="s">
        <v>8297</v>
      </c>
      <c r="AE440" t="s">
        <v>8298</v>
      </c>
      <c r="AF440" t="s">
        <v>74</v>
      </c>
      <c r="AG440">
        <v>61</v>
      </c>
      <c r="AH440">
        <v>30</v>
      </c>
      <c r="AI440">
        <v>34</v>
      </c>
      <c r="AJ440">
        <v>1</v>
      </c>
      <c r="AK440">
        <v>20</v>
      </c>
      <c r="AL440" t="s">
        <v>309</v>
      </c>
      <c r="AM440" t="s">
        <v>310</v>
      </c>
      <c r="AN440" t="s">
        <v>311</v>
      </c>
      <c r="AO440" t="s">
        <v>5673</v>
      </c>
      <c r="AP440" t="s">
        <v>8299</v>
      </c>
      <c r="AQ440" t="s">
        <v>74</v>
      </c>
      <c r="AR440" t="s">
        <v>5674</v>
      </c>
      <c r="AS440" t="s">
        <v>5675</v>
      </c>
      <c r="AT440" t="s">
        <v>7680</v>
      </c>
      <c r="AU440">
        <v>2010</v>
      </c>
      <c r="AV440">
        <v>156</v>
      </c>
      <c r="AW440">
        <v>4</v>
      </c>
      <c r="AX440" t="s">
        <v>74</v>
      </c>
      <c r="AY440" t="s">
        <v>74</v>
      </c>
      <c r="AZ440" t="s">
        <v>74</v>
      </c>
      <c r="BA440" t="s">
        <v>74</v>
      </c>
      <c r="BB440">
        <v>422</v>
      </c>
      <c r="BC440">
        <v>429</v>
      </c>
      <c r="BD440" t="s">
        <v>74</v>
      </c>
      <c r="BE440" t="s">
        <v>8300</v>
      </c>
      <c r="BF440" t="str">
        <f>HYPERLINK("http://dx.doi.org/10.1016/j.cbpa.2010.03.027","http://dx.doi.org/10.1016/j.cbpa.2010.03.027")</f>
        <v>http://dx.doi.org/10.1016/j.cbpa.2010.03.027</v>
      </c>
      <c r="BG440" t="s">
        <v>74</v>
      </c>
      <c r="BH440" t="s">
        <v>74</v>
      </c>
      <c r="BI440">
        <v>8</v>
      </c>
      <c r="BJ440" t="s">
        <v>5678</v>
      </c>
      <c r="BK440" t="s">
        <v>100</v>
      </c>
      <c r="BL440" t="s">
        <v>5678</v>
      </c>
      <c r="BM440" t="s">
        <v>8301</v>
      </c>
      <c r="BN440">
        <v>20362691</v>
      </c>
      <c r="BO440" t="s">
        <v>74</v>
      </c>
      <c r="BP440" t="s">
        <v>74</v>
      </c>
      <c r="BQ440" t="s">
        <v>74</v>
      </c>
      <c r="BR440" t="s">
        <v>104</v>
      </c>
      <c r="BS440" t="s">
        <v>8302</v>
      </c>
      <c r="BT440" t="str">
        <f>HYPERLINK("https%3A%2F%2Fwww.webofscience.com%2Fwos%2Fwoscc%2Ffull-record%2FWOS:000279582000008","View Full Record in Web of Science")</f>
        <v>View Full Record in Web of Science</v>
      </c>
    </row>
    <row r="441" spans="1:72" x14ac:dyDescent="0.15">
      <c r="A441" t="s">
        <v>72</v>
      </c>
      <c r="B441" t="s">
        <v>8303</v>
      </c>
      <c r="C441" t="s">
        <v>74</v>
      </c>
      <c r="D441" t="s">
        <v>74</v>
      </c>
      <c r="E441" t="s">
        <v>74</v>
      </c>
      <c r="F441" t="s">
        <v>8304</v>
      </c>
      <c r="G441" t="s">
        <v>74</v>
      </c>
      <c r="H441" t="s">
        <v>74</v>
      </c>
      <c r="I441" t="s">
        <v>8305</v>
      </c>
      <c r="J441" t="s">
        <v>8306</v>
      </c>
      <c r="K441" t="s">
        <v>74</v>
      </c>
      <c r="L441" t="s">
        <v>74</v>
      </c>
      <c r="M441" t="s">
        <v>78</v>
      </c>
      <c r="N441" t="s">
        <v>79</v>
      </c>
      <c r="O441" t="s">
        <v>74</v>
      </c>
      <c r="P441" t="s">
        <v>74</v>
      </c>
      <c r="Q441" t="s">
        <v>74</v>
      </c>
      <c r="R441" t="s">
        <v>74</v>
      </c>
      <c r="S441" t="s">
        <v>74</v>
      </c>
      <c r="T441" t="s">
        <v>8307</v>
      </c>
      <c r="U441" t="s">
        <v>8308</v>
      </c>
      <c r="V441" t="s">
        <v>8309</v>
      </c>
      <c r="W441" t="s">
        <v>8310</v>
      </c>
      <c r="X441" t="s">
        <v>8311</v>
      </c>
      <c r="Y441" t="s">
        <v>8312</v>
      </c>
      <c r="Z441" t="s">
        <v>8313</v>
      </c>
      <c r="AA441" t="s">
        <v>74</v>
      </c>
      <c r="AB441" t="s">
        <v>74</v>
      </c>
      <c r="AC441" t="s">
        <v>8314</v>
      </c>
      <c r="AD441" t="s">
        <v>8315</v>
      </c>
      <c r="AE441" t="s">
        <v>8316</v>
      </c>
      <c r="AF441" t="s">
        <v>74</v>
      </c>
      <c r="AG441">
        <v>30</v>
      </c>
      <c r="AH441">
        <v>14</v>
      </c>
      <c r="AI441">
        <v>14</v>
      </c>
      <c r="AJ441">
        <v>0</v>
      </c>
      <c r="AK441">
        <v>25</v>
      </c>
      <c r="AL441" t="s">
        <v>1136</v>
      </c>
      <c r="AM441" t="s">
        <v>1137</v>
      </c>
      <c r="AN441" t="s">
        <v>1138</v>
      </c>
      <c r="AO441" t="s">
        <v>8317</v>
      </c>
      <c r="AP441" t="s">
        <v>8318</v>
      </c>
      <c r="AQ441" t="s">
        <v>74</v>
      </c>
      <c r="AR441" t="s">
        <v>8306</v>
      </c>
      <c r="AS441" t="s">
        <v>8319</v>
      </c>
      <c r="AT441" t="s">
        <v>7680</v>
      </c>
      <c r="AU441">
        <v>2010</v>
      </c>
      <c r="AV441">
        <v>61</v>
      </c>
      <c r="AW441">
        <v>1</v>
      </c>
      <c r="AX441" t="s">
        <v>74</v>
      </c>
      <c r="AY441" t="s">
        <v>74</v>
      </c>
      <c r="AZ441" t="s">
        <v>74</v>
      </c>
      <c r="BA441" t="s">
        <v>74</v>
      </c>
      <c r="BB441">
        <v>128</v>
      </c>
      <c r="BC441">
        <v>132</v>
      </c>
      <c r="BD441" t="s">
        <v>74</v>
      </c>
      <c r="BE441" t="s">
        <v>8320</v>
      </c>
      <c r="BF441" t="str">
        <f>HYPERLINK("http://dx.doi.org/10.1016/j.cryobiol.2010.06.006","http://dx.doi.org/10.1016/j.cryobiol.2010.06.006")</f>
        <v>http://dx.doi.org/10.1016/j.cryobiol.2010.06.006</v>
      </c>
      <c r="BG441" t="s">
        <v>74</v>
      </c>
      <c r="BH441" t="s">
        <v>74</v>
      </c>
      <c r="BI441">
        <v>5</v>
      </c>
      <c r="BJ441" t="s">
        <v>8321</v>
      </c>
      <c r="BK441" t="s">
        <v>100</v>
      </c>
      <c r="BL441" t="s">
        <v>8322</v>
      </c>
      <c r="BM441" t="s">
        <v>8323</v>
      </c>
      <c r="BN441">
        <v>20599885</v>
      </c>
      <c r="BO441" t="s">
        <v>74</v>
      </c>
      <c r="BP441" t="s">
        <v>74</v>
      </c>
      <c r="BQ441" t="s">
        <v>74</v>
      </c>
      <c r="BR441" t="s">
        <v>104</v>
      </c>
      <c r="BS441" t="s">
        <v>8324</v>
      </c>
      <c r="BT441" t="str">
        <f>HYPERLINK("https%3A%2F%2Fwww.webofscience.com%2Fwos%2Fwoscc%2Ffull-record%2FWOS:000281073900020","View Full Record in Web of Science")</f>
        <v>View Full Record in Web of Science</v>
      </c>
    </row>
    <row r="442" spans="1:72" x14ac:dyDescent="0.15">
      <c r="A442" t="s">
        <v>72</v>
      </c>
      <c r="B442" t="s">
        <v>8325</v>
      </c>
      <c r="C442" t="s">
        <v>74</v>
      </c>
      <c r="D442" t="s">
        <v>74</v>
      </c>
      <c r="E442" t="s">
        <v>74</v>
      </c>
      <c r="F442" t="s">
        <v>8326</v>
      </c>
      <c r="G442" t="s">
        <v>74</v>
      </c>
      <c r="H442" t="s">
        <v>74</v>
      </c>
      <c r="I442" t="s">
        <v>8327</v>
      </c>
      <c r="J442" t="s">
        <v>8328</v>
      </c>
      <c r="K442" t="s">
        <v>74</v>
      </c>
      <c r="L442" t="s">
        <v>74</v>
      </c>
      <c r="M442" t="s">
        <v>78</v>
      </c>
      <c r="N442" t="s">
        <v>79</v>
      </c>
      <c r="O442" t="s">
        <v>74</v>
      </c>
      <c r="P442" t="s">
        <v>74</v>
      </c>
      <c r="Q442" t="s">
        <v>74</v>
      </c>
      <c r="R442" t="s">
        <v>74</v>
      </c>
      <c r="S442" t="s">
        <v>74</v>
      </c>
      <c r="T442" t="s">
        <v>74</v>
      </c>
      <c r="U442" t="s">
        <v>8329</v>
      </c>
      <c r="V442" t="s">
        <v>8330</v>
      </c>
      <c r="W442" t="s">
        <v>8331</v>
      </c>
      <c r="X442" t="s">
        <v>8332</v>
      </c>
      <c r="Y442" t="s">
        <v>8333</v>
      </c>
      <c r="Z442" t="s">
        <v>8334</v>
      </c>
      <c r="AA442" t="s">
        <v>74</v>
      </c>
      <c r="AB442" t="s">
        <v>8335</v>
      </c>
      <c r="AC442" t="s">
        <v>74</v>
      </c>
      <c r="AD442" t="s">
        <v>74</v>
      </c>
      <c r="AE442" t="s">
        <v>74</v>
      </c>
      <c r="AF442" t="s">
        <v>74</v>
      </c>
      <c r="AG442">
        <v>35</v>
      </c>
      <c r="AH442">
        <v>48</v>
      </c>
      <c r="AI442">
        <v>55</v>
      </c>
      <c r="AJ442">
        <v>2</v>
      </c>
      <c r="AK442">
        <v>15</v>
      </c>
      <c r="AL442" t="s">
        <v>464</v>
      </c>
      <c r="AM442" t="s">
        <v>310</v>
      </c>
      <c r="AN442" t="s">
        <v>465</v>
      </c>
      <c r="AO442" t="s">
        <v>8336</v>
      </c>
      <c r="AP442" t="s">
        <v>8337</v>
      </c>
      <c r="AQ442" t="s">
        <v>74</v>
      </c>
      <c r="AR442" t="s">
        <v>8338</v>
      </c>
      <c r="AS442" t="s">
        <v>8339</v>
      </c>
      <c r="AT442" t="s">
        <v>7680</v>
      </c>
      <c r="AU442">
        <v>2010</v>
      </c>
      <c r="AV442">
        <v>61</v>
      </c>
      <c r="AW442">
        <v>2</v>
      </c>
      <c r="AX442" t="s">
        <v>74</v>
      </c>
      <c r="AY442" t="s">
        <v>74</v>
      </c>
      <c r="AZ442" t="s">
        <v>74</v>
      </c>
      <c r="BA442" t="s">
        <v>74</v>
      </c>
      <c r="BB442">
        <v>112</v>
      </c>
      <c r="BC442">
        <v>117</v>
      </c>
      <c r="BD442" t="s">
        <v>74</v>
      </c>
      <c r="BE442" t="s">
        <v>8340</v>
      </c>
      <c r="BF442" t="str">
        <f>HYPERLINK("http://dx.doi.org/10.1007/s00284-010-9584-7","http://dx.doi.org/10.1007/s00284-010-9584-7")</f>
        <v>http://dx.doi.org/10.1007/s00284-010-9584-7</v>
      </c>
      <c r="BG442" t="s">
        <v>74</v>
      </c>
      <c r="BH442" t="s">
        <v>74</v>
      </c>
      <c r="BI442">
        <v>6</v>
      </c>
      <c r="BJ442" t="s">
        <v>737</v>
      </c>
      <c r="BK442" t="s">
        <v>100</v>
      </c>
      <c r="BL442" t="s">
        <v>737</v>
      </c>
      <c r="BM442" t="s">
        <v>8341</v>
      </c>
      <c r="BN442">
        <v>20135319</v>
      </c>
      <c r="BO442" t="s">
        <v>74</v>
      </c>
      <c r="BP442" t="s">
        <v>74</v>
      </c>
      <c r="BQ442" t="s">
        <v>74</v>
      </c>
      <c r="BR442" t="s">
        <v>104</v>
      </c>
      <c r="BS442" t="s">
        <v>8342</v>
      </c>
      <c r="BT442" t="str">
        <f>HYPERLINK("https%3A%2F%2Fwww.webofscience.com%2Fwos%2Fwoscc%2Ffull-record%2FWOS:000280224600006","View Full Record in Web of Science")</f>
        <v>View Full Record in Web of Science</v>
      </c>
    </row>
    <row r="443" spans="1:72" x14ac:dyDescent="0.15">
      <c r="A443" t="s">
        <v>72</v>
      </c>
      <c r="B443" t="s">
        <v>8343</v>
      </c>
      <c r="C443" t="s">
        <v>74</v>
      </c>
      <c r="D443" t="s">
        <v>74</v>
      </c>
      <c r="E443" t="s">
        <v>74</v>
      </c>
      <c r="F443" t="s">
        <v>8344</v>
      </c>
      <c r="G443" t="s">
        <v>74</v>
      </c>
      <c r="H443" t="s">
        <v>74</v>
      </c>
      <c r="I443" t="s">
        <v>8345</v>
      </c>
      <c r="J443" t="s">
        <v>5799</v>
      </c>
      <c r="K443" t="s">
        <v>74</v>
      </c>
      <c r="L443" t="s">
        <v>74</v>
      </c>
      <c r="M443" t="s">
        <v>78</v>
      </c>
      <c r="N443" t="s">
        <v>79</v>
      </c>
      <c r="O443" t="s">
        <v>74</v>
      </c>
      <c r="P443" t="s">
        <v>74</v>
      </c>
      <c r="Q443" t="s">
        <v>74</v>
      </c>
      <c r="R443" t="s">
        <v>74</v>
      </c>
      <c r="S443" t="s">
        <v>74</v>
      </c>
      <c r="T443" t="s">
        <v>74</v>
      </c>
      <c r="U443" t="s">
        <v>74</v>
      </c>
      <c r="V443" t="s">
        <v>74</v>
      </c>
      <c r="W443" t="s">
        <v>8346</v>
      </c>
      <c r="X443" t="s">
        <v>8347</v>
      </c>
      <c r="Y443" t="s">
        <v>8348</v>
      </c>
      <c r="Z443" t="s">
        <v>74</v>
      </c>
      <c r="AA443" t="s">
        <v>8349</v>
      </c>
      <c r="AB443" t="s">
        <v>8350</v>
      </c>
      <c r="AC443" t="s">
        <v>74</v>
      </c>
      <c r="AD443" t="s">
        <v>74</v>
      </c>
      <c r="AE443" t="s">
        <v>74</v>
      </c>
      <c r="AF443" t="s">
        <v>74</v>
      </c>
      <c r="AG443">
        <v>14</v>
      </c>
      <c r="AH443">
        <v>9</v>
      </c>
      <c r="AI443">
        <v>11</v>
      </c>
      <c r="AJ443">
        <v>0</v>
      </c>
      <c r="AK443">
        <v>10</v>
      </c>
      <c r="AL443" t="s">
        <v>3198</v>
      </c>
      <c r="AM443" t="s">
        <v>310</v>
      </c>
      <c r="AN443" t="s">
        <v>3199</v>
      </c>
      <c r="AO443" t="s">
        <v>5803</v>
      </c>
      <c r="AP443" t="s">
        <v>8351</v>
      </c>
      <c r="AQ443" t="s">
        <v>74</v>
      </c>
      <c r="AR443" t="s">
        <v>5804</v>
      </c>
      <c r="AS443" t="s">
        <v>5805</v>
      </c>
      <c r="AT443" t="s">
        <v>7680</v>
      </c>
      <c r="AU443">
        <v>2010</v>
      </c>
      <c r="AV443">
        <v>433</v>
      </c>
      <c r="AW443">
        <v>2</v>
      </c>
      <c r="AX443" t="s">
        <v>74</v>
      </c>
      <c r="AY443" t="s">
        <v>74</v>
      </c>
      <c r="AZ443" t="s">
        <v>74</v>
      </c>
      <c r="BA443" t="s">
        <v>74</v>
      </c>
      <c r="BB443">
        <v>1092</v>
      </c>
      <c r="BC443">
        <v>1097</v>
      </c>
      <c r="BD443" t="s">
        <v>74</v>
      </c>
      <c r="BE443" t="s">
        <v>8352</v>
      </c>
      <c r="BF443" t="str">
        <f>HYPERLINK("http://dx.doi.org/10.1134/S1028334X10080222","http://dx.doi.org/10.1134/S1028334X10080222")</f>
        <v>http://dx.doi.org/10.1134/S1028334X10080222</v>
      </c>
      <c r="BG443" t="s">
        <v>74</v>
      </c>
      <c r="BH443" t="s">
        <v>74</v>
      </c>
      <c r="BI443">
        <v>6</v>
      </c>
      <c r="BJ443" t="s">
        <v>1194</v>
      </c>
      <c r="BK443" t="s">
        <v>100</v>
      </c>
      <c r="BL443" t="s">
        <v>807</v>
      </c>
      <c r="BM443" t="s">
        <v>8353</v>
      </c>
      <c r="BN443" t="s">
        <v>74</v>
      </c>
      <c r="BO443" t="s">
        <v>74</v>
      </c>
      <c r="BP443" t="s">
        <v>74</v>
      </c>
      <c r="BQ443" t="s">
        <v>74</v>
      </c>
      <c r="BR443" t="s">
        <v>104</v>
      </c>
      <c r="BS443" t="s">
        <v>8354</v>
      </c>
      <c r="BT443" t="str">
        <f>HYPERLINK("https%3A%2F%2Fwww.webofscience.com%2Fwos%2Fwoscc%2Ffull-record%2FWOS:000281086400022","View Full Record in Web of Science")</f>
        <v>View Full Record in Web of Science</v>
      </c>
    </row>
    <row r="444" spans="1:72" x14ac:dyDescent="0.15">
      <c r="A444" t="s">
        <v>72</v>
      </c>
      <c r="B444" t="s">
        <v>8355</v>
      </c>
      <c r="C444" t="s">
        <v>74</v>
      </c>
      <c r="D444" t="s">
        <v>74</v>
      </c>
      <c r="E444" t="s">
        <v>74</v>
      </c>
      <c r="F444" t="s">
        <v>8356</v>
      </c>
      <c r="G444" t="s">
        <v>74</v>
      </c>
      <c r="H444" t="s">
        <v>74</v>
      </c>
      <c r="I444" t="s">
        <v>8357</v>
      </c>
      <c r="J444" t="s">
        <v>536</v>
      </c>
      <c r="K444" t="s">
        <v>74</v>
      </c>
      <c r="L444" t="s">
        <v>74</v>
      </c>
      <c r="M444" t="s">
        <v>78</v>
      </c>
      <c r="N444" t="s">
        <v>79</v>
      </c>
      <c r="O444" t="s">
        <v>74</v>
      </c>
      <c r="P444" t="s">
        <v>74</v>
      </c>
      <c r="Q444" t="s">
        <v>74</v>
      </c>
      <c r="R444" t="s">
        <v>74</v>
      </c>
      <c r="S444" t="s">
        <v>74</v>
      </c>
      <c r="T444" t="s">
        <v>8358</v>
      </c>
      <c r="U444" t="s">
        <v>8359</v>
      </c>
      <c r="V444" t="s">
        <v>8360</v>
      </c>
      <c r="W444" t="s">
        <v>8361</v>
      </c>
      <c r="X444" t="s">
        <v>8362</v>
      </c>
      <c r="Y444" t="s">
        <v>8363</v>
      </c>
      <c r="Z444" t="s">
        <v>8364</v>
      </c>
      <c r="AA444" t="s">
        <v>8365</v>
      </c>
      <c r="AB444" t="s">
        <v>8366</v>
      </c>
      <c r="AC444" t="s">
        <v>8367</v>
      </c>
      <c r="AD444" t="s">
        <v>8368</v>
      </c>
      <c r="AE444" t="s">
        <v>8369</v>
      </c>
      <c r="AF444" t="s">
        <v>74</v>
      </c>
      <c r="AG444">
        <v>103</v>
      </c>
      <c r="AH444">
        <v>63</v>
      </c>
      <c r="AI444">
        <v>67</v>
      </c>
      <c r="AJ444">
        <v>1</v>
      </c>
      <c r="AK444">
        <v>28</v>
      </c>
      <c r="AL444" t="s">
        <v>1038</v>
      </c>
      <c r="AM444" t="s">
        <v>550</v>
      </c>
      <c r="AN444" t="s">
        <v>1039</v>
      </c>
      <c r="AO444" t="s">
        <v>552</v>
      </c>
      <c r="AP444" t="s">
        <v>2999</v>
      </c>
      <c r="AQ444" t="s">
        <v>74</v>
      </c>
      <c r="AR444" t="s">
        <v>553</v>
      </c>
      <c r="AS444" t="s">
        <v>554</v>
      </c>
      <c r="AT444" t="s">
        <v>8093</v>
      </c>
      <c r="AU444">
        <v>2010</v>
      </c>
      <c r="AV444">
        <v>296</v>
      </c>
      <c r="AW444" t="s">
        <v>556</v>
      </c>
      <c r="AX444" t="s">
        <v>74</v>
      </c>
      <c r="AY444" t="s">
        <v>74</v>
      </c>
      <c r="AZ444" t="s">
        <v>74</v>
      </c>
      <c r="BA444" t="s">
        <v>74</v>
      </c>
      <c r="BB444">
        <v>287</v>
      </c>
      <c r="BC444">
        <v>298</v>
      </c>
      <c r="BD444" t="s">
        <v>74</v>
      </c>
      <c r="BE444" t="s">
        <v>8370</v>
      </c>
      <c r="BF444" t="str">
        <f>HYPERLINK("http://dx.doi.org/10.1016/j.epsl.2010.05.008","http://dx.doi.org/10.1016/j.epsl.2010.05.008")</f>
        <v>http://dx.doi.org/10.1016/j.epsl.2010.05.008</v>
      </c>
      <c r="BG444" t="s">
        <v>74</v>
      </c>
      <c r="BH444" t="s">
        <v>74</v>
      </c>
      <c r="BI444">
        <v>12</v>
      </c>
      <c r="BJ444" t="s">
        <v>558</v>
      </c>
      <c r="BK444" t="s">
        <v>100</v>
      </c>
      <c r="BL444" t="s">
        <v>558</v>
      </c>
      <c r="BM444" t="s">
        <v>8371</v>
      </c>
      <c r="BN444" t="s">
        <v>74</v>
      </c>
      <c r="BO444" t="s">
        <v>74</v>
      </c>
      <c r="BP444" t="s">
        <v>74</v>
      </c>
      <c r="BQ444" t="s">
        <v>74</v>
      </c>
      <c r="BR444" t="s">
        <v>104</v>
      </c>
      <c r="BS444" t="s">
        <v>8372</v>
      </c>
      <c r="BT444" t="str">
        <f>HYPERLINK("https%3A%2F%2Fwww.webofscience.com%2Fwos%2Fwoscc%2Ffull-record%2FWOS:000280940300012","View Full Record in Web of Science")</f>
        <v>View Full Record in Web of Science</v>
      </c>
    </row>
    <row r="445" spans="1:72" x14ac:dyDescent="0.15">
      <c r="A445" t="s">
        <v>72</v>
      </c>
      <c r="B445" t="s">
        <v>8373</v>
      </c>
      <c r="C445" t="s">
        <v>74</v>
      </c>
      <c r="D445" t="s">
        <v>74</v>
      </c>
      <c r="E445" t="s">
        <v>74</v>
      </c>
      <c r="F445" t="s">
        <v>8374</v>
      </c>
      <c r="G445" t="s">
        <v>74</v>
      </c>
      <c r="H445" t="s">
        <v>74</v>
      </c>
      <c r="I445" t="s">
        <v>8375</v>
      </c>
      <c r="J445" t="s">
        <v>8376</v>
      </c>
      <c r="K445" t="s">
        <v>74</v>
      </c>
      <c r="L445" t="s">
        <v>74</v>
      </c>
      <c r="M445" t="s">
        <v>78</v>
      </c>
      <c r="N445" t="s">
        <v>79</v>
      </c>
      <c r="O445" t="s">
        <v>74</v>
      </c>
      <c r="P445" t="s">
        <v>74</v>
      </c>
      <c r="Q445" t="s">
        <v>74</v>
      </c>
      <c r="R445" t="s">
        <v>74</v>
      </c>
      <c r="S445" t="s">
        <v>74</v>
      </c>
      <c r="T445" t="s">
        <v>8377</v>
      </c>
      <c r="U445" t="s">
        <v>8378</v>
      </c>
      <c r="V445" t="s">
        <v>8379</v>
      </c>
      <c r="W445" t="s">
        <v>8380</v>
      </c>
      <c r="X445" t="s">
        <v>8381</v>
      </c>
      <c r="Y445" t="s">
        <v>8382</v>
      </c>
      <c r="Z445" t="s">
        <v>8383</v>
      </c>
      <c r="AA445" t="s">
        <v>8384</v>
      </c>
      <c r="AB445" t="s">
        <v>8385</v>
      </c>
      <c r="AC445" t="s">
        <v>8386</v>
      </c>
      <c r="AD445" t="s">
        <v>8387</v>
      </c>
      <c r="AE445" t="s">
        <v>8388</v>
      </c>
      <c r="AF445" t="s">
        <v>74</v>
      </c>
      <c r="AG445">
        <v>65</v>
      </c>
      <c r="AH445">
        <v>78</v>
      </c>
      <c r="AI445">
        <v>91</v>
      </c>
      <c r="AJ445">
        <v>0</v>
      </c>
      <c r="AK445">
        <v>43</v>
      </c>
      <c r="AL445" t="s">
        <v>923</v>
      </c>
      <c r="AM445" t="s">
        <v>339</v>
      </c>
      <c r="AN445" t="s">
        <v>340</v>
      </c>
      <c r="AO445" t="s">
        <v>8389</v>
      </c>
      <c r="AP445" t="s">
        <v>8390</v>
      </c>
      <c r="AQ445" t="s">
        <v>74</v>
      </c>
      <c r="AR445" t="s">
        <v>8376</v>
      </c>
      <c r="AS445" t="s">
        <v>3127</v>
      </c>
      <c r="AT445" t="s">
        <v>7680</v>
      </c>
      <c r="AU445">
        <v>2010</v>
      </c>
      <c r="AV445">
        <v>91</v>
      </c>
      <c r="AW445">
        <v>8</v>
      </c>
      <c r="AX445" t="s">
        <v>74</v>
      </c>
      <c r="AY445" t="s">
        <v>74</v>
      </c>
      <c r="AZ445" t="s">
        <v>74</v>
      </c>
      <c r="BA445" t="s">
        <v>74</v>
      </c>
      <c r="BB445">
        <v>2416</v>
      </c>
      <c r="BC445">
        <v>2427</v>
      </c>
      <c r="BD445" t="s">
        <v>74</v>
      </c>
      <c r="BE445" t="s">
        <v>8391</v>
      </c>
      <c r="BF445" t="str">
        <f>HYPERLINK("http://dx.doi.org/10.1890/09-0143.1","http://dx.doi.org/10.1890/09-0143.1")</f>
        <v>http://dx.doi.org/10.1890/09-0143.1</v>
      </c>
      <c r="BG445" t="s">
        <v>74</v>
      </c>
      <c r="BH445" t="s">
        <v>74</v>
      </c>
      <c r="BI445">
        <v>12</v>
      </c>
      <c r="BJ445" t="s">
        <v>3127</v>
      </c>
      <c r="BK445" t="s">
        <v>100</v>
      </c>
      <c r="BL445" t="s">
        <v>2797</v>
      </c>
      <c r="BM445" t="s">
        <v>8392</v>
      </c>
      <c r="BN445">
        <v>20836463</v>
      </c>
      <c r="BO445" t="s">
        <v>394</v>
      </c>
      <c r="BP445" t="s">
        <v>74</v>
      </c>
      <c r="BQ445" t="s">
        <v>74</v>
      </c>
      <c r="BR445" t="s">
        <v>104</v>
      </c>
      <c r="BS445" t="s">
        <v>8393</v>
      </c>
      <c r="BT445" t="str">
        <f>HYPERLINK("https%3A%2F%2Fwww.webofscience.com%2Fwos%2Fwoscc%2Ffull-record%2FWOS:000280153500025","View Full Record in Web of Science")</f>
        <v>View Full Record in Web of Science</v>
      </c>
    </row>
    <row r="446" spans="1:72" x14ac:dyDescent="0.15">
      <c r="A446" t="s">
        <v>72</v>
      </c>
      <c r="B446" t="s">
        <v>8394</v>
      </c>
      <c r="C446" t="s">
        <v>74</v>
      </c>
      <c r="D446" t="s">
        <v>74</v>
      </c>
      <c r="E446" t="s">
        <v>74</v>
      </c>
      <c r="F446" t="s">
        <v>8394</v>
      </c>
      <c r="G446" t="s">
        <v>74</v>
      </c>
      <c r="H446" t="s">
        <v>74</v>
      </c>
      <c r="I446" t="s">
        <v>8395</v>
      </c>
      <c r="J446" t="s">
        <v>8396</v>
      </c>
      <c r="K446" t="s">
        <v>74</v>
      </c>
      <c r="L446" t="s">
        <v>74</v>
      </c>
      <c r="M446" t="s">
        <v>78</v>
      </c>
      <c r="N446" t="s">
        <v>3953</v>
      </c>
      <c r="O446" t="s">
        <v>74</v>
      </c>
      <c r="P446" t="s">
        <v>74</v>
      </c>
      <c r="Q446" t="s">
        <v>74</v>
      </c>
      <c r="R446" t="s">
        <v>74</v>
      </c>
      <c r="S446" t="s">
        <v>74</v>
      </c>
      <c r="T446" t="s">
        <v>74</v>
      </c>
      <c r="U446" t="s">
        <v>74</v>
      </c>
      <c r="V446" t="s">
        <v>74</v>
      </c>
      <c r="W446" t="s">
        <v>74</v>
      </c>
      <c r="X446" t="s">
        <v>74</v>
      </c>
      <c r="Y446" t="s">
        <v>74</v>
      </c>
      <c r="Z446" t="s">
        <v>74</v>
      </c>
      <c r="AA446" t="s">
        <v>74</v>
      </c>
      <c r="AB446" t="s">
        <v>74</v>
      </c>
      <c r="AC446" t="s">
        <v>74</v>
      </c>
      <c r="AD446" t="s">
        <v>74</v>
      </c>
      <c r="AE446" t="s">
        <v>74</v>
      </c>
      <c r="AF446" t="s">
        <v>74</v>
      </c>
      <c r="AG446">
        <v>0</v>
      </c>
      <c r="AH446">
        <v>0</v>
      </c>
      <c r="AI446">
        <v>0</v>
      </c>
      <c r="AJ446">
        <v>0</v>
      </c>
      <c r="AK446">
        <v>4</v>
      </c>
      <c r="AL446" t="s">
        <v>8397</v>
      </c>
      <c r="AM446" t="s">
        <v>8398</v>
      </c>
      <c r="AN446" t="s">
        <v>8399</v>
      </c>
      <c r="AO446" t="s">
        <v>8400</v>
      </c>
      <c r="AP446" t="s">
        <v>74</v>
      </c>
      <c r="AQ446" t="s">
        <v>74</v>
      </c>
      <c r="AR446" t="s">
        <v>8401</v>
      </c>
      <c r="AS446" t="s">
        <v>8402</v>
      </c>
      <c r="AT446" t="s">
        <v>7680</v>
      </c>
      <c r="AU446">
        <v>2010</v>
      </c>
      <c r="AV446">
        <v>116</v>
      </c>
      <c r="AW446">
        <v>1892</v>
      </c>
      <c r="AX446" t="s">
        <v>74</v>
      </c>
      <c r="AY446" t="s">
        <v>74</v>
      </c>
      <c r="AZ446" t="s">
        <v>74</v>
      </c>
      <c r="BA446" t="s">
        <v>74</v>
      </c>
      <c r="BB446">
        <v>6</v>
      </c>
      <c r="BC446">
        <v>6</v>
      </c>
      <c r="BD446" t="s">
        <v>74</v>
      </c>
      <c r="BE446" t="s">
        <v>74</v>
      </c>
      <c r="BF446" t="s">
        <v>74</v>
      </c>
      <c r="BG446" t="s">
        <v>74</v>
      </c>
      <c r="BH446" t="s">
        <v>74</v>
      </c>
      <c r="BI446">
        <v>1</v>
      </c>
      <c r="BJ446" t="s">
        <v>8403</v>
      </c>
      <c r="BK446" t="s">
        <v>100</v>
      </c>
      <c r="BL446" t="s">
        <v>8404</v>
      </c>
      <c r="BM446" t="s">
        <v>8405</v>
      </c>
      <c r="BN446" t="s">
        <v>74</v>
      </c>
      <c r="BO446" t="s">
        <v>74</v>
      </c>
      <c r="BP446" t="s">
        <v>74</v>
      </c>
      <c r="BQ446" t="s">
        <v>74</v>
      </c>
      <c r="BR446" t="s">
        <v>104</v>
      </c>
      <c r="BS446" t="s">
        <v>8406</v>
      </c>
      <c r="BT446" t="str">
        <f>HYPERLINK("https%3A%2F%2Fwww.webofscience.com%2Fwos%2Fwoscc%2Ffull-record%2FWOS:000280885800002","View Full Record in Web of Science")</f>
        <v>View Full Record in Web of Science</v>
      </c>
    </row>
    <row r="447" spans="1:72" x14ac:dyDescent="0.15">
      <c r="A447" t="s">
        <v>72</v>
      </c>
      <c r="B447" t="s">
        <v>8407</v>
      </c>
      <c r="C447" t="s">
        <v>74</v>
      </c>
      <c r="D447" t="s">
        <v>74</v>
      </c>
      <c r="E447" t="s">
        <v>74</v>
      </c>
      <c r="F447" t="s">
        <v>8408</v>
      </c>
      <c r="G447" t="s">
        <v>74</v>
      </c>
      <c r="H447" t="s">
        <v>74</v>
      </c>
      <c r="I447" t="s">
        <v>8409</v>
      </c>
      <c r="J447" t="s">
        <v>5922</v>
      </c>
      <c r="K447" t="s">
        <v>74</v>
      </c>
      <c r="L447" t="s">
        <v>74</v>
      </c>
      <c r="M447" t="s">
        <v>78</v>
      </c>
      <c r="N447" t="s">
        <v>79</v>
      </c>
      <c r="O447" t="s">
        <v>74</v>
      </c>
      <c r="P447" t="s">
        <v>74</v>
      </c>
      <c r="Q447" t="s">
        <v>74</v>
      </c>
      <c r="R447" t="s">
        <v>74</v>
      </c>
      <c r="S447" t="s">
        <v>74</v>
      </c>
      <c r="T447" t="s">
        <v>8410</v>
      </c>
      <c r="U447" t="s">
        <v>8411</v>
      </c>
      <c r="V447" t="s">
        <v>8412</v>
      </c>
      <c r="W447" t="s">
        <v>8413</v>
      </c>
      <c r="X447" t="s">
        <v>8414</v>
      </c>
      <c r="Y447" t="s">
        <v>8415</v>
      </c>
      <c r="Z447" t="s">
        <v>8416</v>
      </c>
      <c r="AA447" t="s">
        <v>8417</v>
      </c>
      <c r="AB447" t="s">
        <v>8418</v>
      </c>
      <c r="AC447" t="s">
        <v>8419</v>
      </c>
      <c r="AD447" t="s">
        <v>8420</v>
      </c>
      <c r="AE447" t="s">
        <v>8421</v>
      </c>
      <c r="AF447" t="s">
        <v>74</v>
      </c>
      <c r="AG447">
        <v>76</v>
      </c>
      <c r="AH447">
        <v>40</v>
      </c>
      <c r="AI447">
        <v>44</v>
      </c>
      <c r="AJ447">
        <v>1</v>
      </c>
      <c r="AK447">
        <v>27</v>
      </c>
      <c r="AL447" t="s">
        <v>2438</v>
      </c>
      <c r="AM447" t="s">
        <v>265</v>
      </c>
      <c r="AN447" t="s">
        <v>2439</v>
      </c>
      <c r="AO447" t="s">
        <v>5935</v>
      </c>
      <c r="AP447" t="s">
        <v>5936</v>
      </c>
      <c r="AQ447" t="s">
        <v>74</v>
      </c>
      <c r="AR447" t="s">
        <v>5937</v>
      </c>
      <c r="AS447" t="s">
        <v>5938</v>
      </c>
      <c r="AT447" t="s">
        <v>7680</v>
      </c>
      <c r="AU447">
        <v>2010</v>
      </c>
      <c r="AV447">
        <v>158</v>
      </c>
      <c r="AW447">
        <v>8</v>
      </c>
      <c r="AX447" t="s">
        <v>74</v>
      </c>
      <c r="AY447" t="s">
        <v>74</v>
      </c>
      <c r="AZ447" t="s">
        <v>74</v>
      </c>
      <c r="BA447" t="s">
        <v>74</v>
      </c>
      <c r="BB447">
        <v>2746</v>
      </c>
      <c r="BC447">
        <v>2756</v>
      </c>
      <c r="BD447" t="s">
        <v>74</v>
      </c>
      <c r="BE447" t="s">
        <v>8422</v>
      </c>
      <c r="BF447" t="str">
        <f>HYPERLINK("http://dx.doi.org/10.1016/j.envpol.2010.04.012","http://dx.doi.org/10.1016/j.envpol.2010.04.012")</f>
        <v>http://dx.doi.org/10.1016/j.envpol.2010.04.012</v>
      </c>
      <c r="BG447" t="s">
        <v>74</v>
      </c>
      <c r="BH447" t="s">
        <v>74</v>
      </c>
      <c r="BI447">
        <v>11</v>
      </c>
      <c r="BJ447" t="s">
        <v>3562</v>
      </c>
      <c r="BK447" t="s">
        <v>100</v>
      </c>
      <c r="BL447" t="s">
        <v>2797</v>
      </c>
      <c r="BM447" t="s">
        <v>8423</v>
      </c>
      <c r="BN447">
        <v>20627496</v>
      </c>
      <c r="BO447" t="s">
        <v>74</v>
      </c>
      <c r="BP447" t="s">
        <v>74</v>
      </c>
      <c r="BQ447" t="s">
        <v>74</v>
      </c>
      <c r="BR447" t="s">
        <v>104</v>
      </c>
      <c r="BS447" t="s">
        <v>8424</v>
      </c>
      <c r="BT447" t="str">
        <f>HYPERLINK("https%3A%2F%2Fwww.webofscience.com%2Fwos%2Fwoscc%2Ffull-record%2FWOS:000280571500032","View Full Record in Web of Science")</f>
        <v>View Full Record in Web of Science</v>
      </c>
    </row>
    <row r="448" spans="1:72" x14ac:dyDescent="0.15">
      <c r="A448" t="s">
        <v>72</v>
      </c>
      <c r="B448" t="s">
        <v>8425</v>
      </c>
      <c r="C448" t="s">
        <v>74</v>
      </c>
      <c r="D448" t="s">
        <v>74</v>
      </c>
      <c r="E448" t="s">
        <v>74</v>
      </c>
      <c r="F448" t="s">
        <v>8426</v>
      </c>
      <c r="G448" t="s">
        <v>74</v>
      </c>
      <c r="H448" t="s">
        <v>74</v>
      </c>
      <c r="I448" t="s">
        <v>8427</v>
      </c>
      <c r="J448" t="s">
        <v>8428</v>
      </c>
      <c r="K448" t="s">
        <v>74</v>
      </c>
      <c r="L448" t="s">
        <v>74</v>
      </c>
      <c r="M448" t="s">
        <v>4311</v>
      </c>
      <c r="N448" t="s">
        <v>79</v>
      </c>
      <c r="O448" t="s">
        <v>74</v>
      </c>
      <c r="P448" t="s">
        <v>74</v>
      </c>
      <c r="Q448" t="s">
        <v>74</v>
      </c>
      <c r="R448" t="s">
        <v>74</v>
      </c>
      <c r="S448" t="s">
        <v>74</v>
      </c>
      <c r="T448" t="s">
        <v>8429</v>
      </c>
      <c r="U448" t="s">
        <v>8430</v>
      </c>
      <c r="V448" t="s">
        <v>8431</v>
      </c>
      <c r="W448" t="s">
        <v>8432</v>
      </c>
      <c r="X448" t="s">
        <v>74</v>
      </c>
      <c r="Y448" t="s">
        <v>8433</v>
      </c>
      <c r="Z448" t="s">
        <v>74</v>
      </c>
      <c r="AA448" t="s">
        <v>74</v>
      </c>
      <c r="AB448" t="s">
        <v>74</v>
      </c>
      <c r="AC448" t="s">
        <v>74</v>
      </c>
      <c r="AD448" t="s">
        <v>74</v>
      </c>
      <c r="AE448" t="s">
        <v>74</v>
      </c>
      <c r="AF448" t="s">
        <v>74</v>
      </c>
      <c r="AG448">
        <v>112</v>
      </c>
      <c r="AH448">
        <v>15</v>
      </c>
      <c r="AI448">
        <v>16</v>
      </c>
      <c r="AJ448">
        <v>0</v>
      </c>
      <c r="AK448">
        <v>2</v>
      </c>
      <c r="AL448" t="s">
        <v>8434</v>
      </c>
      <c r="AM448" t="s">
        <v>8435</v>
      </c>
      <c r="AN448" t="s">
        <v>8436</v>
      </c>
      <c r="AO448" t="s">
        <v>8437</v>
      </c>
      <c r="AP448" t="s">
        <v>8438</v>
      </c>
      <c r="AQ448" t="s">
        <v>74</v>
      </c>
      <c r="AR448" t="s">
        <v>8439</v>
      </c>
      <c r="AS448" t="s">
        <v>8440</v>
      </c>
      <c r="AT448" t="s">
        <v>7680</v>
      </c>
      <c r="AU448">
        <v>2010</v>
      </c>
      <c r="AV448">
        <v>19</v>
      </c>
      <c r="AW448">
        <v>2</v>
      </c>
      <c r="AX448" t="s">
        <v>74</v>
      </c>
      <c r="AY448" t="s">
        <v>74</v>
      </c>
      <c r="AZ448" t="s">
        <v>74</v>
      </c>
      <c r="BA448" t="s">
        <v>74</v>
      </c>
      <c r="BB448">
        <v>189</v>
      </c>
      <c r="BC448">
        <v>207</v>
      </c>
      <c r="BD448" t="s">
        <v>74</v>
      </c>
      <c r="BE448" t="s">
        <v>8441</v>
      </c>
      <c r="BF448" t="str">
        <f>HYPERLINK("http://dx.doi.org/10.5424/fs/2010192-01314","http://dx.doi.org/10.5424/fs/2010192-01314")</f>
        <v>http://dx.doi.org/10.5424/fs/2010192-01314</v>
      </c>
      <c r="BG448" t="s">
        <v>74</v>
      </c>
      <c r="BH448" t="s">
        <v>74</v>
      </c>
      <c r="BI448">
        <v>19</v>
      </c>
      <c r="BJ448" t="s">
        <v>8442</v>
      </c>
      <c r="BK448" t="s">
        <v>100</v>
      </c>
      <c r="BL448" t="s">
        <v>8442</v>
      </c>
      <c r="BM448" t="s">
        <v>8443</v>
      </c>
      <c r="BN448" t="s">
        <v>74</v>
      </c>
      <c r="BO448" t="s">
        <v>4857</v>
      </c>
      <c r="BP448" t="s">
        <v>74</v>
      </c>
      <c r="BQ448" t="s">
        <v>74</v>
      </c>
      <c r="BR448" t="s">
        <v>104</v>
      </c>
      <c r="BS448" t="s">
        <v>8444</v>
      </c>
      <c r="BT448" t="str">
        <f>HYPERLINK("https%3A%2F%2Fwww.webofscience.com%2Fwos%2Fwoscc%2Ffull-record%2FWOS:000281116700007","View Full Record in Web of Science")</f>
        <v>View Full Record in Web of Science</v>
      </c>
    </row>
    <row r="449" spans="1:72" x14ac:dyDescent="0.15">
      <c r="A449" t="s">
        <v>72</v>
      </c>
      <c r="B449" t="s">
        <v>8445</v>
      </c>
      <c r="C449" t="s">
        <v>74</v>
      </c>
      <c r="D449" t="s">
        <v>74</v>
      </c>
      <c r="E449" t="s">
        <v>74</v>
      </c>
      <c r="F449" t="s">
        <v>8446</v>
      </c>
      <c r="G449" t="s">
        <v>74</v>
      </c>
      <c r="H449" t="s">
        <v>74</v>
      </c>
      <c r="I449" t="s">
        <v>8447</v>
      </c>
      <c r="J449" t="s">
        <v>3109</v>
      </c>
      <c r="K449" t="s">
        <v>74</v>
      </c>
      <c r="L449" t="s">
        <v>74</v>
      </c>
      <c r="M449" t="s">
        <v>78</v>
      </c>
      <c r="N449" t="s">
        <v>79</v>
      </c>
      <c r="O449" t="s">
        <v>74</v>
      </c>
      <c r="P449" t="s">
        <v>74</v>
      </c>
      <c r="Q449" t="s">
        <v>74</v>
      </c>
      <c r="R449" t="s">
        <v>74</v>
      </c>
      <c r="S449" t="s">
        <v>74</v>
      </c>
      <c r="T449" t="s">
        <v>8448</v>
      </c>
      <c r="U449" t="s">
        <v>8449</v>
      </c>
      <c r="V449" t="s">
        <v>8450</v>
      </c>
      <c r="W449" t="s">
        <v>8451</v>
      </c>
      <c r="X449" t="s">
        <v>8452</v>
      </c>
      <c r="Y449" t="s">
        <v>8453</v>
      </c>
      <c r="Z449" t="s">
        <v>8454</v>
      </c>
      <c r="AA449" t="s">
        <v>8455</v>
      </c>
      <c r="AB449" t="s">
        <v>8456</v>
      </c>
      <c r="AC449" t="s">
        <v>8457</v>
      </c>
      <c r="AD449" t="s">
        <v>8458</v>
      </c>
      <c r="AE449" t="s">
        <v>8459</v>
      </c>
      <c r="AF449" t="s">
        <v>74</v>
      </c>
      <c r="AG449">
        <v>43</v>
      </c>
      <c r="AH449">
        <v>19</v>
      </c>
      <c r="AI449">
        <v>21</v>
      </c>
      <c r="AJ449">
        <v>0</v>
      </c>
      <c r="AK449">
        <v>19</v>
      </c>
      <c r="AL449" t="s">
        <v>923</v>
      </c>
      <c r="AM449" t="s">
        <v>339</v>
      </c>
      <c r="AN449" t="s">
        <v>340</v>
      </c>
      <c r="AO449" t="s">
        <v>3122</v>
      </c>
      <c r="AP449" t="s">
        <v>3123</v>
      </c>
      <c r="AQ449" t="s">
        <v>74</v>
      </c>
      <c r="AR449" t="s">
        <v>3124</v>
      </c>
      <c r="AS449" t="s">
        <v>3125</v>
      </c>
      <c r="AT449" t="s">
        <v>7680</v>
      </c>
      <c r="AU449">
        <v>2010</v>
      </c>
      <c r="AV449">
        <v>24</v>
      </c>
      <c r="AW449">
        <v>4</v>
      </c>
      <c r="AX449" t="s">
        <v>74</v>
      </c>
      <c r="AY449" t="s">
        <v>74</v>
      </c>
      <c r="AZ449" t="s">
        <v>74</v>
      </c>
      <c r="BA449" t="s">
        <v>74</v>
      </c>
      <c r="BB449">
        <v>838</v>
      </c>
      <c r="BC449">
        <v>846</v>
      </c>
      <c r="BD449" t="s">
        <v>74</v>
      </c>
      <c r="BE449" t="s">
        <v>8460</v>
      </c>
      <c r="BF449" t="str">
        <f>HYPERLINK("http://dx.doi.org/10.1111/j.1365-2435.2010.01687.x","http://dx.doi.org/10.1111/j.1365-2435.2010.01687.x")</f>
        <v>http://dx.doi.org/10.1111/j.1365-2435.2010.01687.x</v>
      </c>
      <c r="BG449" t="s">
        <v>74</v>
      </c>
      <c r="BH449" t="s">
        <v>74</v>
      </c>
      <c r="BI449">
        <v>9</v>
      </c>
      <c r="BJ449" t="s">
        <v>3127</v>
      </c>
      <c r="BK449" t="s">
        <v>100</v>
      </c>
      <c r="BL449" t="s">
        <v>2797</v>
      </c>
      <c r="BM449" t="s">
        <v>8461</v>
      </c>
      <c r="BN449" t="s">
        <v>74</v>
      </c>
      <c r="BO449" t="s">
        <v>394</v>
      </c>
      <c r="BP449" t="s">
        <v>74</v>
      </c>
      <c r="BQ449" t="s">
        <v>74</v>
      </c>
      <c r="BR449" t="s">
        <v>104</v>
      </c>
      <c r="BS449" t="s">
        <v>8462</v>
      </c>
      <c r="BT449" t="str">
        <f>HYPERLINK("https%3A%2F%2Fwww.webofscience.com%2Fwos%2Fwoscc%2Ffull-record%2FWOS:000279837700017","View Full Record in Web of Science")</f>
        <v>View Full Record in Web of Science</v>
      </c>
    </row>
    <row r="450" spans="1:72" x14ac:dyDescent="0.15">
      <c r="A450" t="s">
        <v>72</v>
      </c>
      <c r="B450" t="s">
        <v>8463</v>
      </c>
      <c r="C450" t="s">
        <v>74</v>
      </c>
      <c r="D450" t="s">
        <v>74</v>
      </c>
      <c r="E450" t="s">
        <v>74</v>
      </c>
      <c r="F450" t="s">
        <v>8464</v>
      </c>
      <c r="G450" t="s">
        <v>74</v>
      </c>
      <c r="H450" t="s">
        <v>74</v>
      </c>
      <c r="I450" t="s">
        <v>8465</v>
      </c>
      <c r="J450" t="s">
        <v>8466</v>
      </c>
      <c r="K450" t="s">
        <v>74</v>
      </c>
      <c r="L450" t="s">
        <v>74</v>
      </c>
      <c r="M450" t="s">
        <v>78</v>
      </c>
      <c r="N450" t="s">
        <v>79</v>
      </c>
      <c r="O450" t="s">
        <v>74</v>
      </c>
      <c r="P450" t="s">
        <v>74</v>
      </c>
      <c r="Q450" t="s">
        <v>74</v>
      </c>
      <c r="R450" t="s">
        <v>74</v>
      </c>
      <c r="S450" t="s">
        <v>74</v>
      </c>
      <c r="T450" t="s">
        <v>8467</v>
      </c>
      <c r="U450" t="s">
        <v>8468</v>
      </c>
      <c r="V450" t="s">
        <v>8469</v>
      </c>
      <c r="W450" t="s">
        <v>8470</v>
      </c>
      <c r="X450" t="s">
        <v>690</v>
      </c>
      <c r="Y450" t="s">
        <v>8471</v>
      </c>
      <c r="Z450" t="s">
        <v>8472</v>
      </c>
      <c r="AA450" t="s">
        <v>74</v>
      </c>
      <c r="AB450" t="s">
        <v>74</v>
      </c>
      <c r="AC450" t="s">
        <v>8473</v>
      </c>
      <c r="AD450" t="s">
        <v>8474</v>
      </c>
      <c r="AE450" t="s">
        <v>8475</v>
      </c>
      <c r="AF450" t="s">
        <v>74</v>
      </c>
      <c r="AG450">
        <v>20</v>
      </c>
      <c r="AH450">
        <v>0</v>
      </c>
      <c r="AI450">
        <v>1</v>
      </c>
      <c r="AJ450">
        <v>0</v>
      </c>
      <c r="AK450">
        <v>11</v>
      </c>
      <c r="AL450" t="s">
        <v>2438</v>
      </c>
      <c r="AM450" t="s">
        <v>265</v>
      </c>
      <c r="AN450" t="s">
        <v>2439</v>
      </c>
      <c r="AO450" t="s">
        <v>8476</v>
      </c>
      <c r="AP450" t="s">
        <v>8477</v>
      </c>
      <c r="AQ450" t="s">
        <v>74</v>
      </c>
      <c r="AR450" t="s">
        <v>8478</v>
      </c>
      <c r="AS450" t="s">
        <v>8479</v>
      </c>
      <c r="AT450" t="s">
        <v>7680</v>
      </c>
      <c r="AU450">
        <v>2010</v>
      </c>
      <c r="AV450">
        <v>3</v>
      </c>
      <c r="AW450">
        <v>3</v>
      </c>
      <c r="AX450" t="s">
        <v>74</v>
      </c>
      <c r="AY450" t="s">
        <v>74</v>
      </c>
      <c r="AZ450" t="s">
        <v>74</v>
      </c>
      <c r="BA450" t="s">
        <v>74</v>
      </c>
      <c r="BB450">
        <v>234</v>
      </c>
      <c r="BC450">
        <v>239</v>
      </c>
      <c r="BD450" t="s">
        <v>74</v>
      </c>
      <c r="BE450" t="s">
        <v>8480</v>
      </c>
      <c r="BF450" t="str">
        <f>HYPERLINK("http://dx.doi.org/10.1016/j.funeco.2009.10.007","http://dx.doi.org/10.1016/j.funeco.2009.10.007")</f>
        <v>http://dx.doi.org/10.1016/j.funeco.2009.10.007</v>
      </c>
      <c r="BG450" t="s">
        <v>74</v>
      </c>
      <c r="BH450" t="s">
        <v>74</v>
      </c>
      <c r="BI450">
        <v>6</v>
      </c>
      <c r="BJ450" t="s">
        <v>8481</v>
      </c>
      <c r="BK450" t="s">
        <v>100</v>
      </c>
      <c r="BL450" t="s">
        <v>8482</v>
      </c>
      <c r="BM450" t="s">
        <v>8483</v>
      </c>
      <c r="BN450" t="s">
        <v>74</v>
      </c>
      <c r="BO450" t="s">
        <v>74</v>
      </c>
      <c r="BP450" t="s">
        <v>74</v>
      </c>
      <c r="BQ450" t="s">
        <v>74</v>
      </c>
      <c r="BR450" t="s">
        <v>104</v>
      </c>
      <c r="BS450" t="s">
        <v>8484</v>
      </c>
      <c r="BT450" t="str">
        <f>HYPERLINK("https%3A%2F%2Fwww.webofscience.com%2Fwos%2Fwoscc%2Ffull-record%2FWOS:000279414700013","View Full Record in Web of Science")</f>
        <v>View Full Record in Web of Science</v>
      </c>
    </row>
    <row r="451" spans="1:72" x14ac:dyDescent="0.15">
      <c r="A451" t="s">
        <v>72</v>
      </c>
      <c r="B451" t="s">
        <v>8485</v>
      </c>
      <c r="C451" t="s">
        <v>74</v>
      </c>
      <c r="D451" t="s">
        <v>74</v>
      </c>
      <c r="E451" t="s">
        <v>74</v>
      </c>
      <c r="F451" t="s">
        <v>8486</v>
      </c>
      <c r="G451" t="s">
        <v>74</v>
      </c>
      <c r="H451" t="s">
        <v>74</v>
      </c>
      <c r="I451" t="s">
        <v>8487</v>
      </c>
      <c r="J451" t="s">
        <v>614</v>
      </c>
      <c r="K451" t="s">
        <v>74</v>
      </c>
      <c r="L451" t="s">
        <v>74</v>
      </c>
      <c r="M451" t="s">
        <v>78</v>
      </c>
      <c r="N451" t="s">
        <v>79</v>
      </c>
      <c r="O451" t="s">
        <v>74</v>
      </c>
      <c r="P451" t="s">
        <v>74</v>
      </c>
      <c r="Q451" t="s">
        <v>74</v>
      </c>
      <c r="R451" t="s">
        <v>74</v>
      </c>
      <c r="S451" t="s">
        <v>74</v>
      </c>
      <c r="T451" t="s">
        <v>74</v>
      </c>
      <c r="U451" t="s">
        <v>8488</v>
      </c>
      <c r="V451" t="s">
        <v>8489</v>
      </c>
      <c r="W451" t="s">
        <v>8490</v>
      </c>
      <c r="X451" t="s">
        <v>8491</v>
      </c>
      <c r="Y451" t="s">
        <v>8492</v>
      </c>
      <c r="Z451" t="s">
        <v>8493</v>
      </c>
      <c r="AA451" t="s">
        <v>8494</v>
      </c>
      <c r="AB451" t="s">
        <v>8495</v>
      </c>
      <c r="AC451" t="s">
        <v>8496</v>
      </c>
      <c r="AD451" t="s">
        <v>8497</v>
      </c>
      <c r="AE451" t="s">
        <v>8498</v>
      </c>
      <c r="AF451" t="s">
        <v>74</v>
      </c>
      <c r="AG451">
        <v>113</v>
      </c>
      <c r="AH451">
        <v>187</v>
      </c>
      <c r="AI451">
        <v>191</v>
      </c>
      <c r="AJ451">
        <v>1</v>
      </c>
      <c r="AK451">
        <v>40</v>
      </c>
      <c r="AL451" t="s">
        <v>264</v>
      </c>
      <c r="AM451" t="s">
        <v>265</v>
      </c>
      <c r="AN451" t="s">
        <v>266</v>
      </c>
      <c r="AO451" t="s">
        <v>625</v>
      </c>
      <c r="AP451" t="s">
        <v>626</v>
      </c>
      <c r="AQ451" t="s">
        <v>74</v>
      </c>
      <c r="AR451" t="s">
        <v>627</v>
      </c>
      <c r="AS451" t="s">
        <v>628</v>
      </c>
      <c r="AT451" t="s">
        <v>8093</v>
      </c>
      <c r="AU451">
        <v>2010</v>
      </c>
      <c r="AV451">
        <v>74</v>
      </c>
      <c r="AW451">
        <v>15</v>
      </c>
      <c r="AX451" t="s">
        <v>74</v>
      </c>
      <c r="AY451" t="s">
        <v>74</v>
      </c>
      <c r="AZ451" t="s">
        <v>74</v>
      </c>
      <c r="BA451" t="s">
        <v>74</v>
      </c>
      <c r="BB451">
        <v>4417</v>
      </c>
      <c r="BC451">
        <v>4437</v>
      </c>
      <c r="BD451" t="s">
        <v>74</v>
      </c>
      <c r="BE451" t="s">
        <v>8499</v>
      </c>
      <c r="BF451" t="str">
        <f>HYPERLINK("http://dx.doi.org/10.1016/j.gca.2010.05.005","http://dx.doi.org/10.1016/j.gca.2010.05.005")</f>
        <v>http://dx.doi.org/10.1016/j.gca.2010.05.005</v>
      </c>
      <c r="BG451" t="s">
        <v>74</v>
      </c>
      <c r="BH451" t="s">
        <v>74</v>
      </c>
      <c r="BI451">
        <v>21</v>
      </c>
      <c r="BJ451" t="s">
        <v>558</v>
      </c>
      <c r="BK451" t="s">
        <v>100</v>
      </c>
      <c r="BL451" t="s">
        <v>558</v>
      </c>
      <c r="BM451" t="s">
        <v>8500</v>
      </c>
      <c r="BN451" t="s">
        <v>74</v>
      </c>
      <c r="BO451" t="s">
        <v>74</v>
      </c>
      <c r="BP451" t="s">
        <v>74</v>
      </c>
      <c r="BQ451" t="s">
        <v>74</v>
      </c>
      <c r="BR451" t="s">
        <v>104</v>
      </c>
      <c r="BS451" t="s">
        <v>8501</v>
      </c>
      <c r="BT451" t="str">
        <f>HYPERLINK("https%3A%2F%2Fwww.webofscience.com%2Fwos%2Fwoscc%2Ffull-record%2FWOS:000279413900017","View Full Record in Web of Science")</f>
        <v>View Full Record in Web of Science</v>
      </c>
    </row>
    <row r="452" spans="1:72" x14ac:dyDescent="0.15">
      <c r="A452" t="s">
        <v>72</v>
      </c>
      <c r="B452" t="s">
        <v>8502</v>
      </c>
      <c r="C452" t="s">
        <v>74</v>
      </c>
      <c r="D452" t="s">
        <v>74</v>
      </c>
      <c r="E452" t="s">
        <v>74</v>
      </c>
      <c r="F452" t="s">
        <v>8503</v>
      </c>
      <c r="G452" t="s">
        <v>74</v>
      </c>
      <c r="H452" t="s">
        <v>74</v>
      </c>
      <c r="I452" t="s">
        <v>8504</v>
      </c>
      <c r="J452" t="s">
        <v>8505</v>
      </c>
      <c r="K452" t="s">
        <v>74</v>
      </c>
      <c r="L452" t="s">
        <v>74</v>
      </c>
      <c r="M452" t="s">
        <v>78</v>
      </c>
      <c r="N452" t="s">
        <v>79</v>
      </c>
      <c r="O452" t="s">
        <v>74</v>
      </c>
      <c r="P452" t="s">
        <v>74</v>
      </c>
      <c r="Q452" t="s">
        <v>74</v>
      </c>
      <c r="R452" t="s">
        <v>74</v>
      </c>
      <c r="S452" t="s">
        <v>74</v>
      </c>
      <c r="T452" t="s">
        <v>8506</v>
      </c>
      <c r="U452" t="s">
        <v>74</v>
      </c>
      <c r="V452" t="s">
        <v>8507</v>
      </c>
      <c r="W452" t="s">
        <v>8508</v>
      </c>
      <c r="X452" t="s">
        <v>8509</v>
      </c>
      <c r="Y452" t="s">
        <v>8510</v>
      </c>
      <c r="Z452" t="s">
        <v>8511</v>
      </c>
      <c r="AA452" t="s">
        <v>74</v>
      </c>
      <c r="AB452" t="s">
        <v>8512</v>
      </c>
      <c r="AC452" t="s">
        <v>8513</v>
      </c>
      <c r="AD452" t="s">
        <v>8513</v>
      </c>
      <c r="AE452" t="s">
        <v>8514</v>
      </c>
      <c r="AF452" t="s">
        <v>74</v>
      </c>
      <c r="AG452">
        <v>31</v>
      </c>
      <c r="AH452">
        <v>5</v>
      </c>
      <c r="AI452">
        <v>5</v>
      </c>
      <c r="AJ452">
        <v>0</v>
      </c>
      <c r="AK452">
        <v>1</v>
      </c>
      <c r="AL452" t="s">
        <v>464</v>
      </c>
      <c r="AM452" t="s">
        <v>576</v>
      </c>
      <c r="AN452" t="s">
        <v>577</v>
      </c>
      <c r="AO452" t="s">
        <v>8515</v>
      </c>
      <c r="AP452" t="s">
        <v>8516</v>
      </c>
      <c r="AQ452" t="s">
        <v>74</v>
      </c>
      <c r="AR452" t="s">
        <v>8505</v>
      </c>
      <c r="AS452" t="s">
        <v>8517</v>
      </c>
      <c r="AT452" t="s">
        <v>7680</v>
      </c>
      <c r="AU452">
        <v>2010</v>
      </c>
      <c r="AV452">
        <v>75</v>
      </c>
      <c r="AW452">
        <v>4</v>
      </c>
      <c r="AX452" t="s">
        <v>74</v>
      </c>
      <c r="AY452" t="s">
        <v>74</v>
      </c>
      <c r="AZ452" t="s">
        <v>582</v>
      </c>
      <c r="BA452" t="s">
        <v>74</v>
      </c>
      <c r="BB452">
        <v>387</v>
      </c>
      <c r="BC452">
        <v>395</v>
      </c>
      <c r="BD452" t="s">
        <v>74</v>
      </c>
      <c r="BE452" t="s">
        <v>8518</v>
      </c>
      <c r="BF452" t="str">
        <f>HYPERLINK("http://dx.doi.org/10.1007/s10708-009-9260-2","http://dx.doi.org/10.1007/s10708-009-9260-2")</f>
        <v>http://dx.doi.org/10.1007/s10708-009-9260-2</v>
      </c>
      <c r="BG452" t="s">
        <v>74</v>
      </c>
      <c r="BH452" t="s">
        <v>74</v>
      </c>
      <c r="BI452">
        <v>9</v>
      </c>
      <c r="BJ452" t="s">
        <v>8519</v>
      </c>
      <c r="BK452" t="s">
        <v>3947</v>
      </c>
      <c r="BL452" t="s">
        <v>8519</v>
      </c>
      <c r="BM452" t="s">
        <v>8520</v>
      </c>
      <c r="BN452" t="s">
        <v>74</v>
      </c>
      <c r="BO452" t="s">
        <v>74</v>
      </c>
      <c r="BP452" t="s">
        <v>74</v>
      </c>
      <c r="BQ452" t="s">
        <v>74</v>
      </c>
      <c r="BR452" t="s">
        <v>104</v>
      </c>
      <c r="BS452" t="s">
        <v>8521</v>
      </c>
      <c r="BT452" t="str">
        <f>HYPERLINK("https%3A%2F%2Fwww.webofscience.com%2Fwos%2Fwoscc%2Ffull-record%2FWOS:000210512300007","View Full Record in Web of Science")</f>
        <v>View Full Record in Web of Science</v>
      </c>
    </row>
    <row r="453" spans="1:72" x14ac:dyDescent="0.15">
      <c r="A453" t="s">
        <v>72</v>
      </c>
      <c r="B453" t="s">
        <v>8522</v>
      </c>
      <c r="C453" t="s">
        <v>74</v>
      </c>
      <c r="D453" t="s">
        <v>74</v>
      </c>
      <c r="E453" t="s">
        <v>74</v>
      </c>
      <c r="F453" t="s">
        <v>8523</v>
      </c>
      <c r="G453" t="s">
        <v>74</v>
      </c>
      <c r="H453" t="s">
        <v>74</v>
      </c>
      <c r="I453" t="s">
        <v>8524</v>
      </c>
      <c r="J453" t="s">
        <v>3133</v>
      </c>
      <c r="K453" t="s">
        <v>74</v>
      </c>
      <c r="L453" t="s">
        <v>74</v>
      </c>
      <c r="M453" t="s">
        <v>78</v>
      </c>
      <c r="N453" t="s">
        <v>79</v>
      </c>
      <c r="O453" t="s">
        <v>74</v>
      </c>
      <c r="P453" t="s">
        <v>74</v>
      </c>
      <c r="Q453" t="s">
        <v>74</v>
      </c>
      <c r="R453" t="s">
        <v>74</v>
      </c>
      <c r="S453" t="s">
        <v>74</v>
      </c>
      <c r="T453" t="s">
        <v>74</v>
      </c>
      <c r="U453" t="s">
        <v>8525</v>
      </c>
      <c r="V453" t="s">
        <v>8526</v>
      </c>
      <c r="W453" t="s">
        <v>8527</v>
      </c>
      <c r="X453" t="s">
        <v>8528</v>
      </c>
      <c r="Y453" t="s">
        <v>8529</v>
      </c>
      <c r="Z453" t="s">
        <v>8530</v>
      </c>
      <c r="AA453" t="s">
        <v>8531</v>
      </c>
      <c r="AB453" t="s">
        <v>8532</v>
      </c>
      <c r="AC453" t="s">
        <v>8533</v>
      </c>
      <c r="AD453" t="s">
        <v>8534</v>
      </c>
      <c r="AE453" t="s">
        <v>8535</v>
      </c>
      <c r="AF453" t="s">
        <v>74</v>
      </c>
      <c r="AG453">
        <v>15</v>
      </c>
      <c r="AH453">
        <v>47</v>
      </c>
      <c r="AI453">
        <v>49</v>
      </c>
      <c r="AJ453">
        <v>0</v>
      </c>
      <c r="AK453">
        <v>10</v>
      </c>
      <c r="AL453" t="s">
        <v>3145</v>
      </c>
      <c r="AM453" t="s">
        <v>91</v>
      </c>
      <c r="AN453" t="s">
        <v>3146</v>
      </c>
      <c r="AO453" t="s">
        <v>3147</v>
      </c>
      <c r="AP453" t="s">
        <v>74</v>
      </c>
      <c r="AQ453" t="s">
        <v>74</v>
      </c>
      <c r="AR453" t="s">
        <v>3133</v>
      </c>
      <c r="AS453" t="s">
        <v>807</v>
      </c>
      <c r="AT453" t="s">
        <v>7680</v>
      </c>
      <c r="AU453">
        <v>2010</v>
      </c>
      <c r="AV453">
        <v>38</v>
      </c>
      <c r="AW453">
        <v>8</v>
      </c>
      <c r="AX453" t="s">
        <v>74</v>
      </c>
      <c r="AY453" t="s">
        <v>74</v>
      </c>
      <c r="AZ453" t="s">
        <v>74</v>
      </c>
      <c r="BA453" t="s">
        <v>74</v>
      </c>
      <c r="BB453">
        <v>703</v>
      </c>
      <c r="BC453">
        <v>706</v>
      </c>
      <c r="BD453" t="s">
        <v>74</v>
      </c>
      <c r="BE453" t="s">
        <v>8536</v>
      </c>
      <c r="BF453" t="str">
        <f>HYPERLINK("http://dx.doi.org/10.1130/G31172x.1","http://dx.doi.org/10.1130/G31172x.1")</f>
        <v>http://dx.doi.org/10.1130/G31172x.1</v>
      </c>
      <c r="BG453" t="s">
        <v>74</v>
      </c>
      <c r="BH453" t="s">
        <v>74</v>
      </c>
      <c r="BI453">
        <v>4</v>
      </c>
      <c r="BJ453" t="s">
        <v>807</v>
      </c>
      <c r="BK453" t="s">
        <v>100</v>
      </c>
      <c r="BL453" t="s">
        <v>807</v>
      </c>
      <c r="BM453" t="s">
        <v>8537</v>
      </c>
      <c r="BN453" t="s">
        <v>74</v>
      </c>
      <c r="BO453" t="s">
        <v>74</v>
      </c>
      <c r="BP453" t="s">
        <v>74</v>
      </c>
      <c r="BQ453" t="s">
        <v>74</v>
      </c>
      <c r="BR453" t="s">
        <v>104</v>
      </c>
      <c r="BS453" t="s">
        <v>8538</v>
      </c>
      <c r="BT453" t="str">
        <f>HYPERLINK("https%3A%2F%2Fwww.webofscience.com%2Fwos%2Fwoscc%2Ffull-record%2FWOS:000279847900008","View Full Record in Web of Science")</f>
        <v>View Full Record in Web of Science</v>
      </c>
    </row>
    <row r="454" spans="1:72" x14ac:dyDescent="0.15">
      <c r="A454" t="s">
        <v>72</v>
      </c>
      <c r="B454" t="s">
        <v>8539</v>
      </c>
      <c r="C454" t="s">
        <v>74</v>
      </c>
      <c r="D454" t="s">
        <v>74</v>
      </c>
      <c r="E454" t="s">
        <v>74</v>
      </c>
      <c r="F454" t="s">
        <v>8540</v>
      </c>
      <c r="G454" t="s">
        <v>74</v>
      </c>
      <c r="H454" t="s">
        <v>74</v>
      </c>
      <c r="I454" t="s">
        <v>8541</v>
      </c>
      <c r="J454" t="s">
        <v>3133</v>
      </c>
      <c r="K454" t="s">
        <v>74</v>
      </c>
      <c r="L454" t="s">
        <v>74</v>
      </c>
      <c r="M454" t="s">
        <v>78</v>
      </c>
      <c r="N454" t="s">
        <v>79</v>
      </c>
      <c r="O454" t="s">
        <v>74</v>
      </c>
      <c r="P454" t="s">
        <v>74</v>
      </c>
      <c r="Q454" t="s">
        <v>74</v>
      </c>
      <c r="R454" t="s">
        <v>74</v>
      </c>
      <c r="S454" t="s">
        <v>74</v>
      </c>
      <c r="T454" t="s">
        <v>74</v>
      </c>
      <c r="U454" t="s">
        <v>8542</v>
      </c>
      <c r="V454" t="s">
        <v>8543</v>
      </c>
      <c r="W454" t="s">
        <v>8544</v>
      </c>
      <c r="X454" t="s">
        <v>8545</v>
      </c>
      <c r="Y454" t="s">
        <v>8546</v>
      </c>
      <c r="Z454" t="s">
        <v>8547</v>
      </c>
      <c r="AA454" t="s">
        <v>8548</v>
      </c>
      <c r="AB454" t="s">
        <v>8549</v>
      </c>
      <c r="AC454" t="s">
        <v>8550</v>
      </c>
      <c r="AD454" t="s">
        <v>8551</v>
      </c>
      <c r="AE454" t="s">
        <v>8552</v>
      </c>
      <c r="AF454" t="s">
        <v>74</v>
      </c>
      <c r="AG454">
        <v>34</v>
      </c>
      <c r="AH454">
        <v>57</v>
      </c>
      <c r="AI454">
        <v>64</v>
      </c>
      <c r="AJ454">
        <v>1</v>
      </c>
      <c r="AK454">
        <v>23</v>
      </c>
      <c r="AL454" t="s">
        <v>3145</v>
      </c>
      <c r="AM454" t="s">
        <v>91</v>
      </c>
      <c r="AN454" t="s">
        <v>3146</v>
      </c>
      <c r="AO454" t="s">
        <v>3147</v>
      </c>
      <c r="AP454" t="s">
        <v>74</v>
      </c>
      <c r="AQ454" t="s">
        <v>74</v>
      </c>
      <c r="AR454" t="s">
        <v>3133</v>
      </c>
      <c r="AS454" t="s">
        <v>807</v>
      </c>
      <c r="AT454" t="s">
        <v>7680</v>
      </c>
      <c r="AU454">
        <v>2010</v>
      </c>
      <c r="AV454">
        <v>38</v>
      </c>
      <c r="AW454">
        <v>8</v>
      </c>
      <c r="AX454" t="s">
        <v>74</v>
      </c>
      <c r="AY454" t="s">
        <v>74</v>
      </c>
      <c r="AZ454" t="s">
        <v>74</v>
      </c>
      <c r="BA454" t="s">
        <v>74</v>
      </c>
      <c r="BB454">
        <v>707</v>
      </c>
      <c r="BC454">
        <v>710</v>
      </c>
      <c r="BD454" t="s">
        <v>74</v>
      </c>
      <c r="BE454" t="s">
        <v>8553</v>
      </c>
      <c r="BF454" t="str">
        <f>HYPERLINK("http://dx.doi.org/10.1130/G30920.1","http://dx.doi.org/10.1130/G30920.1")</f>
        <v>http://dx.doi.org/10.1130/G30920.1</v>
      </c>
      <c r="BG454" t="s">
        <v>74</v>
      </c>
      <c r="BH454" t="s">
        <v>74</v>
      </c>
      <c r="BI454">
        <v>4</v>
      </c>
      <c r="BJ454" t="s">
        <v>807</v>
      </c>
      <c r="BK454" t="s">
        <v>100</v>
      </c>
      <c r="BL454" t="s">
        <v>807</v>
      </c>
      <c r="BM454" t="s">
        <v>8537</v>
      </c>
      <c r="BN454" t="s">
        <v>74</v>
      </c>
      <c r="BO454" t="s">
        <v>74</v>
      </c>
      <c r="BP454" t="s">
        <v>74</v>
      </c>
      <c r="BQ454" t="s">
        <v>74</v>
      </c>
      <c r="BR454" t="s">
        <v>104</v>
      </c>
      <c r="BS454" t="s">
        <v>8554</v>
      </c>
      <c r="BT454" t="str">
        <f>HYPERLINK("https%3A%2F%2Fwww.webofscience.com%2Fwos%2Fwoscc%2Ffull-record%2FWOS:000279847900009","View Full Record in Web of Science")</f>
        <v>View Full Record in Web of Science</v>
      </c>
    </row>
    <row r="455" spans="1:72" x14ac:dyDescent="0.15">
      <c r="A455" t="s">
        <v>72</v>
      </c>
      <c r="B455" t="s">
        <v>8555</v>
      </c>
      <c r="C455" t="s">
        <v>74</v>
      </c>
      <c r="D455" t="s">
        <v>74</v>
      </c>
      <c r="E455" t="s">
        <v>74</v>
      </c>
      <c r="F455" t="s">
        <v>8556</v>
      </c>
      <c r="G455" t="s">
        <v>74</v>
      </c>
      <c r="H455" t="s">
        <v>74</v>
      </c>
      <c r="I455" t="s">
        <v>8557</v>
      </c>
      <c r="J455" t="s">
        <v>3133</v>
      </c>
      <c r="K455" t="s">
        <v>74</v>
      </c>
      <c r="L455" t="s">
        <v>74</v>
      </c>
      <c r="M455" t="s">
        <v>78</v>
      </c>
      <c r="N455" t="s">
        <v>79</v>
      </c>
      <c r="O455" t="s">
        <v>74</v>
      </c>
      <c r="P455" t="s">
        <v>74</v>
      </c>
      <c r="Q455" t="s">
        <v>74</v>
      </c>
      <c r="R455" t="s">
        <v>74</v>
      </c>
      <c r="S455" t="s">
        <v>74</v>
      </c>
      <c r="T455" t="s">
        <v>74</v>
      </c>
      <c r="U455" t="s">
        <v>8558</v>
      </c>
      <c r="V455" t="s">
        <v>8559</v>
      </c>
      <c r="W455" t="s">
        <v>8560</v>
      </c>
      <c r="X455" t="s">
        <v>8561</v>
      </c>
      <c r="Y455" t="s">
        <v>8562</v>
      </c>
      <c r="Z455" t="s">
        <v>74</v>
      </c>
      <c r="AA455" t="s">
        <v>8563</v>
      </c>
      <c r="AB455" t="s">
        <v>8564</v>
      </c>
      <c r="AC455" t="s">
        <v>8565</v>
      </c>
      <c r="AD455" t="s">
        <v>8566</v>
      </c>
      <c r="AE455" t="s">
        <v>8567</v>
      </c>
      <c r="AF455" t="s">
        <v>74</v>
      </c>
      <c r="AG455">
        <v>35</v>
      </c>
      <c r="AH455">
        <v>38</v>
      </c>
      <c r="AI455">
        <v>43</v>
      </c>
      <c r="AJ455">
        <v>0</v>
      </c>
      <c r="AK455">
        <v>36</v>
      </c>
      <c r="AL455" t="s">
        <v>3145</v>
      </c>
      <c r="AM455" t="s">
        <v>91</v>
      </c>
      <c r="AN455" t="s">
        <v>3146</v>
      </c>
      <c r="AO455" t="s">
        <v>3147</v>
      </c>
      <c r="AP455" t="s">
        <v>3148</v>
      </c>
      <c r="AQ455" t="s">
        <v>74</v>
      </c>
      <c r="AR455" t="s">
        <v>3133</v>
      </c>
      <c r="AS455" t="s">
        <v>807</v>
      </c>
      <c r="AT455" t="s">
        <v>7680</v>
      </c>
      <c r="AU455">
        <v>2010</v>
      </c>
      <c r="AV455">
        <v>38</v>
      </c>
      <c r="AW455">
        <v>8</v>
      </c>
      <c r="AX455" t="s">
        <v>74</v>
      </c>
      <c r="AY455" t="s">
        <v>74</v>
      </c>
      <c r="AZ455" t="s">
        <v>74</v>
      </c>
      <c r="BA455" t="s">
        <v>74</v>
      </c>
      <c r="BB455">
        <v>723</v>
      </c>
      <c r="BC455">
        <v>726</v>
      </c>
      <c r="BD455" t="s">
        <v>74</v>
      </c>
      <c r="BE455" t="s">
        <v>8568</v>
      </c>
      <c r="BF455" t="str">
        <f>HYPERLINK("http://dx.doi.org/10.1130/G31068.1","http://dx.doi.org/10.1130/G31068.1")</f>
        <v>http://dx.doi.org/10.1130/G31068.1</v>
      </c>
      <c r="BG455" t="s">
        <v>74</v>
      </c>
      <c r="BH455" t="s">
        <v>74</v>
      </c>
      <c r="BI455">
        <v>4</v>
      </c>
      <c r="BJ455" t="s">
        <v>807</v>
      </c>
      <c r="BK455" t="s">
        <v>100</v>
      </c>
      <c r="BL455" t="s">
        <v>807</v>
      </c>
      <c r="BM455" t="s">
        <v>8537</v>
      </c>
      <c r="BN455" t="s">
        <v>74</v>
      </c>
      <c r="BO455" t="s">
        <v>74</v>
      </c>
      <c r="BP455" t="s">
        <v>74</v>
      </c>
      <c r="BQ455" t="s">
        <v>74</v>
      </c>
      <c r="BR455" t="s">
        <v>104</v>
      </c>
      <c r="BS455" t="s">
        <v>8569</v>
      </c>
      <c r="BT455" t="str">
        <f>HYPERLINK("https%3A%2F%2Fwww.webofscience.com%2Fwos%2Fwoscc%2Ffull-record%2FWOS:000279847900013","View Full Record in Web of Science")</f>
        <v>View Full Record in Web of Science</v>
      </c>
    </row>
    <row r="456" spans="1:72" x14ac:dyDescent="0.15">
      <c r="A456" t="s">
        <v>72</v>
      </c>
      <c r="B456" t="s">
        <v>8570</v>
      </c>
      <c r="C456" t="s">
        <v>74</v>
      </c>
      <c r="D456" t="s">
        <v>74</v>
      </c>
      <c r="E456" t="s">
        <v>74</v>
      </c>
      <c r="F456" t="s">
        <v>8571</v>
      </c>
      <c r="G456" t="s">
        <v>74</v>
      </c>
      <c r="H456" t="s">
        <v>74</v>
      </c>
      <c r="I456" t="s">
        <v>8572</v>
      </c>
      <c r="J456" t="s">
        <v>3186</v>
      </c>
      <c r="K456" t="s">
        <v>74</v>
      </c>
      <c r="L456" t="s">
        <v>74</v>
      </c>
      <c r="M456" t="s">
        <v>78</v>
      </c>
      <c r="N456" t="s">
        <v>79</v>
      </c>
      <c r="O456" t="s">
        <v>74</v>
      </c>
      <c r="P456" t="s">
        <v>74</v>
      </c>
      <c r="Q456" t="s">
        <v>74</v>
      </c>
      <c r="R456" t="s">
        <v>74</v>
      </c>
      <c r="S456" t="s">
        <v>74</v>
      </c>
      <c r="T456" t="s">
        <v>74</v>
      </c>
      <c r="U456" t="s">
        <v>74</v>
      </c>
      <c r="V456" t="s">
        <v>8573</v>
      </c>
      <c r="W456" t="s">
        <v>8574</v>
      </c>
      <c r="X456" t="s">
        <v>6451</v>
      </c>
      <c r="Y456" t="s">
        <v>8575</v>
      </c>
      <c r="Z456" t="s">
        <v>74</v>
      </c>
      <c r="AA456" t="s">
        <v>74</v>
      </c>
      <c r="AB456" t="s">
        <v>74</v>
      </c>
      <c r="AC456" t="s">
        <v>74</v>
      </c>
      <c r="AD456" t="s">
        <v>74</v>
      </c>
      <c r="AE456" t="s">
        <v>74</v>
      </c>
      <c r="AF456" t="s">
        <v>74</v>
      </c>
      <c r="AG456">
        <v>10</v>
      </c>
      <c r="AH456">
        <v>0</v>
      </c>
      <c r="AI456">
        <v>0</v>
      </c>
      <c r="AJ456">
        <v>0</v>
      </c>
      <c r="AK456">
        <v>0</v>
      </c>
      <c r="AL456" t="s">
        <v>3198</v>
      </c>
      <c r="AM456" t="s">
        <v>310</v>
      </c>
      <c r="AN456" t="s">
        <v>3199</v>
      </c>
      <c r="AO456" t="s">
        <v>3200</v>
      </c>
      <c r="AP456" t="s">
        <v>3201</v>
      </c>
      <c r="AQ456" t="s">
        <v>74</v>
      </c>
      <c r="AR456" t="s">
        <v>3202</v>
      </c>
      <c r="AS456" t="s">
        <v>3203</v>
      </c>
      <c r="AT456" t="s">
        <v>7680</v>
      </c>
      <c r="AU456">
        <v>2010</v>
      </c>
      <c r="AV456">
        <v>50</v>
      </c>
      <c r="AW456">
        <v>4</v>
      </c>
      <c r="AX456" t="s">
        <v>74</v>
      </c>
      <c r="AY456" t="s">
        <v>74</v>
      </c>
      <c r="AZ456" t="s">
        <v>74</v>
      </c>
      <c r="BA456" t="s">
        <v>74</v>
      </c>
      <c r="BB456">
        <v>461</v>
      </c>
      <c r="BC456">
        <v>466</v>
      </c>
      <c r="BD456" t="s">
        <v>74</v>
      </c>
      <c r="BE456" t="s">
        <v>8576</v>
      </c>
      <c r="BF456" t="str">
        <f>HYPERLINK("http://dx.doi.org/10.1134/S0016793210040055","http://dx.doi.org/10.1134/S0016793210040055")</f>
        <v>http://dx.doi.org/10.1134/S0016793210040055</v>
      </c>
      <c r="BG456" t="s">
        <v>74</v>
      </c>
      <c r="BH456" t="s">
        <v>74</v>
      </c>
      <c r="BI456">
        <v>6</v>
      </c>
      <c r="BJ456" t="s">
        <v>558</v>
      </c>
      <c r="BK456" t="s">
        <v>100</v>
      </c>
      <c r="BL456" t="s">
        <v>558</v>
      </c>
      <c r="BM456" t="s">
        <v>8577</v>
      </c>
      <c r="BN456" t="s">
        <v>74</v>
      </c>
      <c r="BO456" t="s">
        <v>74</v>
      </c>
      <c r="BP456" t="s">
        <v>74</v>
      </c>
      <c r="BQ456" t="s">
        <v>74</v>
      </c>
      <c r="BR456" t="s">
        <v>104</v>
      </c>
      <c r="BS456" t="s">
        <v>8578</v>
      </c>
      <c r="BT456" t="str">
        <f>HYPERLINK("https%3A%2F%2Fwww.webofscience.com%2Fwos%2Fwoscc%2Ffull-record%2FWOS:000280700400005","View Full Record in Web of Science")</f>
        <v>View Full Record in Web of Science</v>
      </c>
    </row>
    <row r="457" spans="1:72" x14ac:dyDescent="0.15">
      <c r="A457" t="s">
        <v>72</v>
      </c>
      <c r="B457" t="s">
        <v>8579</v>
      </c>
      <c r="C457" t="s">
        <v>74</v>
      </c>
      <c r="D457" t="s">
        <v>74</v>
      </c>
      <c r="E457" t="s">
        <v>74</v>
      </c>
      <c r="F457" t="s">
        <v>8580</v>
      </c>
      <c r="G457" t="s">
        <v>74</v>
      </c>
      <c r="H457" t="s">
        <v>74</v>
      </c>
      <c r="I457" t="s">
        <v>8581</v>
      </c>
      <c r="J457" t="s">
        <v>636</v>
      </c>
      <c r="K457" t="s">
        <v>74</v>
      </c>
      <c r="L457" t="s">
        <v>74</v>
      </c>
      <c r="M457" t="s">
        <v>78</v>
      </c>
      <c r="N457" t="s">
        <v>79</v>
      </c>
      <c r="O457" t="s">
        <v>74</v>
      </c>
      <c r="P457" t="s">
        <v>74</v>
      </c>
      <c r="Q457" t="s">
        <v>74</v>
      </c>
      <c r="R457" t="s">
        <v>74</v>
      </c>
      <c r="S457" t="s">
        <v>74</v>
      </c>
      <c r="T457" t="s">
        <v>8582</v>
      </c>
      <c r="U457" t="s">
        <v>8583</v>
      </c>
      <c r="V457" t="s">
        <v>8584</v>
      </c>
      <c r="W457" t="s">
        <v>8585</v>
      </c>
      <c r="X457" t="s">
        <v>8586</v>
      </c>
      <c r="Y457" t="s">
        <v>8587</v>
      </c>
      <c r="Z457" t="s">
        <v>8588</v>
      </c>
      <c r="AA457" t="s">
        <v>8589</v>
      </c>
      <c r="AB457" t="s">
        <v>8590</v>
      </c>
      <c r="AC457" t="s">
        <v>8591</v>
      </c>
      <c r="AD457" t="s">
        <v>8592</v>
      </c>
      <c r="AE457" t="s">
        <v>8593</v>
      </c>
      <c r="AF457" t="s">
        <v>74</v>
      </c>
      <c r="AG457">
        <v>80</v>
      </c>
      <c r="AH457">
        <v>25</v>
      </c>
      <c r="AI457">
        <v>25</v>
      </c>
      <c r="AJ457">
        <v>2</v>
      </c>
      <c r="AK457">
        <v>8</v>
      </c>
      <c r="AL457" t="s">
        <v>648</v>
      </c>
      <c r="AM457" t="s">
        <v>265</v>
      </c>
      <c r="AN457" t="s">
        <v>649</v>
      </c>
      <c r="AO457" t="s">
        <v>650</v>
      </c>
      <c r="AP457" t="s">
        <v>651</v>
      </c>
      <c r="AQ457" t="s">
        <v>74</v>
      </c>
      <c r="AR457" t="s">
        <v>652</v>
      </c>
      <c r="AS457" t="s">
        <v>653</v>
      </c>
      <c r="AT457" t="s">
        <v>7680</v>
      </c>
      <c r="AU457">
        <v>2010</v>
      </c>
      <c r="AV457">
        <v>182</v>
      </c>
      <c r="AW457">
        <v>2</v>
      </c>
      <c r="AX457" t="s">
        <v>74</v>
      </c>
      <c r="AY457" t="s">
        <v>74</v>
      </c>
      <c r="AZ457" t="s">
        <v>74</v>
      </c>
      <c r="BA457" t="s">
        <v>74</v>
      </c>
      <c r="BB457">
        <v>781</v>
      </c>
      <c r="BC457">
        <v>796</v>
      </c>
      <c r="BD457" t="s">
        <v>74</v>
      </c>
      <c r="BE457" t="s">
        <v>8594</v>
      </c>
      <c r="BF457" t="str">
        <f>HYPERLINK("http://dx.doi.org/10.1111/j.1365-246X.2010.04640.x","http://dx.doi.org/10.1111/j.1365-246X.2010.04640.x")</f>
        <v>http://dx.doi.org/10.1111/j.1365-246X.2010.04640.x</v>
      </c>
      <c r="BG457" t="s">
        <v>74</v>
      </c>
      <c r="BH457" t="s">
        <v>74</v>
      </c>
      <c r="BI457">
        <v>16</v>
      </c>
      <c r="BJ457" t="s">
        <v>558</v>
      </c>
      <c r="BK457" t="s">
        <v>100</v>
      </c>
      <c r="BL457" t="s">
        <v>558</v>
      </c>
      <c r="BM457" t="s">
        <v>8595</v>
      </c>
      <c r="BN457" t="s">
        <v>74</v>
      </c>
      <c r="BO457" t="s">
        <v>8596</v>
      </c>
      <c r="BP457" t="s">
        <v>74</v>
      </c>
      <c r="BQ457" t="s">
        <v>74</v>
      </c>
      <c r="BR457" t="s">
        <v>104</v>
      </c>
      <c r="BS457" t="s">
        <v>8597</v>
      </c>
      <c r="BT457" t="str">
        <f>HYPERLINK("https%3A%2F%2Fwww.webofscience.com%2Fwos%2Fwoscc%2Ffull-record%2FWOS:000280730900019","View Full Record in Web of Science")</f>
        <v>View Full Record in Web of Science</v>
      </c>
    </row>
    <row r="458" spans="1:72" x14ac:dyDescent="0.15">
      <c r="A458" t="s">
        <v>72</v>
      </c>
      <c r="B458" t="s">
        <v>8598</v>
      </c>
      <c r="C458" t="s">
        <v>74</v>
      </c>
      <c r="D458" t="s">
        <v>74</v>
      </c>
      <c r="E458" t="s">
        <v>74</v>
      </c>
      <c r="F458" t="s">
        <v>8599</v>
      </c>
      <c r="G458" t="s">
        <v>74</v>
      </c>
      <c r="H458" t="s">
        <v>74</v>
      </c>
      <c r="I458" t="s">
        <v>8600</v>
      </c>
      <c r="J458" t="s">
        <v>3227</v>
      </c>
      <c r="K458" t="s">
        <v>74</v>
      </c>
      <c r="L458" t="s">
        <v>74</v>
      </c>
      <c r="M458" t="s">
        <v>78</v>
      </c>
      <c r="N458" t="s">
        <v>79</v>
      </c>
      <c r="O458" t="s">
        <v>74</v>
      </c>
      <c r="P458" t="s">
        <v>74</v>
      </c>
      <c r="Q458" t="s">
        <v>74</v>
      </c>
      <c r="R458" t="s">
        <v>74</v>
      </c>
      <c r="S458" t="s">
        <v>74</v>
      </c>
      <c r="T458" t="s">
        <v>74</v>
      </c>
      <c r="U458" t="s">
        <v>8601</v>
      </c>
      <c r="V458" t="s">
        <v>8602</v>
      </c>
      <c r="W458" t="s">
        <v>8603</v>
      </c>
      <c r="X458" t="s">
        <v>8604</v>
      </c>
      <c r="Y458" t="s">
        <v>8605</v>
      </c>
      <c r="Z458" t="s">
        <v>8606</v>
      </c>
      <c r="AA458" t="s">
        <v>8607</v>
      </c>
      <c r="AB458" t="s">
        <v>8608</v>
      </c>
      <c r="AC458" t="s">
        <v>8609</v>
      </c>
      <c r="AD458" t="s">
        <v>8610</v>
      </c>
      <c r="AE458" t="s">
        <v>8611</v>
      </c>
      <c r="AF458" t="s">
        <v>74</v>
      </c>
      <c r="AG458">
        <v>66</v>
      </c>
      <c r="AH458">
        <v>40</v>
      </c>
      <c r="AI458">
        <v>48</v>
      </c>
      <c r="AJ458">
        <v>0</v>
      </c>
      <c r="AK458">
        <v>9</v>
      </c>
      <c r="AL458" t="s">
        <v>3145</v>
      </c>
      <c r="AM458" t="s">
        <v>91</v>
      </c>
      <c r="AN458" t="s">
        <v>3146</v>
      </c>
      <c r="AO458" t="s">
        <v>3238</v>
      </c>
      <c r="AP458" t="s">
        <v>74</v>
      </c>
      <c r="AQ458" t="s">
        <v>74</v>
      </c>
      <c r="AR458" t="s">
        <v>3227</v>
      </c>
      <c r="AS458" t="s">
        <v>3239</v>
      </c>
      <c r="AT458" t="s">
        <v>7680</v>
      </c>
      <c r="AU458">
        <v>2010</v>
      </c>
      <c r="AV458">
        <v>6</v>
      </c>
      <c r="AW458">
        <v>4</v>
      </c>
      <c r="AX458" t="s">
        <v>74</v>
      </c>
      <c r="AY458" t="s">
        <v>74</v>
      </c>
      <c r="AZ458" t="s">
        <v>74</v>
      </c>
      <c r="BA458" t="s">
        <v>74</v>
      </c>
      <c r="BB458">
        <v>370</v>
      </c>
      <c r="BC458">
        <v>378</v>
      </c>
      <c r="BD458" t="s">
        <v>74</v>
      </c>
      <c r="BE458" t="s">
        <v>8612</v>
      </c>
      <c r="BF458" t="str">
        <f>HYPERLINK("http://dx.doi.org/10.1130/GES00512.1","http://dx.doi.org/10.1130/GES00512.1")</f>
        <v>http://dx.doi.org/10.1130/GES00512.1</v>
      </c>
      <c r="BG458" t="s">
        <v>74</v>
      </c>
      <c r="BH458" t="s">
        <v>74</v>
      </c>
      <c r="BI458">
        <v>9</v>
      </c>
      <c r="BJ458" t="s">
        <v>1194</v>
      </c>
      <c r="BK458" t="s">
        <v>100</v>
      </c>
      <c r="BL458" t="s">
        <v>807</v>
      </c>
      <c r="BM458" t="s">
        <v>8613</v>
      </c>
      <c r="BN458" t="s">
        <v>74</v>
      </c>
      <c r="BO458" t="s">
        <v>1987</v>
      </c>
      <c r="BP458" t="s">
        <v>74</v>
      </c>
      <c r="BQ458" t="s">
        <v>74</v>
      </c>
      <c r="BR458" t="s">
        <v>104</v>
      </c>
      <c r="BS458" t="s">
        <v>8614</v>
      </c>
      <c r="BT458" t="str">
        <f>HYPERLINK("https%3A%2F%2Fwww.webofscience.com%2Fwos%2Fwoscc%2Ffull-record%2FWOS:000281195200004","View Full Record in Web of Science")</f>
        <v>View Full Record in Web of Science</v>
      </c>
    </row>
    <row r="459" spans="1:72" x14ac:dyDescent="0.15">
      <c r="A459" t="s">
        <v>72</v>
      </c>
      <c r="B459" t="s">
        <v>8615</v>
      </c>
      <c r="C459" t="s">
        <v>74</v>
      </c>
      <c r="D459" t="s">
        <v>74</v>
      </c>
      <c r="E459" t="s">
        <v>74</v>
      </c>
      <c r="F459" t="s">
        <v>8616</v>
      </c>
      <c r="G459" t="s">
        <v>74</v>
      </c>
      <c r="H459" t="s">
        <v>74</v>
      </c>
      <c r="I459" t="s">
        <v>8617</v>
      </c>
      <c r="J459" t="s">
        <v>8618</v>
      </c>
      <c r="K459" t="s">
        <v>74</v>
      </c>
      <c r="L459" t="s">
        <v>74</v>
      </c>
      <c r="M459" t="s">
        <v>78</v>
      </c>
      <c r="N459" t="s">
        <v>79</v>
      </c>
      <c r="O459" t="s">
        <v>74</v>
      </c>
      <c r="P459" t="s">
        <v>74</v>
      </c>
      <c r="Q459" t="s">
        <v>74</v>
      </c>
      <c r="R459" t="s">
        <v>74</v>
      </c>
      <c r="S459" t="s">
        <v>74</v>
      </c>
      <c r="T459" t="s">
        <v>8619</v>
      </c>
      <c r="U459" t="s">
        <v>8620</v>
      </c>
      <c r="V459" t="s">
        <v>8621</v>
      </c>
      <c r="W459" t="s">
        <v>8622</v>
      </c>
      <c r="X459" t="s">
        <v>8623</v>
      </c>
      <c r="Y459" t="s">
        <v>8624</v>
      </c>
      <c r="Z459" t="s">
        <v>8625</v>
      </c>
      <c r="AA459" t="s">
        <v>8626</v>
      </c>
      <c r="AB459" t="s">
        <v>8627</v>
      </c>
      <c r="AC459" t="s">
        <v>8628</v>
      </c>
      <c r="AD459" t="s">
        <v>8629</v>
      </c>
      <c r="AE459" t="s">
        <v>8630</v>
      </c>
      <c r="AF459" t="s">
        <v>74</v>
      </c>
      <c r="AG459">
        <v>37</v>
      </c>
      <c r="AH459">
        <v>36</v>
      </c>
      <c r="AI459">
        <v>40</v>
      </c>
      <c r="AJ459">
        <v>1</v>
      </c>
      <c r="AK459">
        <v>12</v>
      </c>
      <c r="AL459" t="s">
        <v>1136</v>
      </c>
      <c r="AM459" t="s">
        <v>1137</v>
      </c>
      <c r="AN459" t="s">
        <v>1138</v>
      </c>
      <c r="AO459" t="s">
        <v>8631</v>
      </c>
      <c r="AP459" t="s">
        <v>74</v>
      </c>
      <c r="AQ459" t="s">
        <v>74</v>
      </c>
      <c r="AR459" t="s">
        <v>8618</v>
      </c>
      <c r="AS459" t="s">
        <v>8632</v>
      </c>
      <c r="AT459" t="s">
        <v>7680</v>
      </c>
      <c r="AU459">
        <v>2010</v>
      </c>
      <c r="AV459">
        <v>208</v>
      </c>
      <c r="AW459">
        <v>2</v>
      </c>
      <c r="AX459" t="s">
        <v>74</v>
      </c>
      <c r="AY459" t="s">
        <v>74</v>
      </c>
      <c r="AZ459" t="s">
        <v>74</v>
      </c>
      <c r="BA459" t="s">
        <v>74</v>
      </c>
      <c r="BB459">
        <v>658</v>
      </c>
      <c r="BC459">
        <v>666</v>
      </c>
      <c r="BD459" t="s">
        <v>74</v>
      </c>
      <c r="BE459" t="s">
        <v>8633</v>
      </c>
      <c r="BF459" t="str">
        <f>HYPERLINK("http://dx.doi.org/10.1016/j.icarus.2010.02.019","http://dx.doi.org/10.1016/j.icarus.2010.02.019")</f>
        <v>http://dx.doi.org/10.1016/j.icarus.2010.02.019</v>
      </c>
      <c r="BG459" t="s">
        <v>74</v>
      </c>
      <c r="BH459" t="s">
        <v>74</v>
      </c>
      <c r="BI459">
        <v>9</v>
      </c>
      <c r="BJ459" t="s">
        <v>1805</v>
      </c>
      <c r="BK459" t="s">
        <v>100</v>
      </c>
      <c r="BL459" t="s">
        <v>1805</v>
      </c>
      <c r="BM459" t="s">
        <v>8634</v>
      </c>
      <c r="BN459" t="s">
        <v>74</v>
      </c>
      <c r="BO459" t="s">
        <v>74</v>
      </c>
      <c r="BP459" t="s">
        <v>74</v>
      </c>
      <c r="BQ459" t="s">
        <v>74</v>
      </c>
      <c r="BR459" t="s">
        <v>104</v>
      </c>
      <c r="BS459" t="s">
        <v>8635</v>
      </c>
      <c r="BT459" t="str">
        <f>HYPERLINK("https%3A%2F%2Fwww.webofscience.com%2Fwos%2Fwoscc%2Ffull-record%2FWOS:000280183000013","View Full Record in Web of Science")</f>
        <v>View Full Record in Web of Science</v>
      </c>
    </row>
    <row r="460" spans="1:72" x14ac:dyDescent="0.15">
      <c r="A460" t="s">
        <v>72</v>
      </c>
      <c r="B460" t="s">
        <v>8636</v>
      </c>
      <c r="C460" t="s">
        <v>74</v>
      </c>
      <c r="D460" t="s">
        <v>74</v>
      </c>
      <c r="E460" t="s">
        <v>74</v>
      </c>
      <c r="F460" t="s">
        <v>8637</v>
      </c>
      <c r="G460" t="s">
        <v>74</v>
      </c>
      <c r="H460" t="s">
        <v>74</v>
      </c>
      <c r="I460" t="s">
        <v>8638</v>
      </c>
      <c r="J460" t="s">
        <v>8639</v>
      </c>
      <c r="K460" t="s">
        <v>74</v>
      </c>
      <c r="L460" t="s">
        <v>74</v>
      </c>
      <c r="M460" t="s">
        <v>78</v>
      </c>
      <c r="N460" t="s">
        <v>79</v>
      </c>
      <c r="O460" t="s">
        <v>74</v>
      </c>
      <c r="P460" t="s">
        <v>74</v>
      </c>
      <c r="Q460" t="s">
        <v>74</v>
      </c>
      <c r="R460" t="s">
        <v>74</v>
      </c>
      <c r="S460" t="s">
        <v>74</v>
      </c>
      <c r="T460" t="s">
        <v>8640</v>
      </c>
      <c r="U460" t="s">
        <v>8641</v>
      </c>
      <c r="V460" t="s">
        <v>8642</v>
      </c>
      <c r="W460" t="s">
        <v>8643</v>
      </c>
      <c r="X460" t="s">
        <v>690</v>
      </c>
      <c r="Y460" t="s">
        <v>8644</v>
      </c>
      <c r="Z460" t="s">
        <v>8645</v>
      </c>
      <c r="AA460" t="s">
        <v>8646</v>
      </c>
      <c r="AB460" t="s">
        <v>8647</v>
      </c>
      <c r="AC460" t="s">
        <v>8648</v>
      </c>
      <c r="AD460" t="s">
        <v>337</v>
      </c>
      <c r="AE460" t="s">
        <v>74</v>
      </c>
      <c r="AF460" t="s">
        <v>74</v>
      </c>
      <c r="AG460">
        <v>29</v>
      </c>
      <c r="AH460">
        <v>6</v>
      </c>
      <c r="AI460">
        <v>6</v>
      </c>
      <c r="AJ460">
        <v>0</v>
      </c>
      <c r="AK460">
        <v>3</v>
      </c>
      <c r="AL460" t="s">
        <v>923</v>
      </c>
      <c r="AM460" t="s">
        <v>339</v>
      </c>
      <c r="AN460" t="s">
        <v>340</v>
      </c>
      <c r="AO460" t="s">
        <v>8649</v>
      </c>
      <c r="AP460" t="s">
        <v>8650</v>
      </c>
      <c r="AQ460" t="s">
        <v>74</v>
      </c>
      <c r="AR460" t="s">
        <v>8651</v>
      </c>
      <c r="AS460" t="s">
        <v>8652</v>
      </c>
      <c r="AT460" t="s">
        <v>7680</v>
      </c>
      <c r="AU460">
        <v>2010</v>
      </c>
      <c r="AV460">
        <v>30</v>
      </c>
      <c r="AW460">
        <v>10</v>
      </c>
      <c r="AX460" t="s">
        <v>74</v>
      </c>
      <c r="AY460" t="s">
        <v>74</v>
      </c>
      <c r="AZ460" t="s">
        <v>74</v>
      </c>
      <c r="BA460" t="s">
        <v>74</v>
      </c>
      <c r="BB460">
        <v>1431</v>
      </c>
      <c r="BC460">
        <v>1439</v>
      </c>
      <c r="BD460" t="s">
        <v>74</v>
      </c>
      <c r="BE460" t="s">
        <v>8653</v>
      </c>
      <c r="BF460" t="str">
        <f>HYPERLINK("http://dx.doi.org/10.1002/joc.1998","http://dx.doi.org/10.1002/joc.1998")</f>
        <v>http://dx.doi.org/10.1002/joc.1998</v>
      </c>
      <c r="BG460" t="s">
        <v>74</v>
      </c>
      <c r="BH460" t="s">
        <v>74</v>
      </c>
      <c r="BI460">
        <v>9</v>
      </c>
      <c r="BJ460" t="s">
        <v>319</v>
      </c>
      <c r="BK460" t="s">
        <v>100</v>
      </c>
      <c r="BL460" t="s">
        <v>319</v>
      </c>
      <c r="BM460" t="s">
        <v>8654</v>
      </c>
      <c r="BN460" t="s">
        <v>74</v>
      </c>
      <c r="BO460" t="s">
        <v>74</v>
      </c>
      <c r="BP460" t="s">
        <v>74</v>
      </c>
      <c r="BQ460" t="s">
        <v>74</v>
      </c>
      <c r="BR460" t="s">
        <v>104</v>
      </c>
      <c r="BS460" t="s">
        <v>8655</v>
      </c>
      <c r="BT460" t="str">
        <f>HYPERLINK("https%3A%2F%2Fwww.webofscience.com%2Fwos%2Fwoscc%2Ffull-record%2FWOS:000280856900001","View Full Record in Web of Science")</f>
        <v>View Full Record in Web of Science</v>
      </c>
    </row>
    <row r="461" spans="1:72" x14ac:dyDescent="0.15">
      <c r="A461" t="s">
        <v>72</v>
      </c>
      <c r="B461" t="s">
        <v>8656</v>
      </c>
      <c r="C461" t="s">
        <v>74</v>
      </c>
      <c r="D461" t="s">
        <v>74</v>
      </c>
      <c r="E461" t="s">
        <v>74</v>
      </c>
      <c r="F461" t="s">
        <v>8657</v>
      </c>
      <c r="G461" t="s">
        <v>74</v>
      </c>
      <c r="H461" t="s">
        <v>74</v>
      </c>
      <c r="I461" t="s">
        <v>8658</v>
      </c>
      <c r="J461" t="s">
        <v>8659</v>
      </c>
      <c r="K461" t="s">
        <v>74</v>
      </c>
      <c r="L461" t="s">
        <v>74</v>
      </c>
      <c r="M461" t="s">
        <v>78</v>
      </c>
      <c r="N461" t="s">
        <v>79</v>
      </c>
      <c r="O461" t="s">
        <v>74</v>
      </c>
      <c r="P461" t="s">
        <v>74</v>
      </c>
      <c r="Q461" t="s">
        <v>74</v>
      </c>
      <c r="R461" t="s">
        <v>74</v>
      </c>
      <c r="S461" t="s">
        <v>74</v>
      </c>
      <c r="T461" t="s">
        <v>8660</v>
      </c>
      <c r="U461" t="s">
        <v>8661</v>
      </c>
      <c r="V461" t="s">
        <v>8662</v>
      </c>
      <c r="W461" t="s">
        <v>8663</v>
      </c>
      <c r="X461" t="s">
        <v>8664</v>
      </c>
      <c r="Y461" t="s">
        <v>8665</v>
      </c>
      <c r="Z461" t="s">
        <v>8666</v>
      </c>
      <c r="AA461" t="s">
        <v>8667</v>
      </c>
      <c r="AB461" t="s">
        <v>8668</v>
      </c>
      <c r="AC461" t="s">
        <v>8669</v>
      </c>
      <c r="AD461" t="s">
        <v>5955</v>
      </c>
      <c r="AE461" t="s">
        <v>8670</v>
      </c>
      <c r="AF461" t="s">
        <v>74</v>
      </c>
      <c r="AG461">
        <v>55</v>
      </c>
      <c r="AH461">
        <v>215</v>
      </c>
      <c r="AI461">
        <v>241</v>
      </c>
      <c r="AJ461">
        <v>9</v>
      </c>
      <c r="AK461">
        <v>118</v>
      </c>
      <c r="AL461" t="s">
        <v>1774</v>
      </c>
      <c r="AM461" t="s">
        <v>1598</v>
      </c>
      <c r="AN461" t="s">
        <v>1775</v>
      </c>
      <c r="AO461" t="s">
        <v>8671</v>
      </c>
      <c r="AP461" t="s">
        <v>8672</v>
      </c>
      <c r="AQ461" t="s">
        <v>74</v>
      </c>
      <c r="AR461" t="s">
        <v>8673</v>
      </c>
      <c r="AS461" t="s">
        <v>8674</v>
      </c>
      <c r="AT461" t="s">
        <v>7680</v>
      </c>
      <c r="AU461">
        <v>2010</v>
      </c>
      <c r="AV461">
        <v>4</v>
      </c>
      <c r="AW461">
        <v>8</v>
      </c>
      <c r="AX461" t="s">
        <v>74</v>
      </c>
      <c r="AY461" t="s">
        <v>74</v>
      </c>
      <c r="AZ461" t="s">
        <v>74</v>
      </c>
      <c r="BA461" t="s">
        <v>74</v>
      </c>
      <c r="BB461">
        <v>989</v>
      </c>
      <c r="BC461">
        <v>1001</v>
      </c>
      <c r="BD461" t="s">
        <v>74</v>
      </c>
      <c r="BE461" t="s">
        <v>8675</v>
      </c>
      <c r="BF461" t="str">
        <f>HYPERLINK("http://dx.doi.org/10.1038/ismej.2010.35","http://dx.doi.org/10.1038/ismej.2010.35")</f>
        <v>http://dx.doi.org/10.1038/ismej.2010.35</v>
      </c>
      <c r="BG461" t="s">
        <v>74</v>
      </c>
      <c r="BH461" t="s">
        <v>74</v>
      </c>
      <c r="BI461">
        <v>13</v>
      </c>
      <c r="BJ461" t="s">
        <v>8676</v>
      </c>
      <c r="BK461" t="s">
        <v>100</v>
      </c>
      <c r="BL461" t="s">
        <v>8677</v>
      </c>
      <c r="BM461" t="s">
        <v>8678</v>
      </c>
      <c r="BN461">
        <v>20357834</v>
      </c>
      <c r="BO461" t="s">
        <v>394</v>
      </c>
      <c r="BP461" t="s">
        <v>74</v>
      </c>
      <c r="BQ461" t="s">
        <v>74</v>
      </c>
      <c r="BR461" t="s">
        <v>104</v>
      </c>
      <c r="BS461" t="s">
        <v>8679</v>
      </c>
      <c r="BT461" t="str">
        <f>HYPERLINK("https%3A%2F%2Fwww.webofscience.com%2Fwos%2Fwoscc%2Ffull-record%2FWOS:000280592600004","View Full Record in Web of Science")</f>
        <v>View Full Record in Web of Science</v>
      </c>
    </row>
    <row r="462" spans="1:72" x14ac:dyDescent="0.15">
      <c r="A462" t="s">
        <v>72</v>
      </c>
      <c r="B462" t="s">
        <v>8680</v>
      </c>
      <c r="C462" t="s">
        <v>74</v>
      </c>
      <c r="D462" t="s">
        <v>74</v>
      </c>
      <c r="E462" t="s">
        <v>74</v>
      </c>
      <c r="F462" t="s">
        <v>8681</v>
      </c>
      <c r="G462" t="s">
        <v>74</v>
      </c>
      <c r="H462" t="s">
        <v>74</v>
      </c>
      <c r="I462" t="s">
        <v>8682</v>
      </c>
      <c r="J462" t="s">
        <v>8659</v>
      </c>
      <c r="K462" t="s">
        <v>74</v>
      </c>
      <c r="L462" t="s">
        <v>74</v>
      </c>
      <c r="M462" t="s">
        <v>78</v>
      </c>
      <c r="N462" t="s">
        <v>79</v>
      </c>
      <c r="O462" t="s">
        <v>74</v>
      </c>
      <c r="P462" t="s">
        <v>74</v>
      </c>
      <c r="Q462" t="s">
        <v>74</v>
      </c>
      <c r="R462" t="s">
        <v>74</v>
      </c>
      <c r="S462" t="s">
        <v>74</v>
      </c>
      <c r="T462" t="s">
        <v>8683</v>
      </c>
      <c r="U462" t="s">
        <v>8684</v>
      </c>
      <c r="V462" t="s">
        <v>8685</v>
      </c>
      <c r="W462" t="s">
        <v>8686</v>
      </c>
      <c r="X462" t="s">
        <v>8687</v>
      </c>
      <c r="Y462" t="s">
        <v>8688</v>
      </c>
      <c r="Z462" t="s">
        <v>3027</v>
      </c>
      <c r="AA462" t="s">
        <v>8689</v>
      </c>
      <c r="AB462" t="s">
        <v>8690</v>
      </c>
      <c r="AC462" t="s">
        <v>8691</v>
      </c>
      <c r="AD462" t="s">
        <v>8692</v>
      </c>
      <c r="AE462" t="s">
        <v>8693</v>
      </c>
      <c r="AF462" t="s">
        <v>74</v>
      </c>
      <c r="AG462">
        <v>82</v>
      </c>
      <c r="AH462">
        <v>80</v>
      </c>
      <c r="AI462">
        <v>89</v>
      </c>
      <c r="AJ462">
        <v>1</v>
      </c>
      <c r="AK462">
        <v>43</v>
      </c>
      <c r="AL462" t="s">
        <v>8694</v>
      </c>
      <c r="AM462" t="s">
        <v>1598</v>
      </c>
      <c r="AN462" t="s">
        <v>8695</v>
      </c>
      <c r="AO462" t="s">
        <v>8671</v>
      </c>
      <c r="AP462" t="s">
        <v>8672</v>
      </c>
      <c r="AQ462" t="s">
        <v>74</v>
      </c>
      <c r="AR462" t="s">
        <v>8673</v>
      </c>
      <c r="AS462" t="s">
        <v>8674</v>
      </c>
      <c r="AT462" t="s">
        <v>7680</v>
      </c>
      <c r="AU462">
        <v>2010</v>
      </c>
      <c r="AV462">
        <v>4</v>
      </c>
      <c r="AW462">
        <v>8</v>
      </c>
      <c r="AX462" t="s">
        <v>74</v>
      </c>
      <c r="AY462" t="s">
        <v>74</v>
      </c>
      <c r="AZ462" t="s">
        <v>74</v>
      </c>
      <c r="BA462" t="s">
        <v>74</v>
      </c>
      <c r="BB462">
        <v>1002</v>
      </c>
      <c r="BC462">
        <v>1019</v>
      </c>
      <c r="BD462" t="s">
        <v>74</v>
      </c>
      <c r="BE462" t="s">
        <v>8696</v>
      </c>
      <c r="BF462" t="str">
        <f>HYPERLINK("http://dx.doi.org/10.1038/ismej.2010.28","http://dx.doi.org/10.1038/ismej.2010.28")</f>
        <v>http://dx.doi.org/10.1038/ismej.2010.28</v>
      </c>
      <c r="BG462" t="s">
        <v>74</v>
      </c>
      <c r="BH462" t="s">
        <v>74</v>
      </c>
      <c r="BI462">
        <v>18</v>
      </c>
      <c r="BJ462" t="s">
        <v>8676</v>
      </c>
      <c r="BK462" t="s">
        <v>100</v>
      </c>
      <c r="BL462" t="s">
        <v>8677</v>
      </c>
      <c r="BM462" t="s">
        <v>8678</v>
      </c>
      <c r="BN462">
        <v>20237513</v>
      </c>
      <c r="BO462" t="s">
        <v>394</v>
      </c>
      <c r="BP462" t="s">
        <v>74</v>
      </c>
      <c r="BQ462" t="s">
        <v>74</v>
      </c>
      <c r="BR462" t="s">
        <v>104</v>
      </c>
      <c r="BS462" t="s">
        <v>8697</v>
      </c>
      <c r="BT462" t="str">
        <f>HYPERLINK("https%3A%2F%2Fwww.webofscience.com%2Fwos%2Fwoscc%2Ffull-record%2FWOS:000280592600005","View Full Record in Web of Science")</f>
        <v>View Full Record in Web of Science</v>
      </c>
    </row>
    <row r="463" spans="1:72" x14ac:dyDescent="0.15">
      <c r="A463" t="s">
        <v>72</v>
      </c>
      <c r="B463" t="s">
        <v>8698</v>
      </c>
      <c r="C463" t="s">
        <v>74</v>
      </c>
      <c r="D463" t="s">
        <v>74</v>
      </c>
      <c r="E463" t="s">
        <v>74</v>
      </c>
      <c r="F463" t="s">
        <v>8699</v>
      </c>
      <c r="G463" t="s">
        <v>74</v>
      </c>
      <c r="H463" t="s">
        <v>74</v>
      </c>
      <c r="I463" t="s">
        <v>8700</v>
      </c>
      <c r="J463" t="s">
        <v>6137</v>
      </c>
      <c r="K463" t="s">
        <v>74</v>
      </c>
      <c r="L463" t="s">
        <v>74</v>
      </c>
      <c r="M463" t="s">
        <v>78</v>
      </c>
      <c r="N463" t="s">
        <v>79</v>
      </c>
      <c r="O463" t="s">
        <v>74</v>
      </c>
      <c r="P463" t="s">
        <v>74</v>
      </c>
      <c r="Q463" t="s">
        <v>74</v>
      </c>
      <c r="R463" t="s">
        <v>74</v>
      </c>
      <c r="S463" t="s">
        <v>74</v>
      </c>
      <c r="T463" t="s">
        <v>8701</v>
      </c>
      <c r="U463" t="s">
        <v>8702</v>
      </c>
      <c r="V463" t="s">
        <v>8703</v>
      </c>
      <c r="W463" t="s">
        <v>6960</v>
      </c>
      <c r="X463" t="s">
        <v>4331</v>
      </c>
      <c r="Y463" t="s">
        <v>8704</v>
      </c>
      <c r="Z463" t="s">
        <v>8705</v>
      </c>
      <c r="AA463" t="s">
        <v>74</v>
      </c>
      <c r="AB463" t="s">
        <v>74</v>
      </c>
      <c r="AC463" t="s">
        <v>74</v>
      </c>
      <c r="AD463" t="s">
        <v>74</v>
      </c>
      <c r="AE463" t="s">
        <v>74</v>
      </c>
      <c r="AF463" t="s">
        <v>74</v>
      </c>
      <c r="AG463">
        <v>30</v>
      </c>
      <c r="AH463">
        <v>2</v>
      </c>
      <c r="AI463">
        <v>3</v>
      </c>
      <c r="AJ463">
        <v>0</v>
      </c>
      <c r="AK463">
        <v>1</v>
      </c>
      <c r="AL463" t="s">
        <v>264</v>
      </c>
      <c r="AM463" t="s">
        <v>265</v>
      </c>
      <c r="AN463" t="s">
        <v>266</v>
      </c>
      <c r="AO463" t="s">
        <v>6144</v>
      </c>
      <c r="AP463" t="s">
        <v>74</v>
      </c>
      <c r="AQ463" t="s">
        <v>74</v>
      </c>
      <c r="AR463" t="s">
        <v>6146</v>
      </c>
      <c r="AS463" t="s">
        <v>6147</v>
      </c>
      <c r="AT463" t="s">
        <v>7680</v>
      </c>
      <c r="AU463">
        <v>2010</v>
      </c>
      <c r="AV463">
        <v>72</v>
      </c>
      <c r="AW463">
        <v>13</v>
      </c>
      <c r="AX463" t="s">
        <v>74</v>
      </c>
      <c r="AY463" t="s">
        <v>74</v>
      </c>
      <c r="AZ463" t="s">
        <v>74</v>
      </c>
      <c r="BA463" t="s">
        <v>74</v>
      </c>
      <c r="BB463">
        <v>943</v>
      </c>
      <c r="BC463">
        <v>950</v>
      </c>
      <c r="BD463" t="s">
        <v>74</v>
      </c>
      <c r="BE463" t="s">
        <v>8706</v>
      </c>
      <c r="BF463" t="str">
        <f>HYPERLINK("http://dx.doi.org/10.1016/j.jastp.2010.05.002","http://dx.doi.org/10.1016/j.jastp.2010.05.002")</f>
        <v>http://dx.doi.org/10.1016/j.jastp.2010.05.002</v>
      </c>
      <c r="BG463" t="s">
        <v>74</v>
      </c>
      <c r="BH463" t="s">
        <v>74</v>
      </c>
      <c r="BI463">
        <v>8</v>
      </c>
      <c r="BJ463" t="s">
        <v>2631</v>
      </c>
      <c r="BK463" t="s">
        <v>100</v>
      </c>
      <c r="BL463" t="s">
        <v>2631</v>
      </c>
      <c r="BM463" t="s">
        <v>8707</v>
      </c>
      <c r="BN463" t="s">
        <v>74</v>
      </c>
      <c r="BO463" t="s">
        <v>74</v>
      </c>
      <c r="BP463" t="s">
        <v>74</v>
      </c>
      <c r="BQ463" t="s">
        <v>74</v>
      </c>
      <c r="BR463" t="s">
        <v>104</v>
      </c>
      <c r="BS463" t="s">
        <v>8708</v>
      </c>
      <c r="BT463" t="str">
        <f>HYPERLINK("https%3A%2F%2Fwww.webofscience.com%2Fwos%2Fwoscc%2Ffull-record%2FWOS:000280973500004","View Full Record in Web of Science")</f>
        <v>View Full Record in Web of Science</v>
      </c>
    </row>
    <row r="464" spans="1:72" x14ac:dyDescent="0.15">
      <c r="A464" t="s">
        <v>72</v>
      </c>
      <c r="B464" t="s">
        <v>8709</v>
      </c>
      <c r="C464" t="s">
        <v>74</v>
      </c>
      <c r="D464" t="s">
        <v>74</v>
      </c>
      <c r="E464" t="s">
        <v>74</v>
      </c>
      <c r="F464" t="s">
        <v>8710</v>
      </c>
      <c r="G464" t="s">
        <v>74</v>
      </c>
      <c r="H464" t="s">
        <v>74</v>
      </c>
      <c r="I464" t="s">
        <v>8711</v>
      </c>
      <c r="J464" t="s">
        <v>6137</v>
      </c>
      <c r="K464" t="s">
        <v>74</v>
      </c>
      <c r="L464" t="s">
        <v>74</v>
      </c>
      <c r="M464" t="s">
        <v>78</v>
      </c>
      <c r="N464" t="s">
        <v>79</v>
      </c>
      <c r="O464" t="s">
        <v>74</v>
      </c>
      <c r="P464" t="s">
        <v>74</v>
      </c>
      <c r="Q464" t="s">
        <v>74</v>
      </c>
      <c r="R464" t="s">
        <v>74</v>
      </c>
      <c r="S464" t="s">
        <v>74</v>
      </c>
      <c r="T464" t="s">
        <v>8712</v>
      </c>
      <c r="U464" t="s">
        <v>8713</v>
      </c>
      <c r="V464" t="s">
        <v>8714</v>
      </c>
      <c r="W464" t="s">
        <v>8715</v>
      </c>
      <c r="X464" t="s">
        <v>8716</v>
      </c>
      <c r="Y464" t="s">
        <v>8717</v>
      </c>
      <c r="Z464" t="s">
        <v>8718</v>
      </c>
      <c r="AA464" t="s">
        <v>8719</v>
      </c>
      <c r="AB464" t="s">
        <v>8720</v>
      </c>
      <c r="AC464" t="s">
        <v>8721</v>
      </c>
      <c r="AD464" t="s">
        <v>8722</v>
      </c>
      <c r="AE464" t="s">
        <v>8723</v>
      </c>
      <c r="AF464" t="s">
        <v>74</v>
      </c>
      <c r="AG464">
        <v>17</v>
      </c>
      <c r="AH464">
        <v>14</v>
      </c>
      <c r="AI464">
        <v>21</v>
      </c>
      <c r="AJ464">
        <v>0</v>
      </c>
      <c r="AK464">
        <v>11</v>
      </c>
      <c r="AL464" t="s">
        <v>264</v>
      </c>
      <c r="AM464" t="s">
        <v>265</v>
      </c>
      <c r="AN464" t="s">
        <v>266</v>
      </c>
      <c r="AO464" t="s">
        <v>6144</v>
      </c>
      <c r="AP464" t="s">
        <v>6145</v>
      </c>
      <c r="AQ464" t="s">
        <v>74</v>
      </c>
      <c r="AR464" t="s">
        <v>6146</v>
      </c>
      <c r="AS464" t="s">
        <v>6147</v>
      </c>
      <c r="AT464" t="s">
        <v>7680</v>
      </c>
      <c r="AU464">
        <v>2010</v>
      </c>
      <c r="AV464">
        <v>72</v>
      </c>
      <c r="AW464">
        <v>13</v>
      </c>
      <c r="AX464" t="s">
        <v>74</v>
      </c>
      <c r="AY464" t="s">
        <v>74</v>
      </c>
      <c r="AZ464" t="s">
        <v>74</v>
      </c>
      <c r="BA464" t="s">
        <v>74</v>
      </c>
      <c r="BB464">
        <v>997</v>
      </c>
      <c r="BC464">
        <v>1007</v>
      </c>
      <c r="BD464" t="s">
        <v>74</v>
      </c>
      <c r="BE464" t="s">
        <v>8724</v>
      </c>
      <c r="BF464" t="str">
        <f>HYPERLINK("http://dx.doi.org/10.1016/j.jastp.2010.05.014","http://dx.doi.org/10.1016/j.jastp.2010.05.014")</f>
        <v>http://dx.doi.org/10.1016/j.jastp.2010.05.014</v>
      </c>
      <c r="BG464" t="s">
        <v>74</v>
      </c>
      <c r="BH464" t="s">
        <v>74</v>
      </c>
      <c r="BI464">
        <v>11</v>
      </c>
      <c r="BJ464" t="s">
        <v>2631</v>
      </c>
      <c r="BK464" t="s">
        <v>100</v>
      </c>
      <c r="BL464" t="s">
        <v>2631</v>
      </c>
      <c r="BM464" t="s">
        <v>8707</v>
      </c>
      <c r="BN464" t="s">
        <v>74</v>
      </c>
      <c r="BO464" t="s">
        <v>74</v>
      </c>
      <c r="BP464" t="s">
        <v>74</v>
      </c>
      <c r="BQ464" t="s">
        <v>74</v>
      </c>
      <c r="BR464" t="s">
        <v>104</v>
      </c>
      <c r="BS464" t="s">
        <v>8725</v>
      </c>
      <c r="BT464" t="str">
        <f>HYPERLINK("https%3A%2F%2Fwww.webofscience.com%2Fwos%2Fwoscc%2Ffull-record%2FWOS:000280973500010","View Full Record in Web of Science")</f>
        <v>View Full Record in Web of Science</v>
      </c>
    </row>
    <row r="465" spans="1:72" x14ac:dyDescent="0.15">
      <c r="A465" t="s">
        <v>72</v>
      </c>
      <c r="B465" t="s">
        <v>8726</v>
      </c>
      <c r="C465" t="s">
        <v>74</v>
      </c>
      <c r="D465" t="s">
        <v>74</v>
      </c>
      <c r="E465" t="s">
        <v>74</v>
      </c>
      <c r="F465" t="s">
        <v>8727</v>
      </c>
      <c r="G465" t="s">
        <v>74</v>
      </c>
      <c r="H465" t="s">
        <v>74</v>
      </c>
      <c r="I465" t="s">
        <v>8728</v>
      </c>
      <c r="J465" t="s">
        <v>3420</v>
      </c>
      <c r="K465" t="s">
        <v>74</v>
      </c>
      <c r="L465" t="s">
        <v>74</v>
      </c>
      <c r="M465" t="s">
        <v>78</v>
      </c>
      <c r="N465" t="s">
        <v>239</v>
      </c>
      <c r="O465" t="s">
        <v>74</v>
      </c>
      <c r="P465" t="s">
        <v>74</v>
      </c>
      <c r="Q465" t="s">
        <v>74</v>
      </c>
      <c r="R465" t="s">
        <v>74</v>
      </c>
      <c r="S465" t="s">
        <v>74</v>
      </c>
      <c r="T465" t="s">
        <v>74</v>
      </c>
      <c r="U465" t="s">
        <v>8729</v>
      </c>
      <c r="V465" t="s">
        <v>8730</v>
      </c>
      <c r="W465" t="s">
        <v>8731</v>
      </c>
      <c r="X465" t="s">
        <v>8732</v>
      </c>
      <c r="Y465" t="s">
        <v>8733</v>
      </c>
      <c r="Z465" t="s">
        <v>8734</v>
      </c>
      <c r="AA465" t="s">
        <v>8735</v>
      </c>
      <c r="AB465" t="s">
        <v>74</v>
      </c>
      <c r="AC465" t="s">
        <v>8736</v>
      </c>
      <c r="AD465" t="s">
        <v>8737</v>
      </c>
      <c r="AE465" t="s">
        <v>8738</v>
      </c>
      <c r="AF465" t="s">
        <v>74</v>
      </c>
      <c r="AG465">
        <v>53</v>
      </c>
      <c r="AH465">
        <v>1</v>
      </c>
      <c r="AI465">
        <v>1</v>
      </c>
      <c r="AJ465">
        <v>0</v>
      </c>
      <c r="AK465">
        <v>15</v>
      </c>
      <c r="AL465" t="s">
        <v>3432</v>
      </c>
      <c r="AM465" t="s">
        <v>3433</v>
      </c>
      <c r="AN465" t="s">
        <v>3434</v>
      </c>
      <c r="AO465" t="s">
        <v>3435</v>
      </c>
      <c r="AP465" t="s">
        <v>3436</v>
      </c>
      <c r="AQ465" t="s">
        <v>74</v>
      </c>
      <c r="AR465" t="s">
        <v>3437</v>
      </c>
      <c r="AS465" t="s">
        <v>3438</v>
      </c>
      <c r="AT465" t="s">
        <v>8093</v>
      </c>
      <c r="AU465">
        <v>2010</v>
      </c>
      <c r="AV465">
        <v>23</v>
      </c>
      <c r="AW465">
        <v>15</v>
      </c>
      <c r="AX465" t="s">
        <v>74</v>
      </c>
      <c r="AY465" t="s">
        <v>74</v>
      </c>
      <c r="AZ465" t="s">
        <v>74</v>
      </c>
      <c r="BA465" t="s">
        <v>74</v>
      </c>
      <c r="BB465">
        <v>4263</v>
      </c>
      <c r="BC465">
        <v>4280</v>
      </c>
      <c r="BD465" t="s">
        <v>74</v>
      </c>
      <c r="BE465" t="s">
        <v>8739</v>
      </c>
      <c r="BF465" t="str">
        <f>HYPERLINK("http://dx.doi.org/10.1175/2010JCLI3777.1","http://dx.doi.org/10.1175/2010JCLI3777.1")</f>
        <v>http://dx.doi.org/10.1175/2010JCLI3777.1</v>
      </c>
      <c r="BG465" t="s">
        <v>74</v>
      </c>
      <c r="BH465" t="s">
        <v>74</v>
      </c>
      <c r="BI465">
        <v>18</v>
      </c>
      <c r="BJ465" t="s">
        <v>319</v>
      </c>
      <c r="BK465" t="s">
        <v>100</v>
      </c>
      <c r="BL465" t="s">
        <v>319</v>
      </c>
      <c r="BM465" t="s">
        <v>8740</v>
      </c>
      <c r="BN465" t="s">
        <v>74</v>
      </c>
      <c r="BO465" t="s">
        <v>1000</v>
      </c>
      <c r="BP465" t="s">
        <v>74</v>
      </c>
      <c r="BQ465" t="s">
        <v>74</v>
      </c>
      <c r="BR465" t="s">
        <v>104</v>
      </c>
      <c r="BS465" t="s">
        <v>8741</v>
      </c>
      <c r="BT465" t="str">
        <f>HYPERLINK("https%3A%2F%2Fwww.webofscience.com%2Fwos%2Fwoscc%2Ffull-record%2FWOS:000281498000017","View Full Record in Web of Science")</f>
        <v>View Full Record in Web of Science</v>
      </c>
    </row>
    <row r="466" spans="1:72" x14ac:dyDescent="0.15">
      <c r="A466" t="s">
        <v>72</v>
      </c>
      <c r="B466" t="s">
        <v>8742</v>
      </c>
      <c r="C466" t="s">
        <v>74</v>
      </c>
      <c r="D466" t="s">
        <v>74</v>
      </c>
      <c r="E466" t="s">
        <v>74</v>
      </c>
      <c r="F466" t="s">
        <v>8743</v>
      </c>
      <c r="G466" t="s">
        <v>74</v>
      </c>
      <c r="H466" t="s">
        <v>74</v>
      </c>
      <c r="I466" t="s">
        <v>8744</v>
      </c>
      <c r="J466" t="s">
        <v>8745</v>
      </c>
      <c r="K466" t="s">
        <v>74</v>
      </c>
      <c r="L466" t="s">
        <v>74</v>
      </c>
      <c r="M466" t="s">
        <v>78</v>
      </c>
      <c r="N466" t="s">
        <v>79</v>
      </c>
      <c r="O466" t="s">
        <v>74</v>
      </c>
      <c r="P466" t="s">
        <v>74</v>
      </c>
      <c r="Q466" t="s">
        <v>74</v>
      </c>
      <c r="R466" t="s">
        <v>74</v>
      </c>
      <c r="S466" t="s">
        <v>74</v>
      </c>
      <c r="T466" t="s">
        <v>8746</v>
      </c>
      <c r="U466" t="s">
        <v>8747</v>
      </c>
      <c r="V466" t="s">
        <v>8748</v>
      </c>
      <c r="W466" t="s">
        <v>8749</v>
      </c>
      <c r="X466" t="s">
        <v>8002</v>
      </c>
      <c r="Y466" t="s">
        <v>8750</v>
      </c>
      <c r="Z466" t="s">
        <v>8751</v>
      </c>
      <c r="AA466" t="s">
        <v>8752</v>
      </c>
      <c r="AB466" t="s">
        <v>8753</v>
      </c>
      <c r="AC466" t="s">
        <v>8754</v>
      </c>
      <c r="AD466" t="s">
        <v>8755</v>
      </c>
      <c r="AE466" t="s">
        <v>8756</v>
      </c>
      <c r="AF466" t="s">
        <v>74</v>
      </c>
      <c r="AG466">
        <v>42</v>
      </c>
      <c r="AH466">
        <v>8</v>
      </c>
      <c r="AI466">
        <v>12</v>
      </c>
      <c r="AJ466">
        <v>0</v>
      </c>
      <c r="AK466">
        <v>46</v>
      </c>
      <c r="AL466" t="s">
        <v>464</v>
      </c>
      <c r="AM466" t="s">
        <v>310</v>
      </c>
      <c r="AN466" t="s">
        <v>465</v>
      </c>
      <c r="AO466" t="s">
        <v>8757</v>
      </c>
      <c r="AP466" t="s">
        <v>8758</v>
      </c>
      <c r="AQ466" t="s">
        <v>74</v>
      </c>
      <c r="AR466" t="s">
        <v>8759</v>
      </c>
      <c r="AS466" t="s">
        <v>8760</v>
      </c>
      <c r="AT466" t="s">
        <v>7680</v>
      </c>
      <c r="AU466">
        <v>2010</v>
      </c>
      <c r="AV466">
        <v>71</v>
      </c>
      <c r="AW466">
        <v>2</v>
      </c>
      <c r="AX466" t="s">
        <v>74</v>
      </c>
      <c r="AY466" t="s">
        <v>74</v>
      </c>
      <c r="AZ466" t="s">
        <v>74</v>
      </c>
      <c r="BA466" t="s">
        <v>74</v>
      </c>
      <c r="BB466">
        <v>111</v>
      </c>
      <c r="BC466">
        <v>118</v>
      </c>
      <c r="BD466" t="s">
        <v>74</v>
      </c>
      <c r="BE466" t="s">
        <v>8761</v>
      </c>
      <c r="BF466" t="str">
        <f>HYPERLINK("http://dx.doi.org/10.1007/s00239-010-9367-6","http://dx.doi.org/10.1007/s00239-010-9367-6")</f>
        <v>http://dx.doi.org/10.1007/s00239-010-9367-6</v>
      </c>
      <c r="BG466" t="s">
        <v>74</v>
      </c>
      <c r="BH466" t="s">
        <v>74</v>
      </c>
      <c r="BI466">
        <v>8</v>
      </c>
      <c r="BJ466" t="s">
        <v>1144</v>
      </c>
      <c r="BK466" t="s">
        <v>100</v>
      </c>
      <c r="BL466" t="s">
        <v>1144</v>
      </c>
      <c r="BM466" t="s">
        <v>8762</v>
      </c>
      <c r="BN466">
        <v>20686757</v>
      </c>
      <c r="BO466" t="s">
        <v>74</v>
      </c>
      <c r="BP466" t="s">
        <v>74</v>
      </c>
      <c r="BQ466" t="s">
        <v>74</v>
      </c>
      <c r="BR466" t="s">
        <v>104</v>
      </c>
      <c r="BS466" t="s">
        <v>8763</v>
      </c>
      <c r="BT466" t="str">
        <f>HYPERLINK("https%3A%2F%2Fwww.webofscience.com%2Fwos%2Fwoscc%2Ffull-record%2FWOS:000281397100003","View Full Record in Web of Science")</f>
        <v>View Full Record in Web of Science</v>
      </c>
    </row>
    <row r="467" spans="1:72" x14ac:dyDescent="0.15">
      <c r="A467" t="s">
        <v>72</v>
      </c>
      <c r="B467" t="s">
        <v>8764</v>
      </c>
      <c r="C467" t="s">
        <v>74</v>
      </c>
      <c r="D467" t="s">
        <v>74</v>
      </c>
      <c r="E467" t="s">
        <v>74</v>
      </c>
      <c r="F467" t="s">
        <v>8765</v>
      </c>
      <c r="G467" t="s">
        <v>74</v>
      </c>
      <c r="H467" t="s">
        <v>74</v>
      </c>
      <c r="I467" t="s">
        <v>8766</v>
      </c>
      <c r="J467" t="s">
        <v>8767</v>
      </c>
      <c r="K467" t="s">
        <v>74</v>
      </c>
      <c r="L467" t="s">
        <v>74</v>
      </c>
      <c r="M467" t="s">
        <v>78</v>
      </c>
      <c r="N467" t="s">
        <v>79</v>
      </c>
      <c r="O467" t="s">
        <v>74</v>
      </c>
      <c r="P467" t="s">
        <v>74</v>
      </c>
      <c r="Q467" t="s">
        <v>74</v>
      </c>
      <c r="R467" t="s">
        <v>74</v>
      </c>
      <c r="S467" t="s">
        <v>74</v>
      </c>
      <c r="T467" t="s">
        <v>8768</v>
      </c>
      <c r="U467" t="s">
        <v>8769</v>
      </c>
      <c r="V467" t="s">
        <v>8770</v>
      </c>
      <c r="W467" t="s">
        <v>8771</v>
      </c>
      <c r="X467" t="s">
        <v>8772</v>
      </c>
      <c r="Y467" t="s">
        <v>8773</v>
      </c>
      <c r="Z467" t="s">
        <v>8774</v>
      </c>
      <c r="AA467" t="s">
        <v>8775</v>
      </c>
      <c r="AB467" t="s">
        <v>8776</v>
      </c>
      <c r="AC467" t="s">
        <v>74</v>
      </c>
      <c r="AD467" t="s">
        <v>74</v>
      </c>
      <c r="AE467" t="s">
        <v>74</v>
      </c>
      <c r="AF467" t="s">
        <v>74</v>
      </c>
      <c r="AG467">
        <v>68</v>
      </c>
      <c r="AH467">
        <v>13</v>
      </c>
      <c r="AI467">
        <v>15</v>
      </c>
      <c r="AJ467">
        <v>2</v>
      </c>
      <c r="AK467">
        <v>25</v>
      </c>
      <c r="AL467" t="s">
        <v>464</v>
      </c>
      <c r="AM467" t="s">
        <v>576</v>
      </c>
      <c r="AN467" t="s">
        <v>577</v>
      </c>
      <c r="AO467" t="s">
        <v>8777</v>
      </c>
      <c r="AP467" t="s">
        <v>8778</v>
      </c>
      <c r="AQ467" t="s">
        <v>74</v>
      </c>
      <c r="AR467" t="s">
        <v>8779</v>
      </c>
      <c r="AS467" t="s">
        <v>8780</v>
      </c>
      <c r="AT467" t="s">
        <v>7680</v>
      </c>
      <c r="AU467">
        <v>2010</v>
      </c>
      <c r="AV467">
        <v>44</v>
      </c>
      <c r="AW467">
        <v>2</v>
      </c>
      <c r="AX467" t="s">
        <v>74</v>
      </c>
      <c r="AY467" t="s">
        <v>74</v>
      </c>
      <c r="AZ467" t="s">
        <v>74</v>
      </c>
      <c r="BA467" t="s">
        <v>74</v>
      </c>
      <c r="BB467">
        <v>677</v>
      </c>
      <c r="BC467">
        <v>693</v>
      </c>
      <c r="BD467" t="s">
        <v>74</v>
      </c>
      <c r="BE467" t="s">
        <v>8781</v>
      </c>
      <c r="BF467" t="str">
        <f>HYPERLINK("http://dx.doi.org/10.1007/s10933-010-9448-y","http://dx.doi.org/10.1007/s10933-010-9448-y")</f>
        <v>http://dx.doi.org/10.1007/s10933-010-9448-y</v>
      </c>
      <c r="BG467" t="s">
        <v>74</v>
      </c>
      <c r="BH467" t="s">
        <v>74</v>
      </c>
      <c r="BI467">
        <v>17</v>
      </c>
      <c r="BJ467" t="s">
        <v>8782</v>
      </c>
      <c r="BK467" t="s">
        <v>100</v>
      </c>
      <c r="BL467" t="s">
        <v>8783</v>
      </c>
      <c r="BM467" t="s">
        <v>8784</v>
      </c>
      <c r="BN467" t="s">
        <v>74</v>
      </c>
      <c r="BO467" t="s">
        <v>74</v>
      </c>
      <c r="BP467" t="s">
        <v>74</v>
      </c>
      <c r="BQ467" t="s">
        <v>74</v>
      </c>
      <c r="BR467" t="s">
        <v>104</v>
      </c>
      <c r="BS467" t="s">
        <v>8785</v>
      </c>
      <c r="BT467" t="str">
        <f>HYPERLINK("https%3A%2F%2Fwww.webofscience.com%2Fwos%2Fwoscc%2Ffull-record%2FWOS:000280070500024","View Full Record in Web of Science")</f>
        <v>View Full Record in Web of Science</v>
      </c>
    </row>
    <row r="468" spans="1:72" x14ac:dyDescent="0.15">
      <c r="A468" t="s">
        <v>72</v>
      </c>
      <c r="B468" t="s">
        <v>8786</v>
      </c>
      <c r="C468" t="s">
        <v>74</v>
      </c>
      <c r="D468" t="s">
        <v>74</v>
      </c>
      <c r="E468" t="s">
        <v>74</v>
      </c>
      <c r="F468" t="s">
        <v>8787</v>
      </c>
      <c r="G468" t="s">
        <v>74</v>
      </c>
      <c r="H468" t="s">
        <v>74</v>
      </c>
      <c r="I468" t="s">
        <v>8788</v>
      </c>
      <c r="J468" t="s">
        <v>3631</v>
      </c>
      <c r="K468" t="s">
        <v>74</v>
      </c>
      <c r="L468" t="s">
        <v>74</v>
      </c>
      <c r="M468" t="s">
        <v>78</v>
      </c>
      <c r="N468" t="s">
        <v>79</v>
      </c>
      <c r="O468" t="s">
        <v>74</v>
      </c>
      <c r="P468" t="s">
        <v>74</v>
      </c>
      <c r="Q468" t="s">
        <v>74</v>
      </c>
      <c r="R468" t="s">
        <v>74</v>
      </c>
      <c r="S468" t="s">
        <v>74</v>
      </c>
      <c r="T468" t="s">
        <v>74</v>
      </c>
      <c r="U468" t="s">
        <v>8789</v>
      </c>
      <c r="V468" t="s">
        <v>8790</v>
      </c>
      <c r="W468" t="s">
        <v>8791</v>
      </c>
      <c r="X468" t="s">
        <v>8792</v>
      </c>
      <c r="Y468" t="s">
        <v>8793</v>
      </c>
      <c r="Z468" t="s">
        <v>8794</v>
      </c>
      <c r="AA468" t="s">
        <v>8795</v>
      </c>
      <c r="AB468" t="s">
        <v>8796</v>
      </c>
      <c r="AC468" t="s">
        <v>8797</v>
      </c>
      <c r="AD468" t="s">
        <v>8798</v>
      </c>
      <c r="AE468" t="s">
        <v>8799</v>
      </c>
      <c r="AF468" t="s">
        <v>74</v>
      </c>
      <c r="AG468">
        <v>50</v>
      </c>
      <c r="AH468">
        <v>78</v>
      </c>
      <c r="AI468">
        <v>80</v>
      </c>
      <c r="AJ468">
        <v>0</v>
      </c>
      <c r="AK468">
        <v>8</v>
      </c>
      <c r="AL468" t="s">
        <v>3432</v>
      </c>
      <c r="AM468" t="s">
        <v>3433</v>
      </c>
      <c r="AN468" t="s">
        <v>3434</v>
      </c>
      <c r="AO468" t="s">
        <v>3640</v>
      </c>
      <c r="AP468" t="s">
        <v>6350</v>
      </c>
      <c r="AQ468" t="s">
        <v>74</v>
      </c>
      <c r="AR468" t="s">
        <v>3641</v>
      </c>
      <c r="AS468" t="s">
        <v>3642</v>
      </c>
      <c r="AT468" t="s">
        <v>7680</v>
      </c>
      <c r="AU468">
        <v>2010</v>
      </c>
      <c r="AV468">
        <v>40</v>
      </c>
      <c r="AW468">
        <v>8</v>
      </c>
      <c r="AX468" t="s">
        <v>74</v>
      </c>
      <c r="AY468" t="s">
        <v>74</v>
      </c>
      <c r="AZ468" t="s">
        <v>74</v>
      </c>
      <c r="BA468" t="s">
        <v>74</v>
      </c>
      <c r="BB468">
        <v>1690</v>
      </c>
      <c r="BC468">
        <v>1709</v>
      </c>
      <c r="BD468" t="s">
        <v>74</v>
      </c>
      <c r="BE468" t="s">
        <v>8800</v>
      </c>
      <c r="BF468" t="str">
        <f>HYPERLINK("http://dx.doi.org/10.1175/2010JPO4303.1","http://dx.doi.org/10.1175/2010JPO4303.1")</f>
        <v>http://dx.doi.org/10.1175/2010JPO4303.1</v>
      </c>
      <c r="BG468" t="s">
        <v>74</v>
      </c>
      <c r="BH468" t="s">
        <v>74</v>
      </c>
      <c r="BI468">
        <v>20</v>
      </c>
      <c r="BJ468" t="s">
        <v>1531</v>
      </c>
      <c r="BK468" t="s">
        <v>100</v>
      </c>
      <c r="BL468" t="s">
        <v>1531</v>
      </c>
      <c r="BM468" t="s">
        <v>8801</v>
      </c>
      <c r="BN468" t="s">
        <v>74</v>
      </c>
      <c r="BO468" t="s">
        <v>8802</v>
      </c>
      <c r="BP468" t="s">
        <v>74</v>
      </c>
      <c r="BQ468" t="s">
        <v>74</v>
      </c>
      <c r="BR468" t="s">
        <v>104</v>
      </c>
      <c r="BS468" t="s">
        <v>8803</v>
      </c>
      <c r="BT468" t="str">
        <f>HYPERLINK("https%3A%2F%2Fwww.webofscience.com%2Fwos%2Fwoscc%2Ffull-record%2FWOS:000281520800002","View Full Record in Web of Science")</f>
        <v>View Full Record in Web of Science</v>
      </c>
    </row>
    <row r="469" spans="1:72" x14ac:dyDescent="0.15">
      <c r="A469" t="s">
        <v>72</v>
      </c>
      <c r="B469" t="s">
        <v>8786</v>
      </c>
      <c r="C469" t="s">
        <v>74</v>
      </c>
      <c r="D469" t="s">
        <v>74</v>
      </c>
      <c r="E469" t="s">
        <v>74</v>
      </c>
      <c r="F469" t="s">
        <v>8787</v>
      </c>
      <c r="G469" t="s">
        <v>74</v>
      </c>
      <c r="H469" t="s">
        <v>74</v>
      </c>
      <c r="I469" t="s">
        <v>8804</v>
      </c>
      <c r="J469" t="s">
        <v>3631</v>
      </c>
      <c r="K469" t="s">
        <v>74</v>
      </c>
      <c r="L469" t="s">
        <v>74</v>
      </c>
      <c r="M469" t="s">
        <v>78</v>
      </c>
      <c r="N469" t="s">
        <v>79</v>
      </c>
      <c r="O469" t="s">
        <v>74</v>
      </c>
      <c r="P469" t="s">
        <v>74</v>
      </c>
      <c r="Q469" t="s">
        <v>74</v>
      </c>
      <c r="R469" t="s">
        <v>74</v>
      </c>
      <c r="S469" t="s">
        <v>74</v>
      </c>
      <c r="T469" t="s">
        <v>74</v>
      </c>
      <c r="U469" t="s">
        <v>8805</v>
      </c>
      <c r="V469" t="s">
        <v>8806</v>
      </c>
      <c r="W469" t="s">
        <v>8807</v>
      </c>
      <c r="X469" t="s">
        <v>8808</v>
      </c>
      <c r="Y469" t="s">
        <v>8793</v>
      </c>
      <c r="Z469" t="s">
        <v>8794</v>
      </c>
      <c r="AA469" t="s">
        <v>8795</v>
      </c>
      <c r="AB469" t="s">
        <v>8796</v>
      </c>
      <c r="AC469" t="s">
        <v>8809</v>
      </c>
      <c r="AD469" t="s">
        <v>8810</v>
      </c>
      <c r="AE469" t="s">
        <v>8811</v>
      </c>
      <c r="AF469" t="s">
        <v>74</v>
      </c>
      <c r="AG469">
        <v>17</v>
      </c>
      <c r="AH469">
        <v>13</v>
      </c>
      <c r="AI469">
        <v>13</v>
      </c>
      <c r="AJ469">
        <v>0</v>
      </c>
      <c r="AK469">
        <v>4</v>
      </c>
      <c r="AL469" t="s">
        <v>3432</v>
      </c>
      <c r="AM469" t="s">
        <v>3433</v>
      </c>
      <c r="AN469" t="s">
        <v>3434</v>
      </c>
      <c r="AO469" t="s">
        <v>3640</v>
      </c>
      <c r="AP469" t="s">
        <v>6350</v>
      </c>
      <c r="AQ469" t="s">
        <v>74</v>
      </c>
      <c r="AR469" t="s">
        <v>3641</v>
      </c>
      <c r="AS469" t="s">
        <v>3642</v>
      </c>
      <c r="AT469" t="s">
        <v>7680</v>
      </c>
      <c r="AU469">
        <v>2010</v>
      </c>
      <c r="AV469">
        <v>40</v>
      </c>
      <c r="AW469">
        <v>8</v>
      </c>
      <c r="AX469" t="s">
        <v>74</v>
      </c>
      <c r="AY469" t="s">
        <v>74</v>
      </c>
      <c r="AZ469" t="s">
        <v>74</v>
      </c>
      <c r="BA469" t="s">
        <v>74</v>
      </c>
      <c r="BB469">
        <v>1866</v>
      </c>
      <c r="BC469">
        <v>1880</v>
      </c>
      <c r="BD469" t="s">
        <v>74</v>
      </c>
      <c r="BE469" t="s">
        <v>8812</v>
      </c>
      <c r="BF469" t="str">
        <f>HYPERLINK("http://dx.doi.org/10.1175/2009JPO4212.1","http://dx.doi.org/10.1175/2009JPO4212.1")</f>
        <v>http://dx.doi.org/10.1175/2009JPO4212.1</v>
      </c>
      <c r="BG469" t="s">
        <v>74</v>
      </c>
      <c r="BH469" t="s">
        <v>74</v>
      </c>
      <c r="BI469">
        <v>15</v>
      </c>
      <c r="BJ469" t="s">
        <v>1531</v>
      </c>
      <c r="BK469" t="s">
        <v>100</v>
      </c>
      <c r="BL469" t="s">
        <v>1531</v>
      </c>
      <c r="BM469" t="s">
        <v>8801</v>
      </c>
      <c r="BN469" t="s">
        <v>74</v>
      </c>
      <c r="BO469" t="s">
        <v>8813</v>
      </c>
      <c r="BP469" t="s">
        <v>74</v>
      </c>
      <c r="BQ469" t="s">
        <v>74</v>
      </c>
      <c r="BR469" t="s">
        <v>104</v>
      </c>
      <c r="BS469" t="s">
        <v>8814</v>
      </c>
      <c r="BT469" t="str">
        <f>HYPERLINK("https%3A%2F%2Fwww.webofscience.com%2Fwos%2Fwoscc%2Ffull-record%2FWOS:000281520800012","View Full Record in Web of Science")</f>
        <v>View Full Record in Web of Science</v>
      </c>
    </row>
    <row r="470" spans="1:72" x14ac:dyDescent="0.15">
      <c r="A470" t="s">
        <v>72</v>
      </c>
      <c r="B470" t="s">
        <v>8815</v>
      </c>
      <c r="C470" t="s">
        <v>74</v>
      </c>
      <c r="D470" t="s">
        <v>74</v>
      </c>
      <c r="E470" t="s">
        <v>74</v>
      </c>
      <c r="F470" t="s">
        <v>8816</v>
      </c>
      <c r="G470" t="s">
        <v>74</v>
      </c>
      <c r="H470" t="s">
        <v>74</v>
      </c>
      <c r="I470" t="s">
        <v>8817</v>
      </c>
      <c r="J470" t="s">
        <v>3631</v>
      </c>
      <c r="K470" t="s">
        <v>74</v>
      </c>
      <c r="L470" t="s">
        <v>74</v>
      </c>
      <c r="M470" t="s">
        <v>78</v>
      </c>
      <c r="N470" t="s">
        <v>79</v>
      </c>
      <c r="O470" t="s">
        <v>74</v>
      </c>
      <c r="P470" t="s">
        <v>74</v>
      </c>
      <c r="Q470" t="s">
        <v>74</v>
      </c>
      <c r="R470" t="s">
        <v>74</v>
      </c>
      <c r="S470" t="s">
        <v>74</v>
      </c>
      <c r="T470" t="s">
        <v>74</v>
      </c>
      <c r="U470" t="s">
        <v>8818</v>
      </c>
      <c r="V470" t="s">
        <v>8819</v>
      </c>
      <c r="W470" t="s">
        <v>8820</v>
      </c>
      <c r="X470" t="s">
        <v>8821</v>
      </c>
      <c r="Y470" t="s">
        <v>8822</v>
      </c>
      <c r="Z470" t="s">
        <v>8823</v>
      </c>
      <c r="AA470" t="s">
        <v>8824</v>
      </c>
      <c r="AB470" t="s">
        <v>8825</v>
      </c>
      <c r="AC470" t="s">
        <v>8826</v>
      </c>
      <c r="AD470" t="s">
        <v>8827</v>
      </c>
      <c r="AE470" t="s">
        <v>8828</v>
      </c>
      <c r="AF470" t="s">
        <v>74</v>
      </c>
      <c r="AG470">
        <v>19</v>
      </c>
      <c r="AH470">
        <v>26</v>
      </c>
      <c r="AI470">
        <v>27</v>
      </c>
      <c r="AJ470">
        <v>1</v>
      </c>
      <c r="AK470">
        <v>5</v>
      </c>
      <c r="AL470" t="s">
        <v>3432</v>
      </c>
      <c r="AM470" t="s">
        <v>3433</v>
      </c>
      <c r="AN470" t="s">
        <v>3434</v>
      </c>
      <c r="AO470" t="s">
        <v>3640</v>
      </c>
      <c r="AP470" t="s">
        <v>74</v>
      </c>
      <c r="AQ470" t="s">
        <v>74</v>
      </c>
      <c r="AR470" t="s">
        <v>3641</v>
      </c>
      <c r="AS470" t="s">
        <v>3642</v>
      </c>
      <c r="AT470" t="s">
        <v>7680</v>
      </c>
      <c r="AU470">
        <v>2010</v>
      </c>
      <c r="AV470">
        <v>40</v>
      </c>
      <c r="AW470">
        <v>8</v>
      </c>
      <c r="AX470" t="s">
        <v>74</v>
      </c>
      <c r="AY470" t="s">
        <v>74</v>
      </c>
      <c r="AZ470" t="s">
        <v>74</v>
      </c>
      <c r="BA470" t="s">
        <v>74</v>
      </c>
      <c r="BB470">
        <v>1902</v>
      </c>
      <c r="BC470">
        <v>1909</v>
      </c>
      <c r="BD470" t="s">
        <v>74</v>
      </c>
      <c r="BE470" t="s">
        <v>8829</v>
      </c>
      <c r="BF470" t="str">
        <f>HYPERLINK("http://dx.doi.org/10.1175/2010JPO4320.1","http://dx.doi.org/10.1175/2010JPO4320.1")</f>
        <v>http://dx.doi.org/10.1175/2010JPO4320.1</v>
      </c>
      <c r="BG470" t="s">
        <v>74</v>
      </c>
      <c r="BH470" t="s">
        <v>74</v>
      </c>
      <c r="BI470">
        <v>8</v>
      </c>
      <c r="BJ470" t="s">
        <v>1531</v>
      </c>
      <c r="BK470" t="s">
        <v>100</v>
      </c>
      <c r="BL470" t="s">
        <v>1531</v>
      </c>
      <c r="BM470" t="s">
        <v>8801</v>
      </c>
      <c r="BN470" t="s">
        <v>74</v>
      </c>
      <c r="BO470" t="s">
        <v>123</v>
      </c>
      <c r="BP470" t="s">
        <v>74</v>
      </c>
      <c r="BQ470" t="s">
        <v>74</v>
      </c>
      <c r="BR470" t="s">
        <v>104</v>
      </c>
      <c r="BS470" t="s">
        <v>8830</v>
      </c>
      <c r="BT470" t="str">
        <f>HYPERLINK("https%3A%2F%2Fwww.webofscience.com%2Fwos%2Fwoscc%2Ffull-record%2FWOS:000281520800015","View Full Record in Web of Science")</f>
        <v>View Full Record in Web of Science</v>
      </c>
    </row>
    <row r="471" spans="1:72" x14ac:dyDescent="0.15">
      <c r="A471" t="s">
        <v>72</v>
      </c>
      <c r="B471" t="s">
        <v>8831</v>
      </c>
      <c r="C471" t="s">
        <v>74</v>
      </c>
      <c r="D471" t="s">
        <v>74</v>
      </c>
      <c r="E471" t="s">
        <v>74</v>
      </c>
      <c r="F471" t="s">
        <v>8832</v>
      </c>
      <c r="G471" t="s">
        <v>74</v>
      </c>
      <c r="H471" t="s">
        <v>74</v>
      </c>
      <c r="I471" t="s">
        <v>8833</v>
      </c>
      <c r="J471" t="s">
        <v>3709</v>
      </c>
      <c r="K471" t="s">
        <v>74</v>
      </c>
      <c r="L471" t="s">
        <v>74</v>
      </c>
      <c r="M471" t="s">
        <v>78</v>
      </c>
      <c r="N471" t="s">
        <v>79</v>
      </c>
      <c r="O471" t="s">
        <v>74</v>
      </c>
      <c r="P471" t="s">
        <v>74</v>
      </c>
      <c r="Q471" t="s">
        <v>74</v>
      </c>
      <c r="R471" t="s">
        <v>74</v>
      </c>
      <c r="S471" t="s">
        <v>74</v>
      </c>
      <c r="T471" t="s">
        <v>8834</v>
      </c>
      <c r="U471" t="s">
        <v>8835</v>
      </c>
      <c r="V471" t="s">
        <v>8836</v>
      </c>
      <c r="W471" t="s">
        <v>8837</v>
      </c>
      <c r="X471" t="s">
        <v>8838</v>
      </c>
      <c r="Y471" t="s">
        <v>8839</v>
      </c>
      <c r="Z471" t="s">
        <v>8840</v>
      </c>
      <c r="AA471" t="s">
        <v>8841</v>
      </c>
      <c r="AB471" t="s">
        <v>8842</v>
      </c>
      <c r="AC471" t="s">
        <v>74</v>
      </c>
      <c r="AD471" t="s">
        <v>74</v>
      </c>
      <c r="AE471" t="s">
        <v>74</v>
      </c>
      <c r="AF471" t="s">
        <v>74</v>
      </c>
      <c r="AG471">
        <v>33</v>
      </c>
      <c r="AH471">
        <v>8</v>
      </c>
      <c r="AI471">
        <v>8</v>
      </c>
      <c r="AJ471">
        <v>0</v>
      </c>
      <c r="AK471">
        <v>22</v>
      </c>
      <c r="AL471" t="s">
        <v>851</v>
      </c>
      <c r="AM471" t="s">
        <v>310</v>
      </c>
      <c r="AN471" t="s">
        <v>852</v>
      </c>
      <c r="AO471" t="s">
        <v>3722</v>
      </c>
      <c r="AP471" t="s">
        <v>74</v>
      </c>
      <c r="AQ471" t="s">
        <v>74</v>
      </c>
      <c r="AR471" t="s">
        <v>3724</v>
      </c>
      <c r="AS471" t="s">
        <v>3725</v>
      </c>
      <c r="AT471" t="s">
        <v>7680</v>
      </c>
      <c r="AU471">
        <v>2010</v>
      </c>
      <c r="AV471">
        <v>90</v>
      </c>
      <c r="AW471">
        <v>5</v>
      </c>
      <c r="AX471" t="s">
        <v>74</v>
      </c>
      <c r="AY471" t="s">
        <v>74</v>
      </c>
      <c r="AZ471" t="s">
        <v>74</v>
      </c>
      <c r="BA471" t="s">
        <v>74</v>
      </c>
      <c r="BB471">
        <v>1025</v>
      </c>
      <c r="BC471">
        <v>1032</v>
      </c>
      <c r="BD471" t="s">
        <v>74</v>
      </c>
      <c r="BE471" t="s">
        <v>8843</v>
      </c>
      <c r="BF471" t="str">
        <f>HYPERLINK("http://dx.doi.org/10.1017/S0025315409990816","http://dx.doi.org/10.1017/S0025315409990816")</f>
        <v>http://dx.doi.org/10.1017/S0025315409990816</v>
      </c>
      <c r="BG471" t="s">
        <v>74</v>
      </c>
      <c r="BH471" t="s">
        <v>74</v>
      </c>
      <c r="BI471">
        <v>8</v>
      </c>
      <c r="BJ471" t="s">
        <v>515</v>
      </c>
      <c r="BK471" t="s">
        <v>100</v>
      </c>
      <c r="BL471" t="s">
        <v>515</v>
      </c>
      <c r="BM471" t="s">
        <v>8844</v>
      </c>
      <c r="BN471" t="s">
        <v>74</v>
      </c>
      <c r="BO471" t="s">
        <v>74</v>
      </c>
      <c r="BP471" t="s">
        <v>74</v>
      </c>
      <c r="BQ471" t="s">
        <v>74</v>
      </c>
      <c r="BR471" t="s">
        <v>104</v>
      </c>
      <c r="BS471" t="s">
        <v>8845</v>
      </c>
      <c r="BT471" t="str">
        <f>HYPERLINK("https%3A%2F%2Fwww.webofscience.com%2Fwos%2Fwoscc%2Ffull-record%2FWOS:000280568300020","View Full Record in Web of Science")</f>
        <v>View Full Record in Web of Science</v>
      </c>
    </row>
    <row r="472" spans="1:72" x14ac:dyDescent="0.15">
      <c r="A472" t="s">
        <v>72</v>
      </c>
      <c r="B472" t="s">
        <v>8846</v>
      </c>
      <c r="C472" t="s">
        <v>74</v>
      </c>
      <c r="D472" t="s">
        <v>74</v>
      </c>
      <c r="E472" t="s">
        <v>74</v>
      </c>
      <c r="F472" t="s">
        <v>8847</v>
      </c>
      <c r="G472" t="s">
        <v>74</v>
      </c>
      <c r="H472" t="s">
        <v>74</v>
      </c>
      <c r="I472" t="s">
        <v>8848</v>
      </c>
      <c r="J472" t="s">
        <v>8849</v>
      </c>
      <c r="K472" t="s">
        <v>74</v>
      </c>
      <c r="L472" t="s">
        <v>74</v>
      </c>
      <c r="M472" t="s">
        <v>78</v>
      </c>
      <c r="N472" t="s">
        <v>79</v>
      </c>
      <c r="O472" t="s">
        <v>74</v>
      </c>
      <c r="P472" t="s">
        <v>74</v>
      </c>
      <c r="Q472" t="s">
        <v>74</v>
      </c>
      <c r="R472" t="s">
        <v>74</v>
      </c>
      <c r="S472" t="s">
        <v>74</v>
      </c>
      <c r="T472" t="s">
        <v>8850</v>
      </c>
      <c r="U472" t="s">
        <v>8851</v>
      </c>
      <c r="V472" t="s">
        <v>8852</v>
      </c>
      <c r="W472" t="s">
        <v>8853</v>
      </c>
      <c r="X472" t="s">
        <v>8854</v>
      </c>
      <c r="Y472" t="s">
        <v>8855</v>
      </c>
      <c r="Z472" t="s">
        <v>8856</v>
      </c>
      <c r="AA472" t="s">
        <v>8857</v>
      </c>
      <c r="AB472" t="s">
        <v>8858</v>
      </c>
      <c r="AC472" t="s">
        <v>8859</v>
      </c>
      <c r="AD472" t="s">
        <v>8860</v>
      </c>
      <c r="AE472" t="s">
        <v>8861</v>
      </c>
      <c r="AF472" t="s">
        <v>74</v>
      </c>
      <c r="AG472">
        <v>37</v>
      </c>
      <c r="AH472">
        <v>5</v>
      </c>
      <c r="AI472">
        <v>8</v>
      </c>
      <c r="AJ472">
        <v>1</v>
      </c>
      <c r="AK472">
        <v>24</v>
      </c>
      <c r="AL472" t="s">
        <v>264</v>
      </c>
      <c r="AM472" t="s">
        <v>265</v>
      </c>
      <c r="AN472" t="s">
        <v>266</v>
      </c>
      <c r="AO472" t="s">
        <v>8862</v>
      </c>
      <c r="AP472" t="s">
        <v>74</v>
      </c>
      <c r="AQ472" t="s">
        <v>74</v>
      </c>
      <c r="AR472" t="s">
        <v>8863</v>
      </c>
      <c r="AS472" t="s">
        <v>8864</v>
      </c>
      <c r="AT472" t="s">
        <v>7680</v>
      </c>
      <c r="AU472">
        <v>2010</v>
      </c>
      <c r="AV472">
        <v>35</v>
      </c>
      <c r="AW472">
        <v>6</v>
      </c>
      <c r="AX472" t="s">
        <v>74</v>
      </c>
      <c r="AY472" t="s">
        <v>74</v>
      </c>
      <c r="AZ472" t="s">
        <v>74</v>
      </c>
      <c r="BA472" t="s">
        <v>74</v>
      </c>
      <c r="BB472">
        <v>255</v>
      </c>
      <c r="BC472">
        <v>262</v>
      </c>
      <c r="BD472" t="s">
        <v>74</v>
      </c>
      <c r="BE472" t="s">
        <v>8865</v>
      </c>
      <c r="BF472" t="str">
        <f>HYPERLINK("http://dx.doi.org/10.1016/j.jtherbio.2010.05.008","http://dx.doi.org/10.1016/j.jtherbio.2010.05.008")</f>
        <v>http://dx.doi.org/10.1016/j.jtherbio.2010.05.008</v>
      </c>
      <c r="BG472" t="s">
        <v>74</v>
      </c>
      <c r="BH472" t="s">
        <v>74</v>
      </c>
      <c r="BI472">
        <v>8</v>
      </c>
      <c r="BJ472" t="s">
        <v>8866</v>
      </c>
      <c r="BK472" t="s">
        <v>100</v>
      </c>
      <c r="BL472" t="s">
        <v>8867</v>
      </c>
      <c r="BM472" t="s">
        <v>8868</v>
      </c>
      <c r="BN472" t="s">
        <v>74</v>
      </c>
      <c r="BO472" t="s">
        <v>74</v>
      </c>
      <c r="BP472" t="s">
        <v>74</v>
      </c>
      <c r="BQ472" t="s">
        <v>74</v>
      </c>
      <c r="BR472" t="s">
        <v>104</v>
      </c>
      <c r="BS472" t="s">
        <v>8869</v>
      </c>
      <c r="BT472" t="str">
        <f>HYPERLINK("https%3A%2F%2Fwww.webofscience.com%2Fwos%2Fwoscc%2Ffull-record%2FWOS:000281929000001","View Full Record in Web of Science")</f>
        <v>View Full Record in Web of Science</v>
      </c>
    </row>
    <row r="473" spans="1:72" x14ac:dyDescent="0.15">
      <c r="A473" t="s">
        <v>72</v>
      </c>
      <c r="B473" t="s">
        <v>8870</v>
      </c>
      <c r="C473" t="s">
        <v>74</v>
      </c>
      <c r="D473" t="s">
        <v>74</v>
      </c>
      <c r="E473" t="s">
        <v>74</v>
      </c>
      <c r="F473" t="s">
        <v>8871</v>
      </c>
      <c r="G473" t="s">
        <v>74</v>
      </c>
      <c r="H473" t="s">
        <v>74</v>
      </c>
      <c r="I473" t="s">
        <v>8872</v>
      </c>
      <c r="J473" t="s">
        <v>8873</v>
      </c>
      <c r="K473" t="s">
        <v>74</v>
      </c>
      <c r="L473" t="s">
        <v>74</v>
      </c>
      <c r="M473" t="s">
        <v>78</v>
      </c>
      <c r="N473" t="s">
        <v>79</v>
      </c>
      <c r="O473" t="s">
        <v>74</v>
      </c>
      <c r="P473" t="s">
        <v>74</v>
      </c>
      <c r="Q473" t="s">
        <v>74</v>
      </c>
      <c r="R473" t="s">
        <v>74</v>
      </c>
      <c r="S473" t="s">
        <v>74</v>
      </c>
      <c r="T473" t="s">
        <v>74</v>
      </c>
      <c r="U473" t="s">
        <v>8874</v>
      </c>
      <c r="V473" t="s">
        <v>8875</v>
      </c>
      <c r="W473" t="s">
        <v>8876</v>
      </c>
      <c r="X473" t="s">
        <v>8877</v>
      </c>
      <c r="Y473" t="s">
        <v>8878</v>
      </c>
      <c r="Z473" t="s">
        <v>8879</v>
      </c>
      <c r="AA473" t="s">
        <v>8880</v>
      </c>
      <c r="AB473" t="s">
        <v>8881</v>
      </c>
      <c r="AC473" t="s">
        <v>8882</v>
      </c>
      <c r="AD473" t="s">
        <v>8882</v>
      </c>
      <c r="AE473" t="s">
        <v>8883</v>
      </c>
      <c r="AF473" t="s">
        <v>74</v>
      </c>
      <c r="AG473">
        <v>83</v>
      </c>
      <c r="AH473">
        <v>6</v>
      </c>
      <c r="AI473">
        <v>9</v>
      </c>
      <c r="AJ473">
        <v>0</v>
      </c>
      <c r="AK473">
        <v>8</v>
      </c>
      <c r="AL473" t="s">
        <v>3145</v>
      </c>
      <c r="AM473" t="s">
        <v>91</v>
      </c>
      <c r="AN473" t="s">
        <v>3146</v>
      </c>
      <c r="AO473" t="s">
        <v>8884</v>
      </c>
      <c r="AP473" t="s">
        <v>8885</v>
      </c>
      <c r="AQ473" t="s">
        <v>74</v>
      </c>
      <c r="AR473" t="s">
        <v>8886</v>
      </c>
      <c r="AS473" t="s">
        <v>8887</v>
      </c>
      <c r="AT473" t="s">
        <v>7680</v>
      </c>
      <c r="AU473">
        <v>2010</v>
      </c>
      <c r="AV473">
        <v>2</v>
      </c>
      <c r="AW473">
        <v>4</v>
      </c>
      <c r="AX473" t="s">
        <v>74</v>
      </c>
      <c r="AY473" t="s">
        <v>74</v>
      </c>
      <c r="AZ473" t="s">
        <v>74</v>
      </c>
      <c r="BA473" t="s">
        <v>74</v>
      </c>
      <c r="BB473">
        <v>211</v>
      </c>
      <c r="BC473">
        <v>220</v>
      </c>
      <c r="BD473" t="s">
        <v>74</v>
      </c>
      <c r="BE473" t="s">
        <v>8888</v>
      </c>
      <c r="BF473" t="str">
        <f>HYPERLINK("http://dx.doi.org/10.1130/L89.1","http://dx.doi.org/10.1130/L89.1")</f>
        <v>http://dx.doi.org/10.1130/L89.1</v>
      </c>
      <c r="BG473" t="s">
        <v>74</v>
      </c>
      <c r="BH473" t="s">
        <v>74</v>
      </c>
      <c r="BI473">
        <v>10</v>
      </c>
      <c r="BJ473" t="s">
        <v>8889</v>
      </c>
      <c r="BK473" t="s">
        <v>100</v>
      </c>
      <c r="BL473" t="s">
        <v>8889</v>
      </c>
      <c r="BM473" t="s">
        <v>8890</v>
      </c>
      <c r="BN473" t="s">
        <v>74</v>
      </c>
      <c r="BO473" t="s">
        <v>394</v>
      </c>
      <c r="BP473" t="s">
        <v>74</v>
      </c>
      <c r="BQ473" t="s">
        <v>74</v>
      </c>
      <c r="BR473" t="s">
        <v>104</v>
      </c>
      <c r="BS473" t="s">
        <v>8891</v>
      </c>
      <c r="BT473" t="str">
        <f>HYPERLINK("https%3A%2F%2Fwww.webofscience.com%2Fwos%2Fwoscc%2Ffull-record%2FWOS:000280363000001","View Full Record in Web of Science")</f>
        <v>View Full Record in Web of Science</v>
      </c>
    </row>
    <row r="474" spans="1:72" x14ac:dyDescent="0.15">
      <c r="A474" t="s">
        <v>72</v>
      </c>
      <c r="B474" t="s">
        <v>8892</v>
      </c>
      <c r="C474" t="s">
        <v>74</v>
      </c>
      <c r="D474" t="s">
        <v>74</v>
      </c>
      <c r="E474" t="s">
        <v>74</v>
      </c>
      <c r="F474" t="s">
        <v>8893</v>
      </c>
      <c r="G474" t="s">
        <v>74</v>
      </c>
      <c r="H474" t="s">
        <v>74</v>
      </c>
      <c r="I474" t="s">
        <v>8894</v>
      </c>
      <c r="J474" t="s">
        <v>8895</v>
      </c>
      <c r="K474" t="s">
        <v>74</v>
      </c>
      <c r="L474" t="s">
        <v>74</v>
      </c>
      <c r="M474" t="s">
        <v>78</v>
      </c>
      <c r="N474" t="s">
        <v>79</v>
      </c>
      <c r="O474" t="s">
        <v>74</v>
      </c>
      <c r="P474" t="s">
        <v>74</v>
      </c>
      <c r="Q474" t="s">
        <v>74</v>
      </c>
      <c r="R474" t="s">
        <v>74</v>
      </c>
      <c r="S474" t="s">
        <v>74</v>
      </c>
      <c r="T474" t="s">
        <v>8896</v>
      </c>
      <c r="U474" t="s">
        <v>8897</v>
      </c>
      <c r="V474" t="s">
        <v>8898</v>
      </c>
      <c r="W474" t="s">
        <v>8899</v>
      </c>
      <c r="X474" t="s">
        <v>8900</v>
      </c>
      <c r="Y474" t="s">
        <v>8901</v>
      </c>
      <c r="Z474" t="s">
        <v>8902</v>
      </c>
      <c r="AA474" t="s">
        <v>8903</v>
      </c>
      <c r="AB474" t="s">
        <v>8904</v>
      </c>
      <c r="AC474" t="s">
        <v>8905</v>
      </c>
      <c r="AD474" t="s">
        <v>8906</v>
      </c>
      <c r="AE474" t="s">
        <v>8907</v>
      </c>
      <c r="AF474" t="s">
        <v>74</v>
      </c>
      <c r="AG474">
        <v>129</v>
      </c>
      <c r="AH474">
        <v>89</v>
      </c>
      <c r="AI474">
        <v>96</v>
      </c>
      <c r="AJ474">
        <v>1</v>
      </c>
      <c r="AK474">
        <v>17</v>
      </c>
      <c r="AL474" t="s">
        <v>2438</v>
      </c>
      <c r="AM474" t="s">
        <v>265</v>
      </c>
      <c r="AN474" t="s">
        <v>2439</v>
      </c>
      <c r="AO474" t="s">
        <v>8908</v>
      </c>
      <c r="AP474" t="s">
        <v>8909</v>
      </c>
      <c r="AQ474" t="s">
        <v>74</v>
      </c>
      <c r="AR474" t="s">
        <v>8910</v>
      </c>
      <c r="AS474" t="s">
        <v>8911</v>
      </c>
      <c r="AT474" t="s">
        <v>7680</v>
      </c>
      <c r="AU474">
        <v>2010</v>
      </c>
      <c r="AV474">
        <v>27</v>
      </c>
      <c r="AW474">
        <v>7</v>
      </c>
      <c r="AX474" t="s">
        <v>74</v>
      </c>
      <c r="AY474" t="s">
        <v>74</v>
      </c>
      <c r="AZ474" t="s">
        <v>74</v>
      </c>
      <c r="BA474" t="s">
        <v>74</v>
      </c>
      <c r="BB474">
        <v>1508</v>
      </c>
      <c r="BC474">
        <v>1530</v>
      </c>
      <c r="BD474" t="s">
        <v>74</v>
      </c>
      <c r="BE474" t="s">
        <v>8912</v>
      </c>
      <c r="BF474" t="str">
        <f>HYPERLINK("http://dx.doi.org/10.1016/j.marpetgeo.2010.04.003","http://dx.doi.org/10.1016/j.marpetgeo.2010.04.003")</f>
        <v>http://dx.doi.org/10.1016/j.marpetgeo.2010.04.003</v>
      </c>
      <c r="BG474" t="s">
        <v>74</v>
      </c>
      <c r="BH474" t="s">
        <v>74</v>
      </c>
      <c r="BI474">
        <v>23</v>
      </c>
      <c r="BJ474" t="s">
        <v>1194</v>
      </c>
      <c r="BK474" t="s">
        <v>100</v>
      </c>
      <c r="BL474" t="s">
        <v>807</v>
      </c>
      <c r="BM474" t="s">
        <v>8913</v>
      </c>
      <c r="BN474" t="s">
        <v>74</v>
      </c>
      <c r="BO474" t="s">
        <v>74</v>
      </c>
      <c r="BP474" t="s">
        <v>74</v>
      </c>
      <c r="BQ474" t="s">
        <v>74</v>
      </c>
      <c r="BR474" t="s">
        <v>104</v>
      </c>
      <c r="BS474" t="s">
        <v>8914</v>
      </c>
      <c r="BT474" t="str">
        <f>HYPERLINK("https%3A%2F%2Fwww.webofscience.com%2Fwos%2Fwoscc%2Ffull-record%2FWOS:000280940000014","View Full Record in Web of Science")</f>
        <v>View Full Record in Web of Science</v>
      </c>
    </row>
    <row r="475" spans="1:72" x14ac:dyDescent="0.15">
      <c r="A475" t="s">
        <v>72</v>
      </c>
      <c r="B475" t="s">
        <v>8915</v>
      </c>
      <c r="C475" t="s">
        <v>74</v>
      </c>
      <c r="D475" t="s">
        <v>74</v>
      </c>
      <c r="E475" t="s">
        <v>74</v>
      </c>
      <c r="F475" t="s">
        <v>8916</v>
      </c>
      <c r="G475" t="s">
        <v>74</v>
      </c>
      <c r="H475" t="s">
        <v>74</v>
      </c>
      <c r="I475" t="s">
        <v>8917</v>
      </c>
      <c r="J475" t="s">
        <v>936</v>
      </c>
      <c r="K475" t="s">
        <v>74</v>
      </c>
      <c r="L475" t="s">
        <v>74</v>
      </c>
      <c r="M475" t="s">
        <v>78</v>
      </c>
      <c r="N475" t="s">
        <v>79</v>
      </c>
      <c r="O475" t="s">
        <v>74</v>
      </c>
      <c r="P475" t="s">
        <v>74</v>
      </c>
      <c r="Q475" t="s">
        <v>74</v>
      </c>
      <c r="R475" t="s">
        <v>74</v>
      </c>
      <c r="S475" t="s">
        <v>74</v>
      </c>
      <c r="T475" t="s">
        <v>74</v>
      </c>
      <c r="U475" t="s">
        <v>8918</v>
      </c>
      <c r="V475" t="s">
        <v>8919</v>
      </c>
      <c r="W475" t="s">
        <v>8920</v>
      </c>
      <c r="X475" t="s">
        <v>8921</v>
      </c>
      <c r="Y475" t="s">
        <v>8922</v>
      </c>
      <c r="Z475" t="s">
        <v>8923</v>
      </c>
      <c r="AA475" t="s">
        <v>7044</v>
      </c>
      <c r="AB475" t="s">
        <v>7045</v>
      </c>
      <c r="AC475" t="s">
        <v>8924</v>
      </c>
      <c r="AD475" t="s">
        <v>1402</v>
      </c>
      <c r="AE475" t="s">
        <v>8925</v>
      </c>
      <c r="AF475" t="s">
        <v>74</v>
      </c>
      <c r="AG475">
        <v>108</v>
      </c>
      <c r="AH475">
        <v>32</v>
      </c>
      <c r="AI475">
        <v>36</v>
      </c>
      <c r="AJ475">
        <v>1</v>
      </c>
      <c r="AK475">
        <v>20</v>
      </c>
      <c r="AL475" t="s">
        <v>945</v>
      </c>
      <c r="AM475" t="s">
        <v>946</v>
      </c>
      <c r="AN475" t="s">
        <v>947</v>
      </c>
      <c r="AO475" t="s">
        <v>948</v>
      </c>
      <c r="AP475" t="s">
        <v>949</v>
      </c>
      <c r="AQ475" t="s">
        <v>74</v>
      </c>
      <c r="AR475" t="s">
        <v>950</v>
      </c>
      <c r="AS475" t="s">
        <v>951</v>
      </c>
      <c r="AT475" t="s">
        <v>7680</v>
      </c>
      <c r="AU475">
        <v>2010</v>
      </c>
      <c r="AV475">
        <v>157</v>
      </c>
      <c r="AW475">
        <v>8</v>
      </c>
      <c r="AX475" t="s">
        <v>74</v>
      </c>
      <c r="AY475" t="s">
        <v>74</v>
      </c>
      <c r="AZ475" t="s">
        <v>74</v>
      </c>
      <c r="BA475" t="s">
        <v>74</v>
      </c>
      <c r="BB475">
        <v>1693</v>
      </c>
      <c r="BC475">
        <v>1704</v>
      </c>
      <c r="BD475" t="s">
        <v>74</v>
      </c>
      <c r="BE475" t="s">
        <v>8926</v>
      </c>
      <c r="BF475" t="str">
        <f>HYPERLINK("http://dx.doi.org/10.1007/s00227-010-1443-3","http://dx.doi.org/10.1007/s00227-010-1443-3")</f>
        <v>http://dx.doi.org/10.1007/s00227-010-1443-3</v>
      </c>
      <c r="BG475" t="s">
        <v>74</v>
      </c>
      <c r="BH475" t="s">
        <v>74</v>
      </c>
      <c r="BI475">
        <v>12</v>
      </c>
      <c r="BJ475" t="s">
        <v>515</v>
      </c>
      <c r="BK475" t="s">
        <v>100</v>
      </c>
      <c r="BL475" t="s">
        <v>515</v>
      </c>
      <c r="BM475" t="s">
        <v>8927</v>
      </c>
      <c r="BN475" t="s">
        <v>74</v>
      </c>
      <c r="BO475" t="s">
        <v>74</v>
      </c>
      <c r="BP475" t="s">
        <v>74</v>
      </c>
      <c r="BQ475" t="s">
        <v>74</v>
      </c>
      <c r="BR475" t="s">
        <v>104</v>
      </c>
      <c r="BS475" t="s">
        <v>8928</v>
      </c>
      <c r="BT475" t="str">
        <f>HYPERLINK("https%3A%2F%2Fwww.webofscience.com%2Fwos%2Fwoscc%2Ffull-record%2FWOS:000279836900003","View Full Record in Web of Science")</f>
        <v>View Full Record in Web of Science</v>
      </c>
    </row>
    <row r="476" spans="1:72" x14ac:dyDescent="0.15">
      <c r="A476" t="s">
        <v>72</v>
      </c>
      <c r="B476" t="s">
        <v>8929</v>
      </c>
      <c r="C476" t="s">
        <v>74</v>
      </c>
      <c r="D476" t="s">
        <v>74</v>
      </c>
      <c r="E476" t="s">
        <v>74</v>
      </c>
      <c r="F476" t="s">
        <v>8930</v>
      </c>
      <c r="G476" t="s">
        <v>74</v>
      </c>
      <c r="H476" t="s">
        <v>74</v>
      </c>
      <c r="I476" t="s">
        <v>8931</v>
      </c>
      <c r="J476" t="s">
        <v>936</v>
      </c>
      <c r="K476" t="s">
        <v>74</v>
      </c>
      <c r="L476" t="s">
        <v>74</v>
      </c>
      <c r="M476" t="s">
        <v>78</v>
      </c>
      <c r="N476" t="s">
        <v>79</v>
      </c>
      <c r="O476" t="s">
        <v>74</v>
      </c>
      <c r="P476" t="s">
        <v>74</v>
      </c>
      <c r="Q476" t="s">
        <v>74</v>
      </c>
      <c r="R476" t="s">
        <v>74</v>
      </c>
      <c r="S476" t="s">
        <v>74</v>
      </c>
      <c r="T476" t="s">
        <v>74</v>
      </c>
      <c r="U476" t="s">
        <v>8932</v>
      </c>
      <c r="V476" t="s">
        <v>8933</v>
      </c>
      <c r="W476" t="s">
        <v>8934</v>
      </c>
      <c r="X476" t="s">
        <v>8935</v>
      </c>
      <c r="Y476" t="s">
        <v>8936</v>
      </c>
      <c r="Z476" t="s">
        <v>8937</v>
      </c>
      <c r="AA476" t="s">
        <v>8938</v>
      </c>
      <c r="AB476" t="s">
        <v>8939</v>
      </c>
      <c r="AC476" t="s">
        <v>8940</v>
      </c>
      <c r="AD476" t="s">
        <v>8941</v>
      </c>
      <c r="AE476" t="s">
        <v>8942</v>
      </c>
      <c r="AF476" t="s">
        <v>74</v>
      </c>
      <c r="AG476">
        <v>44</v>
      </c>
      <c r="AH476">
        <v>8</v>
      </c>
      <c r="AI476">
        <v>9</v>
      </c>
      <c r="AJ476">
        <v>2</v>
      </c>
      <c r="AK476">
        <v>8</v>
      </c>
      <c r="AL476" t="s">
        <v>464</v>
      </c>
      <c r="AM476" t="s">
        <v>310</v>
      </c>
      <c r="AN476" t="s">
        <v>465</v>
      </c>
      <c r="AO476" t="s">
        <v>948</v>
      </c>
      <c r="AP476" t="s">
        <v>74</v>
      </c>
      <c r="AQ476" t="s">
        <v>74</v>
      </c>
      <c r="AR476" t="s">
        <v>950</v>
      </c>
      <c r="AS476" t="s">
        <v>951</v>
      </c>
      <c r="AT476" t="s">
        <v>7680</v>
      </c>
      <c r="AU476">
        <v>2010</v>
      </c>
      <c r="AV476">
        <v>157</v>
      </c>
      <c r="AW476">
        <v>8</v>
      </c>
      <c r="AX476" t="s">
        <v>74</v>
      </c>
      <c r="AY476" t="s">
        <v>74</v>
      </c>
      <c r="AZ476" t="s">
        <v>74</v>
      </c>
      <c r="BA476" t="s">
        <v>74</v>
      </c>
      <c r="BB476">
        <v>1705</v>
      </c>
      <c r="BC476">
        <v>1712</v>
      </c>
      <c r="BD476" t="s">
        <v>74</v>
      </c>
      <c r="BE476" t="s">
        <v>8943</v>
      </c>
      <c r="BF476" t="str">
        <f>HYPERLINK("http://dx.doi.org/10.1007/s00227-010-1444-2","http://dx.doi.org/10.1007/s00227-010-1444-2")</f>
        <v>http://dx.doi.org/10.1007/s00227-010-1444-2</v>
      </c>
      <c r="BG476" t="s">
        <v>74</v>
      </c>
      <c r="BH476" t="s">
        <v>74</v>
      </c>
      <c r="BI476">
        <v>8</v>
      </c>
      <c r="BJ476" t="s">
        <v>515</v>
      </c>
      <c r="BK476" t="s">
        <v>100</v>
      </c>
      <c r="BL476" t="s">
        <v>515</v>
      </c>
      <c r="BM476" t="s">
        <v>8927</v>
      </c>
      <c r="BN476" t="s">
        <v>74</v>
      </c>
      <c r="BO476" t="s">
        <v>8037</v>
      </c>
      <c r="BP476" t="s">
        <v>74</v>
      </c>
      <c r="BQ476" t="s">
        <v>74</v>
      </c>
      <c r="BR476" t="s">
        <v>104</v>
      </c>
      <c r="BS476" t="s">
        <v>8944</v>
      </c>
      <c r="BT476" t="str">
        <f>HYPERLINK("https%3A%2F%2Fwww.webofscience.com%2Fwos%2Fwoscc%2Ffull-record%2FWOS:000279836900004","View Full Record in Web of Science")</f>
        <v>View Full Record in Web of Science</v>
      </c>
    </row>
    <row r="477" spans="1:72" x14ac:dyDescent="0.15">
      <c r="A477" t="s">
        <v>72</v>
      </c>
      <c r="B477" t="s">
        <v>8945</v>
      </c>
      <c r="C477" t="s">
        <v>74</v>
      </c>
      <c r="D477" t="s">
        <v>74</v>
      </c>
      <c r="E477" t="s">
        <v>74</v>
      </c>
      <c r="F477" t="s">
        <v>8946</v>
      </c>
      <c r="G477" t="s">
        <v>74</v>
      </c>
      <c r="H477" t="s">
        <v>74</v>
      </c>
      <c r="I477" t="s">
        <v>8947</v>
      </c>
      <c r="J477" t="s">
        <v>936</v>
      </c>
      <c r="K477" t="s">
        <v>74</v>
      </c>
      <c r="L477" t="s">
        <v>74</v>
      </c>
      <c r="M477" t="s">
        <v>78</v>
      </c>
      <c r="N477" t="s">
        <v>79</v>
      </c>
      <c r="O477" t="s">
        <v>74</v>
      </c>
      <c r="P477" t="s">
        <v>74</v>
      </c>
      <c r="Q477" t="s">
        <v>74</v>
      </c>
      <c r="R477" t="s">
        <v>74</v>
      </c>
      <c r="S477" t="s">
        <v>74</v>
      </c>
      <c r="T477" t="s">
        <v>74</v>
      </c>
      <c r="U477" t="s">
        <v>8948</v>
      </c>
      <c r="V477" t="s">
        <v>8949</v>
      </c>
      <c r="W477" t="s">
        <v>8950</v>
      </c>
      <c r="X477" t="s">
        <v>8951</v>
      </c>
      <c r="Y477" t="s">
        <v>8952</v>
      </c>
      <c r="Z477" t="s">
        <v>8953</v>
      </c>
      <c r="AA477" t="s">
        <v>8954</v>
      </c>
      <c r="AB477" t="s">
        <v>8955</v>
      </c>
      <c r="AC477" t="s">
        <v>8956</v>
      </c>
      <c r="AD477" t="s">
        <v>8956</v>
      </c>
      <c r="AE477" t="s">
        <v>8957</v>
      </c>
      <c r="AF477" t="s">
        <v>74</v>
      </c>
      <c r="AG477">
        <v>64</v>
      </c>
      <c r="AH477">
        <v>26</v>
      </c>
      <c r="AI477">
        <v>29</v>
      </c>
      <c r="AJ477">
        <v>1</v>
      </c>
      <c r="AK477">
        <v>30</v>
      </c>
      <c r="AL477" t="s">
        <v>945</v>
      </c>
      <c r="AM477" t="s">
        <v>946</v>
      </c>
      <c r="AN477" t="s">
        <v>947</v>
      </c>
      <c r="AO477" t="s">
        <v>948</v>
      </c>
      <c r="AP477" t="s">
        <v>949</v>
      </c>
      <c r="AQ477" t="s">
        <v>74</v>
      </c>
      <c r="AR477" t="s">
        <v>950</v>
      </c>
      <c r="AS477" t="s">
        <v>951</v>
      </c>
      <c r="AT477" t="s">
        <v>7680</v>
      </c>
      <c r="AU477">
        <v>2010</v>
      </c>
      <c r="AV477">
        <v>157</v>
      </c>
      <c r="AW477">
        <v>8</v>
      </c>
      <c r="AX477" t="s">
        <v>74</v>
      </c>
      <c r="AY477" t="s">
        <v>74</v>
      </c>
      <c r="AZ477" t="s">
        <v>74</v>
      </c>
      <c r="BA477" t="s">
        <v>74</v>
      </c>
      <c r="BB477">
        <v>1755</v>
      </c>
      <c r="BC477">
        <v>1766</v>
      </c>
      <c r="BD477" t="s">
        <v>74</v>
      </c>
      <c r="BE477" t="s">
        <v>8958</v>
      </c>
      <c r="BF477" t="str">
        <f>HYPERLINK("http://dx.doi.org/10.1007/s00227-010-1448-y","http://dx.doi.org/10.1007/s00227-010-1448-y")</f>
        <v>http://dx.doi.org/10.1007/s00227-010-1448-y</v>
      </c>
      <c r="BG477" t="s">
        <v>74</v>
      </c>
      <c r="BH477" t="s">
        <v>74</v>
      </c>
      <c r="BI477">
        <v>12</v>
      </c>
      <c r="BJ477" t="s">
        <v>515</v>
      </c>
      <c r="BK477" t="s">
        <v>100</v>
      </c>
      <c r="BL477" t="s">
        <v>515</v>
      </c>
      <c r="BM477" t="s">
        <v>8927</v>
      </c>
      <c r="BN477" t="s">
        <v>74</v>
      </c>
      <c r="BO477" t="s">
        <v>74</v>
      </c>
      <c r="BP477" t="s">
        <v>74</v>
      </c>
      <c r="BQ477" t="s">
        <v>74</v>
      </c>
      <c r="BR477" t="s">
        <v>104</v>
      </c>
      <c r="BS477" t="s">
        <v>8959</v>
      </c>
      <c r="BT477" t="str">
        <f>HYPERLINK("https%3A%2F%2Fwww.webofscience.com%2Fwos%2Fwoscc%2Ffull-record%2FWOS:000279836900008","View Full Record in Web of Science")</f>
        <v>View Full Record in Web of Science</v>
      </c>
    </row>
    <row r="478" spans="1:72" x14ac:dyDescent="0.15">
      <c r="A478" t="s">
        <v>72</v>
      </c>
      <c r="B478" t="s">
        <v>8960</v>
      </c>
      <c r="C478" t="s">
        <v>74</v>
      </c>
      <c r="D478" t="s">
        <v>74</v>
      </c>
      <c r="E478" t="s">
        <v>74</v>
      </c>
      <c r="F478" t="s">
        <v>8961</v>
      </c>
      <c r="G478" t="s">
        <v>74</v>
      </c>
      <c r="H478" t="s">
        <v>74</v>
      </c>
      <c r="I478" t="s">
        <v>8962</v>
      </c>
      <c r="J478" t="s">
        <v>936</v>
      </c>
      <c r="K478" t="s">
        <v>74</v>
      </c>
      <c r="L478" t="s">
        <v>74</v>
      </c>
      <c r="M478" t="s">
        <v>78</v>
      </c>
      <c r="N478" t="s">
        <v>79</v>
      </c>
      <c r="O478" t="s">
        <v>74</v>
      </c>
      <c r="P478" t="s">
        <v>74</v>
      </c>
      <c r="Q478" t="s">
        <v>74</v>
      </c>
      <c r="R478" t="s">
        <v>74</v>
      </c>
      <c r="S478" t="s">
        <v>74</v>
      </c>
      <c r="T478" t="s">
        <v>74</v>
      </c>
      <c r="U478" t="s">
        <v>8963</v>
      </c>
      <c r="V478" t="s">
        <v>8964</v>
      </c>
      <c r="W478" t="s">
        <v>8965</v>
      </c>
      <c r="X478" t="s">
        <v>8966</v>
      </c>
      <c r="Y478" t="s">
        <v>8967</v>
      </c>
      <c r="Z478" t="s">
        <v>8968</v>
      </c>
      <c r="AA478" t="s">
        <v>8969</v>
      </c>
      <c r="AB478" t="s">
        <v>8970</v>
      </c>
      <c r="AC478" t="s">
        <v>8971</v>
      </c>
      <c r="AD478" t="s">
        <v>8972</v>
      </c>
      <c r="AE478" t="s">
        <v>8973</v>
      </c>
      <c r="AF478" t="s">
        <v>74</v>
      </c>
      <c r="AG478">
        <v>92</v>
      </c>
      <c r="AH478">
        <v>68</v>
      </c>
      <c r="AI478">
        <v>73</v>
      </c>
      <c r="AJ478">
        <v>0</v>
      </c>
      <c r="AK478">
        <v>23</v>
      </c>
      <c r="AL478" t="s">
        <v>945</v>
      </c>
      <c r="AM478" t="s">
        <v>946</v>
      </c>
      <c r="AN478" t="s">
        <v>947</v>
      </c>
      <c r="AO478" t="s">
        <v>948</v>
      </c>
      <c r="AP478" t="s">
        <v>949</v>
      </c>
      <c r="AQ478" t="s">
        <v>74</v>
      </c>
      <c r="AR478" t="s">
        <v>950</v>
      </c>
      <c r="AS478" t="s">
        <v>951</v>
      </c>
      <c r="AT478" t="s">
        <v>7680</v>
      </c>
      <c r="AU478">
        <v>2010</v>
      </c>
      <c r="AV478">
        <v>157</v>
      </c>
      <c r="AW478">
        <v>8</v>
      </c>
      <c r="AX478" t="s">
        <v>74</v>
      </c>
      <c r="AY478" t="s">
        <v>74</v>
      </c>
      <c r="AZ478" t="s">
        <v>74</v>
      </c>
      <c r="BA478" t="s">
        <v>74</v>
      </c>
      <c r="BB478">
        <v>1783</v>
      </c>
      <c r="BC478">
        <v>1797</v>
      </c>
      <c r="BD478" t="s">
        <v>74</v>
      </c>
      <c r="BE478" t="s">
        <v>8974</v>
      </c>
      <c r="BF478" t="str">
        <f>HYPERLINK("http://dx.doi.org/10.1007/s00227-010-1451-3","http://dx.doi.org/10.1007/s00227-010-1451-3")</f>
        <v>http://dx.doi.org/10.1007/s00227-010-1451-3</v>
      </c>
      <c r="BG478" t="s">
        <v>74</v>
      </c>
      <c r="BH478" t="s">
        <v>74</v>
      </c>
      <c r="BI478">
        <v>15</v>
      </c>
      <c r="BJ478" t="s">
        <v>515</v>
      </c>
      <c r="BK478" t="s">
        <v>100</v>
      </c>
      <c r="BL478" t="s">
        <v>515</v>
      </c>
      <c r="BM478" t="s">
        <v>8927</v>
      </c>
      <c r="BN478" t="s">
        <v>74</v>
      </c>
      <c r="BO478" t="s">
        <v>1025</v>
      </c>
      <c r="BP478" t="s">
        <v>74</v>
      </c>
      <c r="BQ478" t="s">
        <v>74</v>
      </c>
      <c r="BR478" t="s">
        <v>104</v>
      </c>
      <c r="BS478" t="s">
        <v>8975</v>
      </c>
      <c r="BT478" t="str">
        <f>HYPERLINK("https%3A%2F%2Fwww.webofscience.com%2Fwos%2Fwoscc%2Ffull-record%2FWOS:000279836900010","View Full Record in Web of Science")</f>
        <v>View Full Record in Web of Science</v>
      </c>
    </row>
    <row r="479" spans="1:72" x14ac:dyDescent="0.15">
      <c r="A479" t="s">
        <v>72</v>
      </c>
      <c r="B479" t="s">
        <v>8976</v>
      </c>
      <c r="C479" t="s">
        <v>74</v>
      </c>
      <c r="D479" t="s">
        <v>74</v>
      </c>
      <c r="E479" t="s">
        <v>74</v>
      </c>
      <c r="F479" t="s">
        <v>8977</v>
      </c>
      <c r="G479" t="s">
        <v>74</v>
      </c>
      <c r="H479" t="s">
        <v>74</v>
      </c>
      <c r="I479" t="s">
        <v>8978</v>
      </c>
      <c r="J479" t="s">
        <v>958</v>
      </c>
      <c r="K479" t="s">
        <v>74</v>
      </c>
      <c r="L479" t="s">
        <v>74</v>
      </c>
      <c r="M479" t="s">
        <v>78</v>
      </c>
      <c r="N479" t="s">
        <v>79</v>
      </c>
      <c r="O479" t="s">
        <v>74</v>
      </c>
      <c r="P479" t="s">
        <v>74</v>
      </c>
      <c r="Q479" t="s">
        <v>74</v>
      </c>
      <c r="R479" t="s">
        <v>74</v>
      </c>
      <c r="S479" t="s">
        <v>74</v>
      </c>
      <c r="T479" t="s">
        <v>8979</v>
      </c>
      <c r="U479" t="s">
        <v>8980</v>
      </c>
      <c r="V479" t="s">
        <v>8981</v>
      </c>
      <c r="W479" t="s">
        <v>8982</v>
      </c>
      <c r="X479" t="s">
        <v>8983</v>
      </c>
      <c r="Y479" t="s">
        <v>8984</v>
      </c>
      <c r="Z479" t="s">
        <v>8985</v>
      </c>
      <c r="AA479" t="s">
        <v>74</v>
      </c>
      <c r="AB479" t="s">
        <v>8986</v>
      </c>
      <c r="AC479" t="s">
        <v>8987</v>
      </c>
      <c r="AD479" t="s">
        <v>8988</v>
      </c>
      <c r="AE479" t="s">
        <v>8989</v>
      </c>
      <c r="AF479" t="s">
        <v>74</v>
      </c>
      <c r="AG479">
        <v>60</v>
      </c>
      <c r="AH479">
        <v>136</v>
      </c>
      <c r="AI479">
        <v>147</v>
      </c>
      <c r="AJ479">
        <v>2</v>
      </c>
      <c r="AK479">
        <v>42</v>
      </c>
      <c r="AL479" t="s">
        <v>464</v>
      </c>
      <c r="AM479" t="s">
        <v>310</v>
      </c>
      <c r="AN479" t="s">
        <v>465</v>
      </c>
      <c r="AO479" t="s">
        <v>972</v>
      </c>
      <c r="AP479" t="s">
        <v>74</v>
      </c>
      <c r="AQ479" t="s">
        <v>74</v>
      </c>
      <c r="AR479" t="s">
        <v>974</v>
      </c>
      <c r="AS479" t="s">
        <v>975</v>
      </c>
      <c r="AT479" t="s">
        <v>7680</v>
      </c>
      <c r="AU479">
        <v>2010</v>
      </c>
      <c r="AV479">
        <v>12</v>
      </c>
      <c r="AW479">
        <v>4</v>
      </c>
      <c r="AX479" t="s">
        <v>74</v>
      </c>
      <c r="AY479" t="s">
        <v>74</v>
      </c>
      <c r="AZ479" t="s">
        <v>74</v>
      </c>
      <c r="BA479" t="s">
        <v>74</v>
      </c>
      <c r="BB479">
        <v>439</v>
      </c>
      <c r="BC479">
        <v>451</v>
      </c>
      <c r="BD479" t="s">
        <v>74</v>
      </c>
      <c r="BE479" t="s">
        <v>8990</v>
      </c>
      <c r="BF479" t="str">
        <f>HYPERLINK("http://dx.doi.org/10.1007/s10126-009-9233-y","http://dx.doi.org/10.1007/s10126-009-9233-y")</f>
        <v>http://dx.doi.org/10.1007/s10126-009-9233-y</v>
      </c>
      <c r="BG479" t="s">
        <v>74</v>
      </c>
      <c r="BH479" t="s">
        <v>74</v>
      </c>
      <c r="BI479">
        <v>13</v>
      </c>
      <c r="BJ479" t="s">
        <v>977</v>
      </c>
      <c r="BK479" t="s">
        <v>100</v>
      </c>
      <c r="BL479" t="s">
        <v>977</v>
      </c>
      <c r="BM479" t="s">
        <v>8991</v>
      </c>
      <c r="BN479">
        <v>19823914</v>
      </c>
      <c r="BO479" t="s">
        <v>74</v>
      </c>
      <c r="BP479" t="s">
        <v>74</v>
      </c>
      <c r="BQ479" t="s">
        <v>74</v>
      </c>
      <c r="BR479" t="s">
        <v>104</v>
      </c>
      <c r="BS479" t="s">
        <v>8992</v>
      </c>
      <c r="BT479" t="str">
        <f>HYPERLINK("https%3A%2F%2Fwww.webofscience.com%2Fwos%2Fwoscc%2Ffull-record%2FWOS:000280270300008","View Full Record in Web of Science")</f>
        <v>View Full Record in Web of Science</v>
      </c>
    </row>
    <row r="480" spans="1:72" x14ac:dyDescent="0.15">
      <c r="A480" t="s">
        <v>72</v>
      </c>
      <c r="B480" t="s">
        <v>8993</v>
      </c>
      <c r="C480" t="s">
        <v>74</v>
      </c>
      <c r="D480" t="s">
        <v>74</v>
      </c>
      <c r="E480" t="s">
        <v>74</v>
      </c>
      <c r="F480" t="s">
        <v>8994</v>
      </c>
      <c r="G480" t="s">
        <v>74</v>
      </c>
      <c r="H480" t="s">
        <v>74</v>
      </c>
      <c r="I480" t="s">
        <v>8995</v>
      </c>
      <c r="J480" t="s">
        <v>6524</v>
      </c>
      <c r="K480" t="s">
        <v>74</v>
      </c>
      <c r="L480" t="s">
        <v>74</v>
      </c>
      <c r="M480" t="s">
        <v>78</v>
      </c>
      <c r="N480" t="s">
        <v>79</v>
      </c>
      <c r="O480" t="s">
        <v>74</v>
      </c>
      <c r="P480" t="s">
        <v>74</v>
      </c>
      <c r="Q480" t="s">
        <v>74</v>
      </c>
      <c r="R480" t="s">
        <v>74</v>
      </c>
      <c r="S480" t="s">
        <v>74</v>
      </c>
      <c r="T480" t="s">
        <v>8996</v>
      </c>
      <c r="U480" t="s">
        <v>8997</v>
      </c>
      <c r="V480" t="s">
        <v>8998</v>
      </c>
      <c r="W480" t="s">
        <v>8999</v>
      </c>
      <c r="X480" t="s">
        <v>9000</v>
      </c>
      <c r="Y480" t="s">
        <v>9001</v>
      </c>
      <c r="Z480" t="s">
        <v>692</v>
      </c>
      <c r="AA480" t="s">
        <v>9002</v>
      </c>
      <c r="AB480" t="s">
        <v>74</v>
      </c>
      <c r="AC480" t="s">
        <v>9003</v>
      </c>
      <c r="AD480" t="s">
        <v>2843</v>
      </c>
      <c r="AE480" t="s">
        <v>74</v>
      </c>
      <c r="AF480" t="s">
        <v>74</v>
      </c>
      <c r="AG480">
        <v>14</v>
      </c>
      <c r="AH480">
        <v>173</v>
      </c>
      <c r="AI480">
        <v>195</v>
      </c>
      <c r="AJ480">
        <v>14</v>
      </c>
      <c r="AK480">
        <v>228</v>
      </c>
      <c r="AL480" t="s">
        <v>2438</v>
      </c>
      <c r="AM480" t="s">
        <v>265</v>
      </c>
      <c r="AN480" t="s">
        <v>2439</v>
      </c>
      <c r="AO480" t="s">
        <v>6534</v>
      </c>
      <c r="AP480" t="s">
        <v>74</v>
      </c>
      <c r="AQ480" t="s">
        <v>74</v>
      </c>
      <c r="AR480" t="s">
        <v>6536</v>
      </c>
      <c r="AS480" t="s">
        <v>6537</v>
      </c>
      <c r="AT480" t="s">
        <v>7680</v>
      </c>
      <c r="AU480">
        <v>2010</v>
      </c>
      <c r="AV480">
        <v>70</v>
      </c>
      <c r="AW480">
        <v>2</v>
      </c>
      <c r="AX480" t="s">
        <v>74</v>
      </c>
      <c r="AY480" t="s">
        <v>74</v>
      </c>
      <c r="AZ480" t="s">
        <v>74</v>
      </c>
      <c r="BA480" t="s">
        <v>74</v>
      </c>
      <c r="BB480">
        <v>250</v>
      </c>
      <c r="BC480">
        <v>252</v>
      </c>
      <c r="BD480" t="s">
        <v>74</v>
      </c>
      <c r="BE480" t="s">
        <v>9004</v>
      </c>
      <c r="BF480" t="str">
        <f>HYPERLINK("http://dx.doi.org/10.1016/j.marenvres.2010.05.006","http://dx.doi.org/10.1016/j.marenvres.2010.05.006")</f>
        <v>http://dx.doi.org/10.1016/j.marenvres.2010.05.006</v>
      </c>
      <c r="BG480" t="s">
        <v>74</v>
      </c>
      <c r="BH480" t="s">
        <v>74</v>
      </c>
      <c r="BI480">
        <v>3</v>
      </c>
      <c r="BJ480" t="s">
        <v>6539</v>
      </c>
      <c r="BK480" t="s">
        <v>100</v>
      </c>
      <c r="BL480" t="s">
        <v>6540</v>
      </c>
      <c r="BM480" t="s">
        <v>9005</v>
      </c>
      <c r="BN480">
        <v>20621773</v>
      </c>
      <c r="BO480" t="s">
        <v>74</v>
      </c>
      <c r="BP480" t="s">
        <v>74</v>
      </c>
      <c r="BQ480" t="s">
        <v>74</v>
      </c>
      <c r="BR480" t="s">
        <v>104</v>
      </c>
      <c r="BS480" t="s">
        <v>9006</v>
      </c>
      <c r="BT480" t="str">
        <f>HYPERLINK("https%3A%2F%2Fwww.webofscience.com%2Fwos%2Fwoscc%2Ffull-record%2FWOS:000280046400014","View Full Record in Web of Science")</f>
        <v>View Full Record in Web of Science</v>
      </c>
    </row>
    <row r="481" spans="1:72" x14ac:dyDescent="0.15">
      <c r="A481" t="s">
        <v>72</v>
      </c>
      <c r="B481" t="s">
        <v>9007</v>
      </c>
      <c r="C481" t="s">
        <v>74</v>
      </c>
      <c r="D481" t="s">
        <v>74</v>
      </c>
      <c r="E481" t="s">
        <v>74</v>
      </c>
      <c r="F481" t="s">
        <v>9008</v>
      </c>
      <c r="G481" t="s">
        <v>74</v>
      </c>
      <c r="H481" t="s">
        <v>74</v>
      </c>
      <c r="I481" t="s">
        <v>9009</v>
      </c>
      <c r="J481" t="s">
        <v>2234</v>
      </c>
      <c r="K481" t="s">
        <v>74</v>
      </c>
      <c r="L481" t="s">
        <v>74</v>
      </c>
      <c r="M481" t="s">
        <v>78</v>
      </c>
      <c r="N481" t="s">
        <v>79</v>
      </c>
      <c r="O481" t="s">
        <v>74</v>
      </c>
      <c r="P481" t="s">
        <v>74</v>
      </c>
      <c r="Q481" t="s">
        <v>74</v>
      </c>
      <c r="R481" t="s">
        <v>74</v>
      </c>
      <c r="S481" t="s">
        <v>74</v>
      </c>
      <c r="T481" t="s">
        <v>74</v>
      </c>
      <c r="U481" t="s">
        <v>9010</v>
      </c>
      <c r="V481" t="s">
        <v>9011</v>
      </c>
      <c r="W481" t="s">
        <v>9012</v>
      </c>
      <c r="X481" t="s">
        <v>9013</v>
      </c>
      <c r="Y481" t="s">
        <v>9014</v>
      </c>
      <c r="Z481" t="s">
        <v>9015</v>
      </c>
      <c r="AA481" t="s">
        <v>9016</v>
      </c>
      <c r="AB481" t="s">
        <v>9017</v>
      </c>
      <c r="AC481" t="s">
        <v>74</v>
      </c>
      <c r="AD481" t="s">
        <v>74</v>
      </c>
      <c r="AE481" t="s">
        <v>74</v>
      </c>
      <c r="AF481" t="s">
        <v>74</v>
      </c>
      <c r="AG481">
        <v>41</v>
      </c>
      <c r="AH481">
        <v>12</v>
      </c>
      <c r="AI481">
        <v>12</v>
      </c>
      <c r="AJ481">
        <v>0</v>
      </c>
      <c r="AK481">
        <v>7</v>
      </c>
      <c r="AL481" t="s">
        <v>338</v>
      </c>
      <c r="AM481" t="s">
        <v>673</v>
      </c>
      <c r="AN481" t="s">
        <v>674</v>
      </c>
      <c r="AO481" t="s">
        <v>2246</v>
      </c>
      <c r="AP481" t="s">
        <v>74</v>
      </c>
      <c r="AQ481" t="s">
        <v>74</v>
      </c>
      <c r="AR481" t="s">
        <v>2247</v>
      </c>
      <c r="AS481" t="s">
        <v>2248</v>
      </c>
      <c r="AT481" t="s">
        <v>7680</v>
      </c>
      <c r="AU481">
        <v>2010</v>
      </c>
      <c r="AV481">
        <v>45</v>
      </c>
      <c r="AW481">
        <v>8</v>
      </c>
      <c r="AX481" t="s">
        <v>74</v>
      </c>
      <c r="AY481" t="s">
        <v>74</v>
      </c>
      <c r="AZ481" t="s">
        <v>74</v>
      </c>
      <c r="BA481" t="s">
        <v>74</v>
      </c>
      <c r="BB481">
        <v>1320</v>
      </c>
      <c r="BC481">
        <v>1339</v>
      </c>
      <c r="BD481" t="s">
        <v>74</v>
      </c>
      <c r="BE481" t="s">
        <v>9018</v>
      </c>
      <c r="BF481" t="str">
        <f>HYPERLINK("http://dx.doi.org/10.1111/j.1945-5100.2010.01093.x","http://dx.doi.org/10.1111/j.1945-5100.2010.01093.x")</f>
        <v>http://dx.doi.org/10.1111/j.1945-5100.2010.01093.x</v>
      </c>
      <c r="BG481" t="s">
        <v>74</v>
      </c>
      <c r="BH481" t="s">
        <v>74</v>
      </c>
      <c r="BI481">
        <v>20</v>
      </c>
      <c r="BJ481" t="s">
        <v>558</v>
      </c>
      <c r="BK481" t="s">
        <v>100</v>
      </c>
      <c r="BL481" t="s">
        <v>558</v>
      </c>
      <c r="BM481" t="s">
        <v>9019</v>
      </c>
      <c r="BN481" t="s">
        <v>74</v>
      </c>
      <c r="BO481" t="s">
        <v>74</v>
      </c>
      <c r="BP481" t="s">
        <v>74</v>
      </c>
      <c r="BQ481" t="s">
        <v>74</v>
      </c>
      <c r="BR481" t="s">
        <v>104</v>
      </c>
      <c r="BS481" t="s">
        <v>9020</v>
      </c>
      <c r="BT481" t="str">
        <f>HYPERLINK("https%3A%2F%2Fwww.webofscience.com%2Fwos%2Fwoscc%2Ffull-record%2FWOS:000284427400007","View Full Record in Web of Science")</f>
        <v>View Full Record in Web of Science</v>
      </c>
    </row>
    <row r="482" spans="1:72" x14ac:dyDescent="0.15">
      <c r="A482" t="s">
        <v>72</v>
      </c>
      <c r="B482" t="s">
        <v>9021</v>
      </c>
      <c r="C482" t="s">
        <v>74</v>
      </c>
      <c r="D482" t="s">
        <v>74</v>
      </c>
      <c r="E482" t="s">
        <v>74</v>
      </c>
      <c r="F482" t="s">
        <v>9022</v>
      </c>
      <c r="G482" t="s">
        <v>74</v>
      </c>
      <c r="H482" t="s">
        <v>74</v>
      </c>
      <c r="I482" t="s">
        <v>9023</v>
      </c>
      <c r="J482" t="s">
        <v>1005</v>
      </c>
      <c r="K482" t="s">
        <v>74</v>
      </c>
      <c r="L482" t="s">
        <v>74</v>
      </c>
      <c r="M482" t="s">
        <v>78</v>
      </c>
      <c r="N482" t="s">
        <v>239</v>
      </c>
      <c r="O482" t="s">
        <v>74</v>
      </c>
      <c r="P482" t="s">
        <v>74</v>
      </c>
      <c r="Q482" t="s">
        <v>74</v>
      </c>
      <c r="R482" t="s">
        <v>74</v>
      </c>
      <c r="S482" t="s">
        <v>74</v>
      </c>
      <c r="T482" t="s">
        <v>74</v>
      </c>
      <c r="U482" t="s">
        <v>74</v>
      </c>
      <c r="V482" t="s">
        <v>74</v>
      </c>
      <c r="W482" t="s">
        <v>9024</v>
      </c>
      <c r="X482" t="s">
        <v>9025</v>
      </c>
      <c r="Y482" t="s">
        <v>9026</v>
      </c>
      <c r="Z482" t="s">
        <v>9027</v>
      </c>
      <c r="AA482" t="s">
        <v>9028</v>
      </c>
      <c r="AB482" t="s">
        <v>9029</v>
      </c>
      <c r="AC482" t="s">
        <v>74</v>
      </c>
      <c r="AD482" t="s">
        <v>74</v>
      </c>
      <c r="AE482" t="s">
        <v>74</v>
      </c>
      <c r="AF482" t="s">
        <v>74</v>
      </c>
      <c r="AG482">
        <v>1</v>
      </c>
      <c r="AH482">
        <v>0</v>
      </c>
      <c r="AI482">
        <v>0</v>
      </c>
      <c r="AJ482">
        <v>0</v>
      </c>
      <c r="AK482">
        <v>4</v>
      </c>
      <c r="AL482" t="s">
        <v>464</v>
      </c>
      <c r="AM482" t="s">
        <v>310</v>
      </c>
      <c r="AN482" t="s">
        <v>465</v>
      </c>
      <c r="AO482" t="s">
        <v>1017</v>
      </c>
      <c r="AP482" t="s">
        <v>74</v>
      </c>
      <c r="AQ482" t="s">
        <v>74</v>
      </c>
      <c r="AR482" t="s">
        <v>1019</v>
      </c>
      <c r="AS482" t="s">
        <v>1020</v>
      </c>
      <c r="AT482" t="s">
        <v>7680</v>
      </c>
      <c r="AU482">
        <v>2010</v>
      </c>
      <c r="AV482">
        <v>60</v>
      </c>
      <c r="AW482">
        <v>2</v>
      </c>
      <c r="AX482" t="s">
        <v>74</v>
      </c>
      <c r="AY482" t="s">
        <v>74</v>
      </c>
      <c r="AZ482" t="s">
        <v>74</v>
      </c>
      <c r="BA482" t="s">
        <v>74</v>
      </c>
      <c r="BB482">
        <v>476</v>
      </c>
      <c r="BC482">
        <v>478</v>
      </c>
      <c r="BD482" t="s">
        <v>74</v>
      </c>
      <c r="BE482" t="s">
        <v>9030</v>
      </c>
      <c r="BF482" t="str">
        <f>HYPERLINK("http://dx.doi.org/10.1007/s00248-010-9655-0","http://dx.doi.org/10.1007/s00248-010-9655-0")</f>
        <v>http://dx.doi.org/10.1007/s00248-010-9655-0</v>
      </c>
      <c r="BG482" t="s">
        <v>74</v>
      </c>
      <c r="BH482" t="s">
        <v>74</v>
      </c>
      <c r="BI482">
        <v>3</v>
      </c>
      <c r="BJ482" t="s">
        <v>1022</v>
      </c>
      <c r="BK482" t="s">
        <v>100</v>
      </c>
      <c r="BL482" t="s">
        <v>1023</v>
      </c>
      <c r="BM482" t="s">
        <v>9031</v>
      </c>
      <c r="BN482" t="s">
        <v>74</v>
      </c>
      <c r="BO482" t="s">
        <v>394</v>
      </c>
      <c r="BP482" t="s">
        <v>74</v>
      </c>
      <c r="BQ482" t="s">
        <v>74</v>
      </c>
      <c r="BR482" t="s">
        <v>104</v>
      </c>
      <c r="BS482" t="s">
        <v>9032</v>
      </c>
      <c r="BT482" t="str">
        <f>HYPERLINK("https%3A%2F%2Fwww.webofscience.com%2Fwos%2Fwoscc%2Ffull-record%2FWOS:000281981300021","View Full Record in Web of Science")</f>
        <v>View Full Record in Web of Science</v>
      </c>
    </row>
    <row r="483" spans="1:72" x14ac:dyDescent="0.15">
      <c r="A483" t="s">
        <v>72</v>
      </c>
      <c r="B483" t="s">
        <v>9033</v>
      </c>
      <c r="C483" t="s">
        <v>74</v>
      </c>
      <c r="D483" t="s">
        <v>74</v>
      </c>
      <c r="E483" t="s">
        <v>74</v>
      </c>
      <c r="F483" t="s">
        <v>9034</v>
      </c>
      <c r="G483" t="s">
        <v>74</v>
      </c>
      <c r="H483" t="s">
        <v>74</v>
      </c>
      <c r="I483" t="s">
        <v>9035</v>
      </c>
      <c r="J483" t="s">
        <v>1174</v>
      </c>
      <c r="K483" t="s">
        <v>74</v>
      </c>
      <c r="L483" t="s">
        <v>74</v>
      </c>
      <c r="M483" t="s">
        <v>78</v>
      </c>
      <c r="N483" t="s">
        <v>79</v>
      </c>
      <c r="O483" t="s">
        <v>74</v>
      </c>
      <c r="P483" t="s">
        <v>74</v>
      </c>
      <c r="Q483" t="s">
        <v>74</v>
      </c>
      <c r="R483" t="s">
        <v>74</v>
      </c>
      <c r="S483" t="s">
        <v>74</v>
      </c>
      <c r="T483" t="s">
        <v>74</v>
      </c>
      <c r="U483" t="s">
        <v>9036</v>
      </c>
      <c r="V483" t="s">
        <v>9037</v>
      </c>
      <c r="W483" t="s">
        <v>9038</v>
      </c>
      <c r="X483" t="s">
        <v>9039</v>
      </c>
      <c r="Y483" t="s">
        <v>9040</v>
      </c>
      <c r="Z483" t="s">
        <v>9041</v>
      </c>
      <c r="AA483" t="s">
        <v>9042</v>
      </c>
      <c r="AB483" t="s">
        <v>9043</v>
      </c>
      <c r="AC483" t="s">
        <v>9044</v>
      </c>
      <c r="AD483" t="s">
        <v>9045</v>
      </c>
      <c r="AE483" t="s">
        <v>9046</v>
      </c>
      <c r="AF483" t="s">
        <v>74</v>
      </c>
      <c r="AG483">
        <v>30</v>
      </c>
      <c r="AH483">
        <v>58</v>
      </c>
      <c r="AI483">
        <v>64</v>
      </c>
      <c r="AJ483">
        <v>0</v>
      </c>
      <c r="AK483">
        <v>14</v>
      </c>
      <c r="AL483" t="s">
        <v>1774</v>
      </c>
      <c r="AM483" t="s">
        <v>310</v>
      </c>
      <c r="AN483" t="s">
        <v>3962</v>
      </c>
      <c r="AO483" t="s">
        <v>1189</v>
      </c>
      <c r="AP483" t="s">
        <v>1190</v>
      </c>
      <c r="AQ483" t="s">
        <v>74</v>
      </c>
      <c r="AR483" t="s">
        <v>1191</v>
      </c>
      <c r="AS483" t="s">
        <v>1192</v>
      </c>
      <c r="AT483" t="s">
        <v>7680</v>
      </c>
      <c r="AU483">
        <v>2010</v>
      </c>
      <c r="AV483">
        <v>3</v>
      </c>
      <c r="AW483">
        <v>8</v>
      </c>
      <c r="AX483" t="s">
        <v>74</v>
      </c>
      <c r="AY483" t="s">
        <v>74</v>
      </c>
      <c r="AZ483" t="s">
        <v>74</v>
      </c>
      <c r="BA483" t="s">
        <v>74</v>
      </c>
      <c r="BB483">
        <v>551</v>
      </c>
      <c r="BC483">
        <v>556</v>
      </c>
      <c r="BD483" t="s">
        <v>74</v>
      </c>
      <c r="BE483" t="s">
        <v>9047</v>
      </c>
      <c r="BF483" t="str">
        <f>HYPERLINK("http://dx.doi.org/10.1038/ngeo916","http://dx.doi.org/10.1038/ngeo916")</f>
        <v>http://dx.doi.org/10.1038/ngeo916</v>
      </c>
      <c r="BG483" t="s">
        <v>74</v>
      </c>
      <c r="BH483" t="s">
        <v>74</v>
      </c>
      <c r="BI483">
        <v>6</v>
      </c>
      <c r="BJ483" t="s">
        <v>1194</v>
      </c>
      <c r="BK483" t="s">
        <v>100</v>
      </c>
      <c r="BL483" t="s">
        <v>807</v>
      </c>
      <c r="BM483" t="s">
        <v>9048</v>
      </c>
      <c r="BN483" t="s">
        <v>74</v>
      </c>
      <c r="BO483" t="s">
        <v>74</v>
      </c>
      <c r="BP483" t="s">
        <v>74</v>
      </c>
      <c r="BQ483" t="s">
        <v>74</v>
      </c>
      <c r="BR483" t="s">
        <v>104</v>
      </c>
      <c r="BS483" t="s">
        <v>9049</v>
      </c>
      <c r="BT483" t="str">
        <f>HYPERLINK("https%3A%2F%2Fwww.webofscience.com%2Fwos%2Fwoscc%2Ffull-record%2FWOS:000281467500015","View Full Record in Web of Science")</f>
        <v>View Full Record in Web of Science</v>
      </c>
    </row>
    <row r="484" spans="1:72" x14ac:dyDescent="0.15">
      <c r="A484" t="s">
        <v>72</v>
      </c>
      <c r="B484" t="s">
        <v>9050</v>
      </c>
      <c r="C484" t="s">
        <v>74</v>
      </c>
      <c r="D484" t="s">
        <v>74</v>
      </c>
      <c r="E484" t="s">
        <v>74</v>
      </c>
      <c r="F484" t="s">
        <v>9051</v>
      </c>
      <c r="G484" t="s">
        <v>74</v>
      </c>
      <c r="H484" t="s">
        <v>74</v>
      </c>
      <c r="I484" t="s">
        <v>9052</v>
      </c>
      <c r="J484" t="s">
        <v>1174</v>
      </c>
      <c r="K484" t="s">
        <v>74</v>
      </c>
      <c r="L484" t="s">
        <v>74</v>
      </c>
      <c r="M484" t="s">
        <v>78</v>
      </c>
      <c r="N484" t="s">
        <v>79</v>
      </c>
      <c r="O484" t="s">
        <v>74</v>
      </c>
      <c r="P484" t="s">
        <v>74</v>
      </c>
      <c r="Q484" t="s">
        <v>74</v>
      </c>
      <c r="R484" t="s">
        <v>74</v>
      </c>
      <c r="S484" t="s">
        <v>74</v>
      </c>
      <c r="T484" t="s">
        <v>74</v>
      </c>
      <c r="U484" t="s">
        <v>9053</v>
      </c>
      <c r="V484" t="s">
        <v>9054</v>
      </c>
      <c r="W484" t="s">
        <v>9055</v>
      </c>
      <c r="X484" t="s">
        <v>9056</v>
      </c>
      <c r="Y484" t="s">
        <v>9057</v>
      </c>
      <c r="Z484" t="s">
        <v>9058</v>
      </c>
      <c r="AA484" t="s">
        <v>9059</v>
      </c>
      <c r="AB484" t="s">
        <v>9060</v>
      </c>
      <c r="AC484" t="s">
        <v>9061</v>
      </c>
      <c r="AD484" t="s">
        <v>9062</v>
      </c>
      <c r="AE484" t="s">
        <v>9063</v>
      </c>
      <c r="AF484" t="s">
        <v>74</v>
      </c>
      <c r="AG484">
        <v>35</v>
      </c>
      <c r="AH484">
        <v>103</v>
      </c>
      <c r="AI484">
        <v>118</v>
      </c>
      <c r="AJ484">
        <v>3</v>
      </c>
      <c r="AK484">
        <v>74</v>
      </c>
      <c r="AL484" t="s">
        <v>1774</v>
      </c>
      <c r="AM484" t="s">
        <v>310</v>
      </c>
      <c r="AN484" t="s">
        <v>3962</v>
      </c>
      <c r="AO484" t="s">
        <v>1189</v>
      </c>
      <c r="AP484" t="s">
        <v>1190</v>
      </c>
      <c r="AQ484" t="s">
        <v>74</v>
      </c>
      <c r="AR484" t="s">
        <v>1191</v>
      </c>
      <c r="AS484" t="s">
        <v>1192</v>
      </c>
      <c r="AT484" t="s">
        <v>7680</v>
      </c>
      <c r="AU484">
        <v>2010</v>
      </c>
      <c r="AV484">
        <v>3</v>
      </c>
      <c r="AW484">
        <v>8</v>
      </c>
      <c r="AX484" t="s">
        <v>74</v>
      </c>
      <c r="AY484" t="s">
        <v>74</v>
      </c>
      <c r="AZ484" t="s">
        <v>74</v>
      </c>
      <c r="BA484" t="s">
        <v>74</v>
      </c>
      <c r="BB484">
        <v>567</v>
      </c>
      <c r="BC484">
        <v>571</v>
      </c>
      <c r="BD484" t="s">
        <v>74</v>
      </c>
      <c r="BE484" t="s">
        <v>9064</v>
      </c>
      <c r="BF484" t="str">
        <f>HYPERLINK("http://dx.doi.org/10.1038/ngeo921","http://dx.doi.org/10.1038/ngeo921")</f>
        <v>http://dx.doi.org/10.1038/ngeo921</v>
      </c>
      <c r="BG484" t="s">
        <v>74</v>
      </c>
      <c r="BH484" t="s">
        <v>74</v>
      </c>
      <c r="BI484">
        <v>5</v>
      </c>
      <c r="BJ484" t="s">
        <v>1194</v>
      </c>
      <c r="BK484" t="s">
        <v>100</v>
      </c>
      <c r="BL484" t="s">
        <v>807</v>
      </c>
      <c r="BM484" t="s">
        <v>9048</v>
      </c>
      <c r="BN484" t="s">
        <v>74</v>
      </c>
      <c r="BO484" t="s">
        <v>74</v>
      </c>
      <c r="BP484" t="s">
        <v>74</v>
      </c>
      <c r="BQ484" t="s">
        <v>74</v>
      </c>
      <c r="BR484" t="s">
        <v>104</v>
      </c>
      <c r="BS484" t="s">
        <v>9065</v>
      </c>
      <c r="BT484" t="str">
        <f>HYPERLINK("https%3A%2F%2Fwww.webofscience.com%2Fwos%2Fwoscc%2Ffull-record%2FWOS:000281467500018","View Full Record in Web of Science")</f>
        <v>View Full Record in Web of Science</v>
      </c>
    </row>
    <row r="485" spans="1:72" x14ac:dyDescent="0.15">
      <c r="A485" t="s">
        <v>72</v>
      </c>
      <c r="B485" t="s">
        <v>9066</v>
      </c>
      <c r="C485" t="s">
        <v>74</v>
      </c>
      <c r="D485" t="s">
        <v>74</v>
      </c>
      <c r="E485" t="s">
        <v>74</v>
      </c>
      <c r="F485" t="s">
        <v>9067</v>
      </c>
      <c r="G485" t="s">
        <v>74</v>
      </c>
      <c r="H485" t="s">
        <v>74</v>
      </c>
      <c r="I485" t="s">
        <v>9068</v>
      </c>
      <c r="J485" t="s">
        <v>9069</v>
      </c>
      <c r="K485" t="s">
        <v>74</v>
      </c>
      <c r="L485" t="s">
        <v>74</v>
      </c>
      <c r="M485" t="s">
        <v>78</v>
      </c>
      <c r="N485" t="s">
        <v>1959</v>
      </c>
      <c r="O485" t="s">
        <v>74</v>
      </c>
      <c r="P485" t="s">
        <v>74</v>
      </c>
      <c r="Q485" t="s">
        <v>74</v>
      </c>
      <c r="R485" t="s">
        <v>74</v>
      </c>
      <c r="S485" t="s">
        <v>74</v>
      </c>
      <c r="T485" t="s">
        <v>74</v>
      </c>
      <c r="U485" t="s">
        <v>74</v>
      </c>
      <c r="V485" t="s">
        <v>74</v>
      </c>
      <c r="W485" t="s">
        <v>74</v>
      </c>
      <c r="X485" t="s">
        <v>74</v>
      </c>
      <c r="Y485" t="s">
        <v>74</v>
      </c>
      <c r="Z485" t="s">
        <v>74</v>
      </c>
      <c r="AA485" t="s">
        <v>74</v>
      </c>
      <c r="AB485" t="s">
        <v>74</v>
      </c>
      <c r="AC485" t="s">
        <v>74</v>
      </c>
      <c r="AD485" t="s">
        <v>74</v>
      </c>
      <c r="AE485" t="s">
        <v>74</v>
      </c>
      <c r="AF485" t="s">
        <v>74</v>
      </c>
      <c r="AG485">
        <v>1</v>
      </c>
      <c r="AH485">
        <v>0</v>
      </c>
      <c r="AI485">
        <v>0</v>
      </c>
      <c r="AJ485">
        <v>0</v>
      </c>
      <c r="AK485">
        <v>1</v>
      </c>
      <c r="AL485" t="s">
        <v>338</v>
      </c>
      <c r="AM485" t="s">
        <v>673</v>
      </c>
      <c r="AN485" t="s">
        <v>674</v>
      </c>
      <c r="AO485" t="s">
        <v>9070</v>
      </c>
      <c r="AP485" t="s">
        <v>74</v>
      </c>
      <c r="AQ485" t="s">
        <v>74</v>
      </c>
      <c r="AR485" t="s">
        <v>9071</v>
      </c>
      <c r="AS485" t="s">
        <v>9072</v>
      </c>
      <c r="AT485" t="s">
        <v>7680</v>
      </c>
      <c r="AU485">
        <v>2010</v>
      </c>
      <c r="AV485">
        <v>66</v>
      </c>
      <c r="AW485">
        <v>2</v>
      </c>
      <c r="AX485" t="s">
        <v>74</v>
      </c>
      <c r="AY485" t="s">
        <v>74</v>
      </c>
      <c r="AZ485" t="s">
        <v>74</v>
      </c>
      <c r="BA485" t="s">
        <v>74</v>
      </c>
      <c r="BB485">
        <v>177</v>
      </c>
      <c r="BC485">
        <v>178</v>
      </c>
      <c r="BD485" t="s">
        <v>74</v>
      </c>
      <c r="BE485" t="s">
        <v>9073</v>
      </c>
      <c r="BF485" t="str">
        <f>HYPERLINK("http://dx.doi.org/10.1111/j.1745-7939.2010.01183_8.x","http://dx.doi.org/10.1111/j.1745-7939.2010.01183_8.x")</f>
        <v>http://dx.doi.org/10.1111/j.1745-7939.2010.01183_8.x</v>
      </c>
      <c r="BG485" t="s">
        <v>74</v>
      </c>
      <c r="BH485" t="s">
        <v>74</v>
      </c>
      <c r="BI485">
        <v>2</v>
      </c>
      <c r="BJ485" t="s">
        <v>8519</v>
      </c>
      <c r="BK485" t="s">
        <v>1966</v>
      </c>
      <c r="BL485" t="s">
        <v>8519</v>
      </c>
      <c r="BM485" t="s">
        <v>9074</v>
      </c>
      <c r="BN485" t="s">
        <v>74</v>
      </c>
      <c r="BO485" t="s">
        <v>74</v>
      </c>
      <c r="BP485" t="s">
        <v>74</v>
      </c>
      <c r="BQ485" t="s">
        <v>74</v>
      </c>
      <c r="BR485" t="s">
        <v>104</v>
      </c>
      <c r="BS485" t="s">
        <v>9075</v>
      </c>
      <c r="BT485" t="str">
        <f>HYPERLINK("https%3A%2F%2Fwww.webofscience.com%2Fwos%2Fwoscc%2Ffull-record%2FWOS:000280152100013","View Full Record in Web of Science")</f>
        <v>View Full Record in Web of Science</v>
      </c>
    </row>
    <row r="486" spans="1:72" x14ac:dyDescent="0.15">
      <c r="A486" t="s">
        <v>72</v>
      </c>
      <c r="B486" t="s">
        <v>9076</v>
      </c>
      <c r="C486" t="s">
        <v>74</v>
      </c>
      <c r="D486" t="s">
        <v>74</v>
      </c>
      <c r="E486" t="s">
        <v>74</v>
      </c>
      <c r="F486" t="s">
        <v>9077</v>
      </c>
      <c r="G486" t="s">
        <v>74</v>
      </c>
      <c r="H486" t="s">
        <v>74</v>
      </c>
      <c r="I486" t="s">
        <v>9078</v>
      </c>
      <c r="J486" t="s">
        <v>9079</v>
      </c>
      <c r="K486" t="s">
        <v>74</v>
      </c>
      <c r="L486" t="s">
        <v>74</v>
      </c>
      <c r="M486" t="s">
        <v>78</v>
      </c>
      <c r="N486" t="s">
        <v>79</v>
      </c>
      <c r="O486" t="s">
        <v>74</v>
      </c>
      <c r="P486" t="s">
        <v>74</v>
      </c>
      <c r="Q486" t="s">
        <v>74</v>
      </c>
      <c r="R486" t="s">
        <v>74</v>
      </c>
      <c r="S486" t="s">
        <v>74</v>
      </c>
      <c r="T486" t="s">
        <v>9080</v>
      </c>
      <c r="U486" t="s">
        <v>9081</v>
      </c>
      <c r="V486" t="s">
        <v>9082</v>
      </c>
      <c r="W486" t="s">
        <v>9083</v>
      </c>
      <c r="X486" t="s">
        <v>9084</v>
      </c>
      <c r="Y486" t="s">
        <v>9085</v>
      </c>
      <c r="Z486" t="s">
        <v>9086</v>
      </c>
      <c r="AA486" t="s">
        <v>9087</v>
      </c>
      <c r="AB486" t="s">
        <v>9088</v>
      </c>
      <c r="AC486" t="s">
        <v>9089</v>
      </c>
      <c r="AD486" t="s">
        <v>9090</v>
      </c>
      <c r="AE486" t="s">
        <v>9091</v>
      </c>
      <c r="AF486" t="s">
        <v>74</v>
      </c>
      <c r="AG486">
        <v>43</v>
      </c>
      <c r="AH486">
        <v>41</v>
      </c>
      <c r="AI486">
        <v>44</v>
      </c>
      <c r="AJ486">
        <v>1</v>
      </c>
      <c r="AK486">
        <v>23</v>
      </c>
      <c r="AL486" t="s">
        <v>945</v>
      </c>
      <c r="AM486" t="s">
        <v>946</v>
      </c>
      <c r="AN486" t="s">
        <v>947</v>
      </c>
      <c r="AO486" t="s">
        <v>9092</v>
      </c>
      <c r="AP486" t="s">
        <v>9093</v>
      </c>
      <c r="AQ486" t="s">
        <v>74</v>
      </c>
      <c r="AR486" t="s">
        <v>9094</v>
      </c>
      <c r="AS486" t="s">
        <v>9095</v>
      </c>
      <c r="AT486" t="s">
        <v>7680</v>
      </c>
      <c r="AU486">
        <v>2010</v>
      </c>
      <c r="AV486">
        <v>60</v>
      </c>
      <c r="AW486">
        <v>4</v>
      </c>
      <c r="AX486" t="s">
        <v>74</v>
      </c>
      <c r="AY486" t="s">
        <v>74</v>
      </c>
      <c r="AZ486" t="s">
        <v>74</v>
      </c>
      <c r="BA486" t="s">
        <v>74</v>
      </c>
      <c r="BB486">
        <v>791</v>
      </c>
      <c r="BC486">
        <v>801</v>
      </c>
      <c r="BD486" t="s">
        <v>74</v>
      </c>
      <c r="BE486" t="s">
        <v>9096</v>
      </c>
      <c r="BF486" t="str">
        <f>HYPERLINK("http://dx.doi.org/10.1007/s10236-010-0288-0","http://dx.doi.org/10.1007/s10236-010-0288-0")</f>
        <v>http://dx.doi.org/10.1007/s10236-010-0288-0</v>
      </c>
      <c r="BG486" t="s">
        <v>74</v>
      </c>
      <c r="BH486" t="s">
        <v>74</v>
      </c>
      <c r="BI486">
        <v>11</v>
      </c>
      <c r="BJ486" t="s">
        <v>1531</v>
      </c>
      <c r="BK486" t="s">
        <v>100</v>
      </c>
      <c r="BL486" t="s">
        <v>1531</v>
      </c>
      <c r="BM486" t="s">
        <v>9097</v>
      </c>
      <c r="BN486" t="s">
        <v>74</v>
      </c>
      <c r="BO486" t="s">
        <v>5713</v>
      </c>
      <c r="BP486" t="s">
        <v>74</v>
      </c>
      <c r="BQ486" t="s">
        <v>74</v>
      </c>
      <c r="BR486" t="s">
        <v>104</v>
      </c>
      <c r="BS486" t="s">
        <v>9098</v>
      </c>
      <c r="BT486" t="str">
        <f>HYPERLINK("https%3A%2F%2Fwww.webofscience.com%2Fwos%2Fwoscc%2Ffull-record%2FWOS:000280728400002","View Full Record in Web of Science")</f>
        <v>View Full Record in Web of Science</v>
      </c>
    </row>
    <row r="487" spans="1:72" x14ac:dyDescent="0.15">
      <c r="A487" t="s">
        <v>72</v>
      </c>
      <c r="B487" t="s">
        <v>9099</v>
      </c>
      <c r="C487" t="s">
        <v>74</v>
      </c>
      <c r="D487" t="s">
        <v>74</v>
      </c>
      <c r="E487" t="s">
        <v>74</v>
      </c>
      <c r="F487" t="s">
        <v>9100</v>
      </c>
      <c r="G487" t="s">
        <v>74</v>
      </c>
      <c r="H487" t="s">
        <v>74</v>
      </c>
      <c r="I487" t="s">
        <v>9101</v>
      </c>
      <c r="J487" t="s">
        <v>9102</v>
      </c>
      <c r="K487" t="s">
        <v>74</v>
      </c>
      <c r="L487" t="s">
        <v>74</v>
      </c>
      <c r="M487" t="s">
        <v>78</v>
      </c>
      <c r="N487" t="s">
        <v>79</v>
      </c>
      <c r="O487" t="s">
        <v>74</v>
      </c>
      <c r="P487" t="s">
        <v>74</v>
      </c>
      <c r="Q487" t="s">
        <v>74</v>
      </c>
      <c r="R487" t="s">
        <v>74</v>
      </c>
      <c r="S487" t="s">
        <v>74</v>
      </c>
      <c r="T487" t="s">
        <v>74</v>
      </c>
      <c r="U487" t="s">
        <v>9103</v>
      </c>
      <c r="V487" t="s">
        <v>9104</v>
      </c>
      <c r="W487" t="s">
        <v>9105</v>
      </c>
      <c r="X487" t="s">
        <v>9106</v>
      </c>
      <c r="Y487" t="s">
        <v>9107</v>
      </c>
      <c r="Z487" t="s">
        <v>9108</v>
      </c>
      <c r="AA487" t="s">
        <v>9109</v>
      </c>
      <c r="AB487" t="s">
        <v>9110</v>
      </c>
      <c r="AC487" t="s">
        <v>9111</v>
      </c>
      <c r="AD487" t="s">
        <v>9112</v>
      </c>
      <c r="AE487" t="s">
        <v>9113</v>
      </c>
      <c r="AF487" t="s">
        <v>74</v>
      </c>
      <c r="AG487">
        <v>30</v>
      </c>
      <c r="AH487">
        <v>6</v>
      </c>
      <c r="AI487">
        <v>6</v>
      </c>
      <c r="AJ487">
        <v>0</v>
      </c>
      <c r="AK487">
        <v>2</v>
      </c>
      <c r="AL487" t="s">
        <v>3198</v>
      </c>
      <c r="AM487" t="s">
        <v>310</v>
      </c>
      <c r="AN487" t="s">
        <v>3199</v>
      </c>
      <c r="AO487" t="s">
        <v>9114</v>
      </c>
      <c r="AP487" t="s">
        <v>74</v>
      </c>
      <c r="AQ487" t="s">
        <v>74</v>
      </c>
      <c r="AR487" t="s">
        <v>9115</v>
      </c>
      <c r="AS487" t="s">
        <v>9116</v>
      </c>
      <c r="AT487" t="s">
        <v>7680</v>
      </c>
      <c r="AU487">
        <v>2010</v>
      </c>
      <c r="AV487">
        <v>50</v>
      </c>
      <c r="AW487">
        <v>4</v>
      </c>
      <c r="AX487" t="s">
        <v>74</v>
      </c>
      <c r="AY487" t="s">
        <v>74</v>
      </c>
      <c r="AZ487" t="s">
        <v>74</v>
      </c>
      <c r="BA487" t="s">
        <v>74</v>
      </c>
      <c r="BB487">
        <v>513</v>
      </c>
      <c r="BC487">
        <v>521</v>
      </c>
      <c r="BD487" t="s">
        <v>74</v>
      </c>
      <c r="BE487" t="s">
        <v>9117</v>
      </c>
      <c r="BF487" t="str">
        <f>HYPERLINK("http://dx.doi.org/10.1134/S0001437010040077","http://dx.doi.org/10.1134/S0001437010040077")</f>
        <v>http://dx.doi.org/10.1134/S0001437010040077</v>
      </c>
      <c r="BG487" t="s">
        <v>74</v>
      </c>
      <c r="BH487" t="s">
        <v>74</v>
      </c>
      <c r="BI487">
        <v>9</v>
      </c>
      <c r="BJ487" t="s">
        <v>1531</v>
      </c>
      <c r="BK487" t="s">
        <v>100</v>
      </c>
      <c r="BL487" t="s">
        <v>1531</v>
      </c>
      <c r="BM487" t="s">
        <v>9118</v>
      </c>
      <c r="BN487" t="s">
        <v>74</v>
      </c>
      <c r="BO487" t="s">
        <v>74</v>
      </c>
      <c r="BP487" t="s">
        <v>74</v>
      </c>
      <c r="BQ487" t="s">
        <v>74</v>
      </c>
      <c r="BR487" t="s">
        <v>104</v>
      </c>
      <c r="BS487" t="s">
        <v>9119</v>
      </c>
      <c r="BT487" t="str">
        <f>HYPERLINK("https%3A%2F%2Fwww.webofscience.com%2Fwos%2Fwoscc%2Ffull-record%2FWOS:000281543100007","View Full Record in Web of Science")</f>
        <v>View Full Record in Web of Science</v>
      </c>
    </row>
    <row r="488" spans="1:72" x14ac:dyDescent="0.15">
      <c r="A488" t="s">
        <v>72</v>
      </c>
      <c r="B488" t="s">
        <v>9120</v>
      </c>
      <c r="C488" t="s">
        <v>74</v>
      </c>
      <c r="D488" t="s">
        <v>74</v>
      </c>
      <c r="E488" t="s">
        <v>74</v>
      </c>
      <c r="F488" t="s">
        <v>9121</v>
      </c>
      <c r="G488" t="s">
        <v>74</v>
      </c>
      <c r="H488" t="s">
        <v>74</v>
      </c>
      <c r="I488" t="s">
        <v>9122</v>
      </c>
      <c r="J488" t="s">
        <v>9123</v>
      </c>
      <c r="K488" t="s">
        <v>74</v>
      </c>
      <c r="L488" t="s">
        <v>74</v>
      </c>
      <c r="M488" t="s">
        <v>78</v>
      </c>
      <c r="N488" t="s">
        <v>79</v>
      </c>
      <c r="O488" t="s">
        <v>74</v>
      </c>
      <c r="P488" t="s">
        <v>74</v>
      </c>
      <c r="Q488" t="s">
        <v>74</v>
      </c>
      <c r="R488" t="s">
        <v>74</v>
      </c>
      <c r="S488" t="s">
        <v>74</v>
      </c>
      <c r="T488" t="s">
        <v>74</v>
      </c>
      <c r="U488" t="s">
        <v>9124</v>
      </c>
      <c r="V488" t="s">
        <v>9125</v>
      </c>
      <c r="W488" t="s">
        <v>9126</v>
      </c>
      <c r="X488" t="s">
        <v>9127</v>
      </c>
      <c r="Y488" t="s">
        <v>9128</v>
      </c>
      <c r="Z488" t="s">
        <v>9129</v>
      </c>
      <c r="AA488" t="s">
        <v>9130</v>
      </c>
      <c r="AB488" t="s">
        <v>9131</v>
      </c>
      <c r="AC488" t="s">
        <v>9132</v>
      </c>
      <c r="AD488" t="s">
        <v>9133</v>
      </c>
      <c r="AE488" t="s">
        <v>9134</v>
      </c>
      <c r="AF488" t="s">
        <v>74</v>
      </c>
      <c r="AG488">
        <v>86</v>
      </c>
      <c r="AH488">
        <v>9</v>
      </c>
      <c r="AI488">
        <v>9</v>
      </c>
      <c r="AJ488">
        <v>0</v>
      </c>
      <c r="AK488">
        <v>13</v>
      </c>
      <c r="AL488" t="s">
        <v>264</v>
      </c>
      <c r="AM488" t="s">
        <v>265</v>
      </c>
      <c r="AN488" t="s">
        <v>266</v>
      </c>
      <c r="AO488" t="s">
        <v>9135</v>
      </c>
      <c r="AP488" t="s">
        <v>74</v>
      </c>
      <c r="AQ488" t="s">
        <v>74</v>
      </c>
      <c r="AR488" t="s">
        <v>9136</v>
      </c>
      <c r="AS488" t="s">
        <v>9137</v>
      </c>
      <c r="AT488" t="s">
        <v>7680</v>
      </c>
      <c r="AU488">
        <v>2010</v>
      </c>
      <c r="AV488">
        <v>41</v>
      </c>
      <c r="AW488">
        <v>8</v>
      </c>
      <c r="AX488" t="s">
        <v>74</v>
      </c>
      <c r="AY488" t="s">
        <v>74</v>
      </c>
      <c r="AZ488" t="s">
        <v>74</v>
      </c>
      <c r="BA488" t="s">
        <v>74</v>
      </c>
      <c r="BB488">
        <v>767</v>
      </c>
      <c r="BC488">
        <v>778</v>
      </c>
      <c r="BD488" t="s">
        <v>74</v>
      </c>
      <c r="BE488" t="s">
        <v>9138</v>
      </c>
      <c r="BF488" t="str">
        <f>HYPERLINK("http://dx.doi.org/10.1016/j.orggeochem.2010.05.014","http://dx.doi.org/10.1016/j.orggeochem.2010.05.014")</f>
        <v>http://dx.doi.org/10.1016/j.orggeochem.2010.05.014</v>
      </c>
      <c r="BG488" t="s">
        <v>74</v>
      </c>
      <c r="BH488" t="s">
        <v>74</v>
      </c>
      <c r="BI488">
        <v>12</v>
      </c>
      <c r="BJ488" t="s">
        <v>558</v>
      </c>
      <c r="BK488" t="s">
        <v>100</v>
      </c>
      <c r="BL488" t="s">
        <v>558</v>
      </c>
      <c r="BM488" t="s">
        <v>9139</v>
      </c>
      <c r="BN488" t="s">
        <v>74</v>
      </c>
      <c r="BO488" t="s">
        <v>74</v>
      </c>
      <c r="BP488" t="s">
        <v>74</v>
      </c>
      <c r="BQ488" t="s">
        <v>74</v>
      </c>
      <c r="BR488" t="s">
        <v>104</v>
      </c>
      <c r="BS488" t="s">
        <v>9140</v>
      </c>
      <c r="BT488" t="str">
        <f>HYPERLINK("https%3A%2F%2Fwww.webofscience.com%2Fwos%2Fwoscc%2Ffull-record%2FWOS:000280614600005","View Full Record in Web of Science")</f>
        <v>View Full Record in Web of Science</v>
      </c>
    </row>
    <row r="489" spans="1:72" x14ac:dyDescent="0.15">
      <c r="A489" t="s">
        <v>72</v>
      </c>
      <c r="B489" t="s">
        <v>9141</v>
      </c>
      <c r="C489" t="s">
        <v>74</v>
      </c>
      <c r="D489" t="s">
        <v>74</v>
      </c>
      <c r="E489" t="s">
        <v>74</v>
      </c>
      <c r="F489" t="s">
        <v>9142</v>
      </c>
      <c r="G489" t="s">
        <v>74</v>
      </c>
      <c r="H489" t="s">
        <v>74</v>
      </c>
      <c r="I489" t="s">
        <v>9143</v>
      </c>
      <c r="J489" t="s">
        <v>1265</v>
      </c>
      <c r="K489" t="s">
        <v>74</v>
      </c>
      <c r="L489" t="s">
        <v>74</v>
      </c>
      <c r="M489" t="s">
        <v>78</v>
      </c>
      <c r="N489" t="s">
        <v>79</v>
      </c>
      <c r="O489" t="s">
        <v>74</v>
      </c>
      <c r="P489" t="s">
        <v>74</v>
      </c>
      <c r="Q489" t="s">
        <v>74</v>
      </c>
      <c r="R489" t="s">
        <v>74</v>
      </c>
      <c r="S489" t="s">
        <v>74</v>
      </c>
      <c r="T489" t="s">
        <v>74</v>
      </c>
      <c r="U489" t="s">
        <v>9144</v>
      </c>
      <c r="V489" t="s">
        <v>9145</v>
      </c>
      <c r="W489" t="s">
        <v>9146</v>
      </c>
      <c r="X489" t="s">
        <v>9147</v>
      </c>
      <c r="Y489" t="s">
        <v>9148</v>
      </c>
      <c r="Z489" t="s">
        <v>9149</v>
      </c>
      <c r="AA489" t="s">
        <v>74</v>
      </c>
      <c r="AB489" t="s">
        <v>9150</v>
      </c>
      <c r="AC489" t="s">
        <v>9151</v>
      </c>
      <c r="AD489" t="s">
        <v>9152</v>
      </c>
      <c r="AE489" t="s">
        <v>9153</v>
      </c>
      <c r="AF489" t="s">
        <v>74</v>
      </c>
      <c r="AG489">
        <v>61</v>
      </c>
      <c r="AH489">
        <v>16</v>
      </c>
      <c r="AI489">
        <v>17</v>
      </c>
      <c r="AJ489">
        <v>1</v>
      </c>
      <c r="AK489">
        <v>29</v>
      </c>
      <c r="AL489" t="s">
        <v>464</v>
      </c>
      <c r="AM489" t="s">
        <v>310</v>
      </c>
      <c r="AN489" t="s">
        <v>465</v>
      </c>
      <c r="AO489" t="s">
        <v>1277</v>
      </c>
      <c r="AP489" t="s">
        <v>1278</v>
      </c>
      <c r="AQ489" t="s">
        <v>74</v>
      </c>
      <c r="AR489" t="s">
        <v>1279</v>
      </c>
      <c r="AS489" t="s">
        <v>1280</v>
      </c>
      <c r="AT489" t="s">
        <v>7680</v>
      </c>
      <c r="AU489">
        <v>2010</v>
      </c>
      <c r="AV489">
        <v>33</v>
      </c>
      <c r="AW489">
        <v>8</v>
      </c>
      <c r="AX489" t="s">
        <v>74</v>
      </c>
      <c r="AY489" t="s">
        <v>74</v>
      </c>
      <c r="AZ489" t="s">
        <v>74</v>
      </c>
      <c r="BA489" t="s">
        <v>74</v>
      </c>
      <c r="BB489">
        <v>1013</v>
      </c>
      <c r="BC489">
        <v>1020</v>
      </c>
      <c r="BD489" t="s">
        <v>74</v>
      </c>
      <c r="BE489" t="s">
        <v>9154</v>
      </c>
      <c r="BF489" t="str">
        <f>HYPERLINK("http://dx.doi.org/10.1007/s00300-010-0779-y","http://dx.doi.org/10.1007/s00300-010-0779-y")</f>
        <v>http://dx.doi.org/10.1007/s00300-010-0779-y</v>
      </c>
      <c r="BG489" t="s">
        <v>74</v>
      </c>
      <c r="BH489" t="s">
        <v>74</v>
      </c>
      <c r="BI489">
        <v>8</v>
      </c>
      <c r="BJ489" t="s">
        <v>1282</v>
      </c>
      <c r="BK489" t="s">
        <v>100</v>
      </c>
      <c r="BL489" t="s">
        <v>680</v>
      </c>
      <c r="BM489" t="s">
        <v>9155</v>
      </c>
      <c r="BN489" t="s">
        <v>74</v>
      </c>
      <c r="BO489" t="s">
        <v>134</v>
      </c>
      <c r="BP489" t="s">
        <v>74</v>
      </c>
      <c r="BQ489" t="s">
        <v>74</v>
      </c>
      <c r="BR489" t="s">
        <v>104</v>
      </c>
      <c r="BS489" t="s">
        <v>9156</v>
      </c>
      <c r="BT489" t="str">
        <f>HYPERLINK("https%3A%2F%2Fwww.webofscience.com%2Fwos%2Fwoscc%2Ffull-record%2FWOS:000280074800001","View Full Record in Web of Science")</f>
        <v>View Full Record in Web of Science</v>
      </c>
    </row>
    <row r="490" spans="1:72" x14ac:dyDescent="0.15">
      <c r="A490" t="s">
        <v>72</v>
      </c>
      <c r="B490" t="s">
        <v>9157</v>
      </c>
      <c r="C490" t="s">
        <v>74</v>
      </c>
      <c r="D490" t="s">
        <v>74</v>
      </c>
      <c r="E490" t="s">
        <v>74</v>
      </c>
      <c r="F490" t="s">
        <v>9158</v>
      </c>
      <c r="G490" t="s">
        <v>74</v>
      </c>
      <c r="H490" t="s">
        <v>74</v>
      </c>
      <c r="I490" t="s">
        <v>9159</v>
      </c>
      <c r="J490" t="s">
        <v>1265</v>
      </c>
      <c r="K490" t="s">
        <v>74</v>
      </c>
      <c r="L490" t="s">
        <v>74</v>
      </c>
      <c r="M490" t="s">
        <v>78</v>
      </c>
      <c r="N490" t="s">
        <v>79</v>
      </c>
      <c r="O490" t="s">
        <v>74</v>
      </c>
      <c r="P490" t="s">
        <v>74</v>
      </c>
      <c r="Q490" t="s">
        <v>74</v>
      </c>
      <c r="R490" t="s">
        <v>74</v>
      </c>
      <c r="S490" t="s">
        <v>74</v>
      </c>
      <c r="T490" t="s">
        <v>9160</v>
      </c>
      <c r="U490" t="s">
        <v>9161</v>
      </c>
      <c r="V490" t="s">
        <v>9162</v>
      </c>
      <c r="W490" t="s">
        <v>9163</v>
      </c>
      <c r="X490" t="s">
        <v>9164</v>
      </c>
      <c r="Y490" t="s">
        <v>9165</v>
      </c>
      <c r="Z490" t="s">
        <v>9166</v>
      </c>
      <c r="AA490" t="s">
        <v>9167</v>
      </c>
      <c r="AB490" t="s">
        <v>9168</v>
      </c>
      <c r="AC490" t="s">
        <v>9169</v>
      </c>
      <c r="AD490" t="s">
        <v>9170</v>
      </c>
      <c r="AE490" t="s">
        <v>9171</v>
      </c>
      <c r="AF490" t="s">
        <v>74</v>
      </c>
      <c r="AG490">
        <v>48</v>
      </c>
      <c r="AH490">
        <v>64</v>
      </c>
      <c r="AI490">
        <v>68</v>
      </c>
      <c r="AJ490">
        <v>0</v>
      </c>
      <c r="AK490">
        <v>21</v>
      </c>
      <c r="AL490" t="s">
        <v>464</v>
      </c>
      <c r="AM490" t="s">
        <v>310</v>
      </c>
      <c r="AN490" t="s">
        <v>465</v>
      </c>
      <c r="AO490" t="s">
        <v>1277</v>
      </c>
      <c r="AP490" t="s">
        <v>74</v>
      </c>
      <c r="AQ490" t="s">
        <v>74</v>
      </c>
      <c r="AR490" t="s">
        <v>1279</v>
      </c>
      <c r="AS490" t="s">
        <v>1280</v>
      </c>
      <c r="AT490" t="s">
        <v>7680</v>
      </c>
      <c r="AU490">
        <v>2010</v>
      </c>
      <c r="AV490">
        <v>33</v>
      </c>
      <c r="AW490">
        <v>8</v>
      </c>
      <c r="AX490" t="s">
        <v>74</v>
      </c>
      <c r="AY490" t="s">
        <v>74</v>
      </c>
      <c r="AZ490" t="s">
        <v>74</v>
      </c>
      <c r="BA490" t="s">
        <v>74</v>
      </c>
      <c r="BB490">
        <v>1037</v>
      </c>
      <c r="BC490">
        <v>1048</v>
      </c>
      <c r="BD490" t="s">
        <v>74</v>
      </c>
      <c r="BE490" t="s">
        <v>9172</v>
      </c>
      <c r="BF490" t="str">
        <f>HYPERLINK("http://dx.doi.org/10.1007/s00300-010-0782-3","http://dx.doi.org/10.1007/s00300-010-0782-3")</f>
        <v>http://dx.doi.org/10.1007/s00300-010-0782-3</v>
      </c>
      <c r="BG490" t="s">
        <v>74</v>
      </c>
      <c r="BH490" t="s">
        <v>74</v>
      </c>
      <c r="BI490">
        <v>12</v>
      </c>
      <c r="BJ490" t="s">
        <v>1282</v>
      </c>
      <c r="BK490" t="s">
        <v>100</v>
      </c>
      <c r="BL490" t="s">
        <v>680</v>
      </c>
      <c r="BM490" t="s">
        <v>9155</v>
      </c>
      <c r="BN490" t="s">
        <v>74</v>
      </c>
      <c r="BO490" t="s">
        <v>74</v>
      </c>
      <c r="BP490" t="s">
        <v>74</v>
      </c>
      <c r="BQ490" t="s">
        <v>74</v>
      </c>
      <c r="BR490" t="s">
        <v>104</v>
      </c>
      <c r="BS490" t="s">
        <v>9173</v>
      </c>
      <c r="BT490" t="str">
        <f>HYPERLINK("https%3A%2F%2Fwww.webofscience.com%2Fwos%2Fwoscc%2Ffull-record%2FWOS:000280074800004","View Full Record in Web of Science")</f>
        <v>View Full Record in Web of Science</v>
      </c>
    </row>
    <row r="491" spans="1:72" x14ac:dyDescent="0.15">
      <c r="A491" t="s">
        <v>72</v>
      </c>
      <c r="B491" t="s">
        <v>9174</v>
      </c>
      <c r="C491" t="s">
        <v>74</v>
      </c>
      <c r="D491" t="s">
        <v>74</v>
      </c>
      <c r="E491" t="s">
        <v>74</v>
      </c>
      <c r="F491" t="s">
        <v>9175</v>
      </c>
      <c r="G491" t="s">
        <v>74</v>
      </c>
      <c r="H491" t="s">
        <v>74</v>
      </c>
      <c r="I491" t="s">
        <v>9176</v>
      </c>
      <c r="J491" t="s">
        <v>1265</v>
      </c>
      <c r="K491" t="s">
        <v>74</v>
      </c>
      <c r="L491" t="s">
        <v>74</v>
      </c>
      <c r="M491" t="s">
        <v>78</v>
      </c>
      <c r="N491" t="s">
        <v>79</v>
      </c>
      <c r="O491" t="s">
        <v>74</v>
      </c>
      <c r="P491" t="s">
        <v>74</v>
      </c>
      <c r="Q491" t="s">
        <v>74</v>
      </c>
      <c r="R491" t="s">
        <v>74</v>
      </c>
      <c r="S491" t="s">
        <v>74</v>
      </c>
      <c r="T491" t="s">
        <v>9177</v>
      </c>
      <c r="U491" t="s">
        <v>9178</v>
      </c>
      <c r="V491" t="s">
        <v>9179</v>
      </c>
      <c r="W491" t="s">
        <v>9180</v>
      </c>
      <c r="X491" t="s">
        <v>9181</v>
      </c>
      <c r="Y491" t="s">
        <v>9182</v>
      </c>
      <c r="Z491" t="s">
        <v>9183</v>
      </c>
      <c r="AA491" t="s">
        <v>9184</v>
      </c>
      <c r="AB491" t="s">
        <v>9185</v>
      </c>
      <c r="AC491" t="s">
        <v>9186</v>
      </c>
      <c r="AD491" t="s">
        <v>9186</v>
      </c>
      <c r="AE491" t="s">
        <v>9187</v>
      </c>
      <c r="AF491" t="s">
        <v>74</v>
      </c>
      <c r="AG491">
        <v>39</v>
      </c>
      <c r="AH491">
        <v>12</v>
      </c>
      <c r="AI491">
        <v>16</v>
      </c>
      <c r="AJ491">
        <v>3</v>
      </c>
      <c r="AK491">
        <v>31</v>
      </c>
      <c r="AL491" t="s">
        <v>464</v>
      </c>
      <c r="AM491" t="s">
        <v>310</v>
      </c>
      <c r="AN491" t="s">
        <v>465</v>
      </c>
      <c r="AO491" t="s">
        <v>1277</v>
      </c>
      <c r="AP491" t="s">
        <v>1278</v>
      </c>
      <c r="AQ491" t="s">
        <v>74</v>
      </c>
      <c r="AR491" t="s">
        <v>1279</v>
      </c>
      <c r="AS491" t="s">
        <v>1280</v>
      </c>
      <c r="AT491" t="s">
        <v>7680</v>
      </c>
      <c r="AU491">
        <v>2010</v>
      </c>
      <c r="AV491">
        <v>33</v>
      </c>
      <c r="AW491">
        <v>8</v>
      </c>
      <c r="AX491" t="s">
        <v>74</v>
      </c>
      <c r="AY491" t="s">
        <v>74</v>
      </c>
      <c r="AZ491" t="s">
        <v>74</v>
      </c>
      <c r="BA491" t="s">
        <v>74</v>
      </c>
      <c r="BB491">
        <v>1049</v>
      </c>
      <c r="BC491">
        <v>1055</v>
      </c>
      <c r="BD491" t="s">
        <v>74</v>
      </c>
      <c r="BE491" t="s">
        <v>9188</v>
      </c>
      <c r="BF491" t="str">
        <f>HYPERLINK("http://dx.doi.org/10.1007/s00300-010-0783-2","http://dx.doi.org/10.1007/s00300-010-0783-2")</f>
        <v>http://dx.doi.org/10.1007/s00300-010-0783-2</v>
      </c>
      <c r="BG491" t="s">
        <v>74</v>
      </c>
      <c r="BH491" t="s">
        <v>74</v>
      </c>
      <c r="BI491">
        <v>7</v>
      </c>
      <c r="BJ491" t="s">
        <v>1282</v>
      </c>
      <c r="BK491" t="s">
        <v>100</v>
      </c>
      <c r="BL491" t="s">
        <v>680</v>
      </c>
      <c r="BM491" t="s">
        <v>9155</v>
      </c>
      <c r="BN491" t="s">
        <v>74</v>
      </c>
      <c r="BO491" t="s">
        <v>74</v>
      </c>
      <c r="BP491" t="s">
        <v>74</v>
      </c>
      <c r="BQ491" t="s">
        <v>74</v>
      </c>
      <c r="BR491" t="s">
        <v>104</v>
      </c>
      <c r="BS491" t="s">
        <v>9189</v>
      </c>
      <c r="BT491" t="str">
        <f>HYPERLINK("https%3A%2F%2Fwww.webofscience.com%2Fwos%2Fwoscc%2Ffull-record%2FWOS:000280074800005","View Full Record in Web of Science")</f>
        <v>View Full Record in Web of Science</v>
      </c>
    </row>
    <row r="492" spans="1:72" x14ac:dyDescent="0.15">
      <c r="A492" t="s">
        <v>72</v>
      </c>
      <c r="B492" t="s">
        <v>9190</v>
      </c>
      <c r="C492" t="s">
        <v>74</v>
      </c>
      <c r="D492" t="s">
        <v>74</v>
      </c>
      <c r="E492" t="s">
        <v>74</v>
      </c>
      <c r="F492" t="s">
        <v>9191</v>
      </c>
      <c r="G492" t="s">
        <v>74</v>
      </c>
      <c r="H492" t="s">
        <v>74</v>
      </c>
      <c r="I492" t="s">
        <v>9192</v>
      </c>
      <c r="J492" t="s">
        <v>1265</v>
      </c>
      <c r="K492" t="s">
        <v>74</v>
      </c>
      <c r="L492" t="s">
        <v>74</v>
      </c>
      <c r="M492" t="s">
        <v>78</v>
      </c>
      <c r="N492" t="s">
        <v>79</v>
      </c>
      <c r="O492" t="s">
        <v>74</v>
      </c>
      <c r="P492" t="s">
        <v>74</v>
      </c>
      <c r="Q492" t="s">
        <v>74</v>
      </c>
      <c r="R492" t="s">
        <v>74</v>
      </c>
      <c r="S492" t="s">
        <v>74</v>
      </c>
      <c r="T492" t="s">
        <v>9193</v>
      </c>
      <c r="U492" t="s">
        <v>9194</v>
      </c>
      <c r="V492" t="s">
        <v>9195</v>
      </c>
      <c r="W492" t="s">
        <v>9196</v>
      </c>
      <c r="X492" t="s">
        <v>9197</v>
      </c>
      <c r="Y492" t="s">
        <v>9198</v>
      </c>
      <c r="Z492" t="s">
        <v>9199</v>
      </c>
      <c r="AA492" t="s">
        <v>74</v>
      </c>
      <c r="AB492" t="s">
        <v>9200</v>
      </c>
      <c r="AC492" t="s">
        <v>9201</v>
      </c>
      <c r="AD492" t="s">
        <v>9202</v>
      </c>
      <c r="AE492" t="s">
        <v>9203</v>
      </c>
      <c r="AF492" t="s">
        <v>74</v>
      </c>
      <c r="AG492">
        <v>34</v>
      </c>
      <c r="AH492">
        <v>13</v>
      </c>
      <c r="AI492">
        <v>13</v>
      </c>
      <c r="AJ492">
        <v>0</v>
      </c>
      <c r="AK492">
        <v>19</v>
      </c>
      <c r="AL492" t="s">
        <v>464</v>
      </c>
      <c r="AM492" t="s">
        <v>310</v>
      </c>
      <c r="AN492" t="s">
        <v>971</v>
      </c>
      <c r="AO492" t="s">
        <v>1277</v>
      </c>
      <c r="AP492" t="s">
        <v>1278</v>
      </c>
      <c r="AQ492" t="s">
        <v>74</v>
      </c>
      <c r="AR492" t="s">
        <v>1279</v>
      </c>
      <c r="AS492" t="s">
        <v>1280</v>
      </c>
      <c r="AT492" t="s">
        <v>7680</v>
      </c>
      <c r="AU492">
        <v>2010</v>
      </c>
      <c r="AV492">
        <v>33</v>
      </c>
      <c r="AW492">
        <v>8</v>
      </c>
      <c r="AX492" t="s">
        <v>74</v>
      </c>
      <c r="AY492" t="s">
        <v>74</v>
      </c>
      <c r="AZ492" t="s">
        <v>74</v>
      </c>
      <c r="BA492" t="s">
        <v>74</v>
      </c>
      <c r="BB492">
        <v>1067</v>
      </c>
      <c r="BC492">
        <v>1073</v>
      </c>
      <c r="BD492" t="s">
        <v>74</v>
      </c>
      <c r="BE492" t="s">
        <v>9204</v>
      </c>
      <c r="BF492" t="str">
        <f>HYPERLINK("http://dx.doi.org/10.1007/s00300-010-0786-z","http://dx.doi.org/10.1007/s00300-010-0786-z")</f>
        <v>http://dx.doi.org/10.1007/s00300-010-0786-z</v>
      </c>
      <c r="BG492" t="s">
        <v>74</v>
      </c>
      <c r="BH492" t="s">
        <v>74</v>
      </c>
      <c r="BI492">
        <v>7</v>
      </c>
      <c r="BJ492" t="s">
        <v>1282</v>
      </c>
      <c r="BK492" t="s">
        <v>100</v>
      </c>
      <c r="BL492" t="s">
        <v>680</v>
      </c>
      <c r="BM492" t="s">
        <v>9155</v>
      </c>
      <c r="BN492" t="s">
        <v>74</v>
      </c>
      <c r="BO492" t="s">
        <v>74</v>
      </c>
      <c r="BP492" t="s">
        <v>74</v>
      </c>
      <c r="BQ492" t="s">
        <v>74</v>
      </c>
      <c r="BR492" t="s">
        <v>104</v>
      </c>
      <c r="BS492" t="s">
        <v>9205</v>
      </c>
      <c r="BT492" t="str">
        <f>HYPERLINK("https%3A%2F%2Fwww.webofscience.com%2Fwos%2Fwoscc%2Ffull-record%2FWOS:000280074800007","View Full Record in Web of Science")</f>
        <v>View Full Record in Web of Science</v>
      </c>
    </row>
    <row r="493" spans="1:72" x14ac:dyDescent="0.15">
      <c r="A493" t="s">
        <v>72</v>
      </c>
      <c r="B493" t="s">
        <v>9206</v>
      </c>
      <c r="C493" t="s">
        <v>74</v>
      </c>
      <c r="D493" t="s">
        <v>74</v>
      </c>
      <c r="E493" t="s">
        <v>74</v>
      </c>
      <c r="F493" t="s">
        <v>9207</v>
      </c>
      <c r="G493" t="s">
        <v>74</v>
      </c>
      <c r="H493" t="s">
        <v>74</v>
      </c>
      <c r="I493" t="s">
        <v>9208</v>
      </c>
      <c r="J493" t="s">
        <v>1265</v>
      </c>
      <c r="K493" t="s">
        <v>74</v>
      </c>
      <c r="L493" t="s">
        <v>74</v>
      </c>
      <c r="M493" t="s">
        <v>78</v>
      </c>
      <c r="N493" t="s">
        <v>79</v>
      </c>
      <c r="O493" t="s">
        <v>74</v>
      </c>
      <c r="P493" t="s">
        <v>74</v>
      </c>
      <c r="Q493" t="s">
        <v>74</v>
      </c>
      <c r="R493" t="s">
        <v>74</v>
      </c>
      <c r="S493" t="s">
        <v>74</v>
      </c>
      <c r="T493" t="s">
        <v>9209</v>
      </c>
      <c r="U493" t="s">
        <v>9210</v>
      </c>
      <c r="V493" t="s">
        <v>9211</v>
      </c>
      <c r="W493" t="s">
        <v>9212</v>
      </c>
      <c r="X493" t="s">
        <v>9213</v>
      </c>
      <c r="Y493" t="s">
        <v>3045</v>
      </c>
      <c r="Z493" t="s">
        <v>3046</v>
      </c>
      <c r="AA493" t="s">
        <v>9214</v>
      </c>
      <c r="AB493" t="s">
        <v>9215</v>
      </c>
      <c r="AC493" t="s">
        <v>9216</v>
      </c>
      <c r="AD493" t="s">
        <v>2843</v>
      </c>
      <c r="AE493" t="s">
        <v>74</v>
      </c>
      <c r="AF493" t="s">
        <v>74</v>
      </c>
      <c r="AG493">
        <v>38</v>
      </c>
      <c r="AH493">
        <v>22</v>
      </c>
      <c r="AI493">
        <v>22</v>
      </c>
      <c r="AJ493">
        <v>2</v>
      </c>
      <c r="AK493">
        <v>33</v>
      </c>
      <c r="AL493" t="s">
        <v>464</v>
      </c>
      <c r="AM493" t="s">
        <v>310</v>
      </c>
      <c r="AN493" t="s">
        <v>465</v>
      </c>
      <c r="AO493" t="s">
        <v>1277</v>
      </c>
      <c r="AP493" t="s">
        <v>1278</v>
      </c>
      <c r="AQ493" t="s">
        <v>74</v>
      </c>
      <c r="AR493" t="s">
        <v>1279</v>
      </c>
      <c r="AS493" t="s">
        <v>1280</v>
      </c>
      <c r="AT493" t="s">
        <v>7680</v>
      </c>
      <c r="AU493">
        <v>2010</v>
      </c>
      <c r="AV493">
        <v>33</v>
      </c>
      <c r="AW493">
        <v>8</v>
      </c>
      <c r="AX493" t="s">
        <v>74</v>
      </c>
      <c r="AY493" t="s">
        <v>74</v>
      </c>
      <c r="AZ493" t="s">
        <v>74</v>
      </c>
      <c r="BA493" t="s">
        <v>74</v>
      </c>
      <c r="BB493">
        <v>1125</v>
      </c>
      <c r="BC493">
        <v>1130</v>
      </c>
      <c r="BD493" t="s">
        <v>74</v>
      </c>
      <c r="BE493" t="s">
        <v>9217</v>
      </c>
      <c r="BF493" t="str">
        <f>HYPERLINK("http://dx.doi.org/10.1007/s00300-010-0801-4","http://dx.doi.org/10.1007/s00300-010-0801-4")</f>
        <v>http://dx.doi.org/10.1007/s00300-010-0801-4</v>
      </c>
      <c r="BG493" t="s">
        <v>74</v>
      </c>
      <c r="BH493" t="s">
        <v>74</v>
      </c>
      <c r="BI493">
        <v>6</v>
      </c>
      <c r="BJ493" t="s">
        <v>1282</v>
      </c>
      <c r="BK493" t="s">
        <v>100</v>
      </c>
      <c r="BL493" t="s">
        <v>680</v>
      </c>
      <c r="BM493" t="s">
        <v>9155</v>
      </c>
      <c r="BN493" t="s">
        <v>74</v>
      </c>
      <c r="BO493" t="s">
        <v>74</v>
      </c>
      <c r="BP493" t="s">
        <v>74</v>
      </c>
      <c r="BQ493" t="s">
        <v>74</v>
      </c>
      <c r="BR493" t="s">
        <v>104</v>
      </c>
      <c r="BS493" t="s">
        <v>9218</v>
      </c>
      <c r="BT493" t="str">
        <f>HYPERLINK("https%3A%2F%2Fwww.webofscience.com%2Fwos%2Fwoscc%2Ffull-record%2FWOS:000280074800012","View Full Record in Web of Science")</f>
        <v>View Full Record in Web of Science</v>
      </c>
    </row>
    <row r="494" spans="1:72" x14ac:dyDescent="0.15">
      <c r="A494" t="s">
        <v>72</v>
      </c>
      <c r="B494" t="s">
        <v>9219</v>
      </c>
      <c r="C494" t="s">
        <v>74</v>
      </c>
      <c r="D494" t="s">
        <v>74</v>
      </c>
      <c r="E494" t="s">
        <v>74</v>
      </c>
      <c r="F494" t="s">
        <v>9220</v>
      </c>
      <c r="G494" t="s">
        <v>74</v>
      </c>
      <c r="H494" t="s">
        <v>74</v>
      </c>
      <c r="I494" t="s">
        <v>9221</v>
      </c>
      <c r="J494" t="s">
        <v>1265</v>
      </c>
      <c r="K494" t="s">
        <v>74</v>
      </c>
      <c r="L494" t="s">
        <v>74</v>
      </c>
      <c r="M494" t="s">
        <v>78</v>
      </c>
      <c r="N494" t="s">
        <v>79</v>
      </c>
      <c r="O494" t="s">
        <v>74</v>
      </c>
      <c r="P494" t="s">
        <v>74</v>
      </c>
      <c r="Q494" t="s">
        <v>74</v>
      </c>
      <c r="R494" t="s">
        <v>74</v>
      </c>
      <c r="S494" t="s">
        <v>74</v>
      </c>
      <c r="T494" t="s">
        <v>9222</v>
      </c>
      <c r="U494" t="s">
        <v>9223</v>
      </c>
      <c r="V494" t="s">
        <v>9224</v>
      </c>
      <c r="W494" t="s">
        <v>9225</v>
      </c>
      <c r="X494" t="s">
        <v>9226</v>
      </c>
      <c r="Y494" t="s">
        <v>9227</v>
      </c>
      <c r="Z494" t="s">
        <v>9228</v>
      </c>
      <c r="AA494" t="s">
        <v>9229</v>
      </c>
      <c r="AB494" t="s">
        <v>9230</v>
      </c>
      <c r="AC494" t="s">
        <v>74</v>
      </c>
      <c r="AD494" t="s">
        <v>74</v>
      </c>
      <c r="AE494" t="s">
        <v>74</v>
      </c>
      <c r="AF494" t="s">
        <v>74</v>
      </c>
      <c r="AG494">
        <v>85</v>
      </c>
      <c r="AH494">
        <v>8</v>
      </c>
      <c r="AI494">
        <v>8</v>
      </c>
      <c r="AJ494">
        <v>1</v>
      </c>
      <c r="AK494">
        <v>18</v>
      </c>
      <c r="AL494" t="s">
        <v>464</v>
      </c>
      <c r="AM494" t="s">
        <v>310</v>
      </c>
      <c r="AN494" t="s">
        <v>465</v>
      </c>
      <c r="AO494" t="s">
        <v>1277</v>
      </c>
      <c r="AP494" t="s">
        <v>1278</v>
      </c>
      <c r="AQ494" t="s">
        <v>74</v>
      </c>
      <c r="AR494" t="s">
        <v>1279</v>
      </c>
      <c r="AS494" t="s">
        <v>1280</v>
      </c>
      <c r="AT494" t="s">
        <v>7680</v>
      </c>
      <c r="AU494">
        <v>2010</v>
      </c>
      <c r="AV494">
        <v>33</v>
      </c>
      <c r="AW494">
        <v>8</v>
      </c>
      <c r="AX494" t="s">
        <v>74</v>
      </c>
      <c r="AY494" t="s">
        <v>74</v>
      </c>
      <c r="AZ494" t="s">
        <v>74</v>
      </c>
      <c r="BA494" t="s">
        <v>74</v>
      </c>
      <c r="BB494">
        <v>1131</v>
      </c>
      <c r="BC494">
        <v>1143</v>
      </c>
      <c r="BD494" t="s">
        <v>74</v>
      </c>
      <c r="BE494" t="s">
        <v>9231</v>
      </c>
      <c r="BF494" t="str">
        <f>HYPERLINK("http://dx.doi.org/10.1007/s00300-010-0802-3","http://dx.doi.org/10.1007/s00300-010-0802-3")</f>
        <v>http://dx.doi.org/10.1007/s00300-010-0802-3</v>
      </c>
      <c r="BG494" t="s">
        <v>74</v>
      </c>
      <c r="BH494" t="s">
        <v>74</v>
      </c>
      <c r="BI494">
        <v>13</v>
      </c>
      <c r="BJ494" t="s">
        <v>1282</v>
      </c>
      <c r="BK494" t="s">
        <v>100</v>
      </c>
      <c r="BL494" t="s">
        <v>680</v>
      </c>
      <c r="BM494" t="s">
        <v>9155</v>
      </c>
      <c r="BN494" t="s">
        <v>74</v>
      </c>
      <c r="BO494" t="s">
        <v>74</v>
      </c>
      <c r="BP494" t="s">
        <v>74</v>
      </c>
      <c r="BQ494" t="s">
        <v>74</v>
      </c>
      <c r="BR494" t="s">
        <v>104</v>
      </c>
      <c r="BS494" t="s">
        <v>9232</v>
      </c>
      <c r="BT494" t="str">
        <f>HYPERLINK("https%3A%2F%2Fwww.webofscience.com%2Fwos%2Fwoscc%2Ffull-record%2FWOS:000280074800013","View Full Record in Web of Science")</f>
        <v>View Full Record in Web of Science</v>
      </c>
    </row>
    <row r="495" spans="1:72" x14ac:dyDescent="0.15">
      <c r="A495" t="s">
        <v>72</v>
      </c>
      <c r="B495" t="s">
        <v>9233</v>
      </c>
      <c r="C495" t="s">
        <v>74</v>
      </c>
      <c r="D495" t="s">
        <v>74</v>
      </c>
      <c r="E495" t="s">
        <v>74</v>
      </c>
      <c r="F495" t="s">
        <v>9234</v>
      </c>
      <c r="G495" t="s">
        <v>74</v>
      </c>
      <c r="H495" t="s">
        <v>74</v>
      </c>
      <c r="I495" t="s">
        <v>9235</v>
      </c>
      <c r="J495" t="s">
        <v>1265</v>
      </c>
      <c r="K495" t="s">
        <v>74</v>
      </c>
      <c r="L495" t="s">
        <v>74</v>
      </c>
      <c r="M495" t="s">
        <v>78</v>
      </c>
      <c r="N495" t="s">
        <v>79</v>
      </c>
      <c r="O495" t="s">
        <v>74</v>
      </c>
      <c r="P495" t="s">
        <v>74</v>
      </c>
      <c r="Q495" t="s">
        <v>74</v>
      </c>
      <c r="R495" t="s">
        <v>74</v>
      </c>
      <c r="S495" t="s">
        <v>74</v>
      </c>
      <c r="T495" t="s">
        <v>9236</v>
      </c>
      <c r="U495" t="s">
        <v>9237</v>
      </c>
      <c r="V495" t="s">
        <v>9238</v>
      </c>
      <c r="W495" t="s">
        <v>9239</v>
      </c>
      <c r="X495" t="s">
        <v>9240</v>
      </c>
      <c r="Y495" t="s">
        <v>9241</v>
      </c>
      <c r="Z495" t="s">
        <v>9242</v>
      </c>
      <c r="AA495" t="s">
        <v>74</v>
      </c>
      <c r="AB495" t="s">
        <v>9243</v>
      </c>
      <c r="AC495" t="s">
        <v>9244</v>
      </c>
      <c r="AD495" t="s">
        <v>9245</v>
      </c>
      <c r="AE495" t="s">
        <v>9246</v>
      </c>
      <c r="AF495" t="s">
        <v>74</v>
      </c>
      <c r="AG495">
        <v>19</v>
      </c>
      <c r="AH495">
        <v>13</v>
      </c>
      <c r="AI495">
        <v>17</v>
      </c>
      <c r="AJ495">
        <v>3</v>
      </c>
      <c r="AK495">
        <v>21</v>
      </c>
      <c r="AL495" t="s">
        <v>464</v>
      </c>
      <c r="AM495" t="s">
        <v>310</v>
      </c>
      <c r="AN495" t="s">
        <v>465</v>
      </c>
      <c r="AO495" t="s">
        <v>1277</v>
      </c>
      <c r="AP495" t="s">
        <v>74</v>
      </c>
      <c r="AQ495" t="s">
        <v>74</v>
      </c>
      <c r="AR495" t="s">
        <v>1279</v>
      </c>
      <c r="AS495" t="s">
        <v>1280</v>
      </c>
      <c r="AT495" t="s">
        <v>7680</v>
      </c>
      <c r="AU495">
        <v>2010</v>
      </c>
      <c r="AV495">
        <v>33</v>
      </c>
      <c r="AW495">
        <v>8</v>
      </c>
      <c r="AX495" t="s">
        <v>74</v>
      </c>
      <c r="AY495" t="s">
        <v>74</v>
      </c>
      <c r="AZ495" t="s">
        <v>74</v>
      </c>
      <c r="BA495" t="s">
        <v>74</v>
      </c>
      <c r="BB495">
        <v>1155</v>
      </c>
      <c r="BC495">
        <v>1158</v>
      </c>
      <c r="BD495" t="s">
        <v>74</v>
      </c>
      <c r="BE495" t="s">
        <v>9247</v>
      </c>
      <c r="BF495" t="str">
        <f>HYPERLINK("http://dx.doi.org/10.1007/s00300-010-0795-y","http://dx.doi.org/10.1007/s00300-010-0795-y")</f>
        <v>http://dx.doi.org/10.1007/s00300-010-0795-y</v>
      </c>
      <c r="BG495" t="s">
        <v>74</v>
      </c>
      <c r="BH495" t="s">
        <v>74</v>
      </c>
      <c r="BI495">
        <v>4</v>
      </c>
      <c r="BJ495" t="s">
        <v>1282</v>
      </c>
      <c r="BK495" t="s">
        <v>100</v>
      </c>
      <c r="BL495" t="s">
        <v>680</v>
      </c>
      <c r="BM495" t="s">
        <v>9155</v>
      </c>
      <c r="BN495" t="s">
        <v>74</v>
      </c>
      <c r="BO495" t="s">
        <v>74</v>
      </c>
      <c r="BP495" t="s">
        <v>74</v>
      </c>
      <c r="BQ495" t="s">
        <v>74</v>
      </c>
      <c r="BR495" t="s">
        <v>104</v>
      </c>
      <c r="BS495" t="s">
        <v>9248</v>
      </c>
      <c r="BT495" t="str">
        <f>HYPERLINK("https%3A%2F%2Fwww.webofscience.com%2Fwos%2Fwoscc%2Ffull-record%2FWOS:000280074800016","View Full Record in Web of Science")</f>
        <v>View Full Record in Web of Science</v>
      </c>
    </row>
    <row r="496" spans="1:72" x14ac:dyDescent="0.15">
      <c r="A496" t="s">
        <v>72</v>
      </c>
      <c r="B496" t="s">
        <v>3262</v>
      </c>
      <c r="C496" t="s">
        <v>74</v>
      </c>
      <c r="D496" t="s">
        <v>74</v>
      </c>
      <c r="E496" t="s">
        <v>74</v>
      </c>
      <c r="F496" t="s">
        <v>3263</v>
      </c>
      <c r="G496" t="s">
        <v>74</v>
      </c>
      <c r="H496" t="s">
        <v>74</v>
      </c>
      <c r="I496" t="s">
        <v>9249</v>
      </c>
      <c r="J496" t="s">
        <v>9250</v>
      </c>
      <c r="K496" t="s">
        <v>74</v>
      </c>
      <c r="L496" t="s">
        <v>74</v>
      </c>
      <c r="M496" t="s">
        <v>78</v>
      </c>
      <c r="N496" t="s">
        <v>220</v>
      </c>
      <c r="O496" t="s">
        <v>74</v>
      </c>
      <c r="P496" t="s">
        <v>74</v>
      </c>
      <c r="Q496" t="s">
        <v>74</v>
      </c>
      <c r="R496" t="s">
        <v>74</v>
      </c>
      <c r="S496" t="s">
        <v>74</v>
      </c>
      <c r="T496" t="s">
        <v>74</v>
      </c>
      <c r="U496" t="s">
        <v>9251</v>
      </c>
      <c r="V496" t="s">
        <v>74</v>
      </c>
      <c r="W496" t="s">
        <v>9252</v>
      </c>
      <c r="X496" t="s">
        <v>641</v>
      </c>
      <c r="Y496" t="s">
        <v>9253</v>
      </c>
      <c r="Z496" t="s">
        <v>9254</v>
      </c>
      <c r="AA496" t="s">
        <v>74</v>
      </c>
      <c r="AB496" t="s">
        <v>74</v>
      </c>
      <c r="AC496" t="s">
        <v>74</v>
      </c>
      <c r="AD496" t="s">
        <v>74</v>
      </c>
      <c r="AE496" t="s">
        <v>74</v>
      </c>
      <c r="AF496" t="s">
        <v>74</v>
      </c>
      <c r="AG496">
        <v>22</v>
      </c>
      <c r="AH496">
        <v>4</v>
      </c>
      <c r="AI496">
        <v>5</v>
      </c>
      <c r="AJ496">
        <v>0</v>
      </c>
      <c r="AK496">
        <v>6</v>
      </c>
      <c r="AL496" t="s">
        <v>9255</v>
      </c>
      <c r="AM496" t="s">
        <v>9256</v>
      </c>
      <c r="AN496" t="s">
        <v>9257</v>
      </c>
      <c r="AO496" t="s">
        <v>9258</v>
      </c>
      <c r="AP496" t="s">
        <v>9259</v>
      </c>
      <c r="AQ496" t="s">
        <v>74</v>
      </c>
      <c r="AR496" t="s">
        <v>9260</v>
      </c>
      <c r="AS496" t="s">
        <v>9261</v>
      </c>
      <c r="AT496" t="s">
        <v>7680</v>
      </c>
      <c r="AU496">
        <v>2010</v>
      </c>
      <c r="AV496">
        <v>29</v>
      </c>
      <c r="AW496">
        <v>2</v>
      </c>
      <c r="AX496" t="s">
        <v>74</v>
      </c>
      <c r="AY496" t="s">
        <v>74</v>
      </c>
      <c r="AZ496" t="s">
        <v>74</v>
      </c>
      <c r="BA496" t="s">
        <v>74</v>
      </c>
      <c r="BB496">
        <v>145</v>
      </c>
      <c r="BC496">
        <v>149</v>
      </c>
      <c r="BD496" t="s">
        <v>74</v>
      </c>
      <c r="BE496" t="s">
        <v>9262</v>
      </c>
      <c r="BF496" t="str">
        <f>HYPERLINK("http://dx.doi.org/10.1111/j.1751-8369.2010.00163.x","http://dx.doi.org/10.1111/j.1751-8369.2010.00163.x")</f>
        <v>http://dx.doi.org/10.1111/j.1751-8369.2010.00163.x</v>
      </c>
      <c r="BG496" t="s">
        <v>74</v>
      </c>
      <c r="BH496" t="s">
        <v>74</v>
      </c>
      <c r="BI496">
        <v>5</v>
      </c>
      <c r="BJ496" t="s">
        <v>9263</v>
      </c>
      <c r="BK496" t="s">
        <v>2796</v>
      </c>
      <c r="BL496" t="s">
        <v>9264</v>
      </c>
      <c r="BM496" t="s">
        <v>9265</v>
      </c>
      <c r="BN496" t="s">
        <v>74</v>
      </c>
      <c r="BO496" t="s">
        <v>394</v>
      </c>
      <c r="BP496" t="s">
        <v>74</v>
      </c>
      <c r="BQ496" t="s">
        <v>74</v>
      </c>
      <c r="BR496" t="s">
        <v>104</v>
      </c>
      <c r="BS496" t="s">
        <v>9266</v>
      </c>
      <c r="BT496" t="str">
        <f>HYPERLINK("https%3A%2F%2Fwww.webofscience.com%2Fwos%2Fwoscc%2Ffull-record%2FWOS:000280127700001","View Full Record in Web of Science")</f>
        <v>View Full Record in Web of Science</v>
      </c>
    </row>
    <row r="497" spans="1:72" x14ac:dyDescent="0.15">
      <c r="A497" t="s">
        <v>72</v>
      </c>
      <c r="B497" t="s">
        <v>9267</v>
      </c>
      <c r="C497" t="s">
        <v>74</v>
      </c>
      <c r="D497" t="s">
        <v>74</v>
      </c>
      <c r="E497" t="s">
        <v>74</v>
      </c>
      <c r="F497" t="s">
        <v>9268</v>
      </c>
      <c r="G497" t="s">
        <v>74</v>
      </c>
      <c r="H497" t="s">
        <v>74</v>
      </c>
      <c r="I497" t="s">
        <v>9269</v>
      </c>
      <c r="J497" t="s">
        <v>9250</v>
      </c>
      <c r="K497" t="s">
        <v>74</v>
      </c>
      <c r="L497" t="s">
        <v>74</v>
      </c>
      <c r="M497" t="s">
        <v>78</v>
      </c>
      <c r="N497" t="s">
        <v>79</v>
      </c>
      <c r="O497" t="s">
        <v>74</v>
      </c>
      <c r="P497" t="s">
        <v>74</v>
      </c>
      <c r="Q497" t="s">
        <v>74</v>
      </c>
      <c r="R497" t="s">
        <v>74</v>
      </c>
      <c r="S497" t="s">
        <v>74</v>
      </c>
      <c r="T497" t="s">
        <v>9270</v>
      </c>
      <c r="U497" t="s">
        <v>9271</v>
      </c>
      <c r="V497" t="s">
        <v>9272</v>
      </c>
      <c r="W497" t="s">
        <v>3286</v>
      </c>
      <c r="X497" t="s">
        <v>690</v>
      </c>
      <c r="Y497" t="s">
        <v>9273</v>
      </c>
      <c r="Z497" t="s">
        <v>9274</v>
      </c>
      <c r="AA497" t="s">
        <v>74</v>
      </c>
      <c r="AB497" t="s">
        <v>74</v>
      </c>
      <c r="AC497" t="s">
        <v>9275</v>
      </c>
      <c r="AD497" t="s">
        <v>9276</v>
      </c>
      <c r="AE497" t="s">
        <v>9277</v>
      </c>
      <c r="AF497" t="s">
        <v>74</v>
      </c>
      <c r="AG497">
        <v>36</v>
      </c>
      <c r="AH497">
        <v>39</v>
      </c>
      <c r="AI497">
        <v>42</v>
      </c>
      <c r="AJ497">
        <v>0</v>
      </c>
      <c r="AK497">
        <v>21</v>
      </c>
      <c r="AL497" t="s">
        <v>2245</v>
      </c>
      <c r="AM497" t="s">
        <v>673</v>
      </c>
      <c r="AN497" t="s">
        <v>674</v>
      </c>
      <c r="AO497" t="s">
        <v>9258</v>
      </c>
      <c r="AP497" t="s">
        <v>74</v>
      </c>
      <c r="AQ497" t="s">
        <v>74</v>
      </c>
      <c r="AR497" t="s">
        <v>9260</v>
      </c>
      <c r="AS497" t="s">
        <v>9261</v>
      </c>
      <c r="AT497" t="s">
        <v>7680</v>
      </c>
      <c r="AU497">
        <v>2010</v>
      </c>
      <c r="AV497">
        <v>29</v>
      </c>
      <c r="AW497">
        <v>2</v>
      </c>
      <c r="AX497" t="s">
        <v>74</v>
      </c>
      <c r="AY497" t="s">
        <v>74</v>
      </c>
      <c r="AZ497" t="s">
        <v>74</v>
      </c>
      <c r="BA497" t="s">
        <v>74</v>
      </c>
      <c r="BB497">
        <v>150</v>
      </c>
      <c r="BC497">
        <v>158</v>
      </c>
      <c r="BD497" t="s">
        <v>74</v>
      </c>
      <c r="BE497" t="s">
        <v>9278</v>
      </c>
      <c r="BF497" t="str">
        <f>HYPERLINK("http://dx.doi.org/10.1111/j.1751-8369.2010.00148.x","http://dx.doi.org/10.1111/j.1751-8369.2010.00148.x")</f>
        <v>http://dx.doi.org/10.1111/j.1751-8369.2010.00148.x</v>
      </c>
      <c r="BG497" t="s">
        <v>74</v>
      </c>
      <c r="BH497" t="s">
        <v>74</v>
      </c>
      <c r="BI497">
        <v>9</v>
      </c>
      <c r="BJ497" t="s">
        <v>9263</v>
      </c>
      <c r="BK497" t="s">
        <v>100</v>
      </c>
      <c r="BL497" t="s">
        <v>9264</v>
      </c>
      <c r="BM497" t="s">
        <v>9265</v>
      </c>
      <c r="BN497" t="s">
        <v>74</v>
      </c>
      <c r="BO497" t="s">
        <v>394</v>
      </c>
      <c r="BP497" t="s">
        <v>74</v>
      </c>
      <c r="BQ497" t="s">
        <v>74</v>
      </c>
      <c r="BR497" t="s">
        <v>104</v>
      </c>
      <c r="BS497" t="s">
        <v>9279</v>
      </c>
      <c r="BT497" t="str">
        <f>HYPERLINK("https%3A%2F%2Fwww.webofscience.com%2Fwos%2Fwoscc%2Ffull-record%2FWOS:000280127700002","View Full Record in Web of Science")</f>
        <v>View Full Record in Web of Science</v>
      </c>
    </row>
    <row r="498" spans="1:72" x14ac:dyDescent="0.15">
      <c r="A498" t="s">
        <v>72</v>
      </c>
      <c r="B498" t="s">
        <v>9280</v>
      </c>
      <c r="C498" t="s">
        <v>74</v>
      </c>
      <c r="D498" t="s">
        <v>74</v>
      </c>
      <c r="E498" t="s">
        <v>74</v>
      </c>
      <c r="F498" t="s">
        <v>9281</v>
      </c>
      <c r="G498" t="s">
        <v>74</v>
      </c>
      <c r="H498" t="s">
        <v>74</v>
      </c>
      <c r="I498" t="s">
        <v>9282</v>
      </c>
      <c r="J498" t="s">
        <v>9283</v>
      </c>
      <c r="K498" t="s">
        <v>74</v>
      </c>
      <c r="L498" t="s">
        <v>74</v>
      </c>
      <c r="M498" t="s">
        <v>78</v>
      </c>
      <c r="N498" t="s">
        <v>79</v>
      </c>
      <c r="O498" t="s">
        <v>74</v>
      </c>
      <c r="P498" t="s">
        <v>74</v>
      </c>
      <c r="Q498" t="s">
        <v>74</v>
      </c>
      <c r="R498" t="s">
        <v>74</v>
      </c>
      <c r="S498" t="s">
        <v>74</v>
      </c>
      <c r="T498" t="s">
        <v>9284</v>
      </c>
      <c r="U498" t="s">
        <v>74</v>
      </c>
      <c r="V498" t="s">
        <v>9285</v>
      </c>
      <c r="W498" t="s">
        <v>9286</v>
      </c>
      <c r="X498" t="s">
        <v>9287</v>
      </c>
      <c r="Y498" t="s">
        <v>9288</v>
      </c>
      <c r="Z498" t="s">
        <v>9289</v>
      </c>
      <c r="AA498" t="s">
        <v>74</v>
      </c>
      <c r="AB498" t="s">
        <v>74</v>
      </c>
      <c r="AC498" t="s">
        <v>74</v>
      </c>
      <c r="AD498" t="s">
        <v>74</v>
      </c>
      <c r="AE498" t="s">
        <v>74</v>
      </c>
      <c r="AF498" t="s">
        <v>74</v>
      </c>
      <c r="AG498">
        <v>9</v>
      </c>
      <c r="AH498">
        <v>1</v>
      </c>
      <c r="AI498">
        <v>1</v>
      </c>
      <c r="AJ498">
        <v>0</v>
      </c>
      <c r="AK498">
        <v>0</v>
      </c>
      <c r="AL498" t="s">
        <v>549</v>
      </c>
      <c r="AM498" t="s">
        <v>550</v>
      </c>
      <c r="AN498" t="s">
        <v>551</v>
      </c>
      <c r="AO498" t="s">
        <v>9290</v>
      </c>
      <c r="AP498" t="s">
        <v>9291</v>
      </c>
      <c r="AQ498" t="s">
        <v>74</v>
      </c>
      <c r="AR498" t="s">
        <v>9292</v>
      </c>
      <c r="AS498" t="s">
        <v>9293</v>
      </c>
      <c r="AT498" t="s">
        <v>7680</v>
      </c>
      <c r="AU498">
        <v>2010</v>
      </c>
      <c r="AV498">
        <v>4</v>
      </c>
      <c r="AW498">
        <v>2</v>
      </c>
      <c r="AX498" t="s">
        <v>74</v>
      </c>
      <c r="AY498" t="s">
        <v>74</v>
      </c>
      <c r="AZ498" t="s">
        <v>74</v>
      </c>
      <c r="BA498" t="s">
        <v>74</v>
      </c>
      <c r="BB498">
        <v>93</v>
      </c>
      <c r="BC498">
        <v>96</v>
      </c>
      <c r="BD498" t="s">
        <v>74</v>
      </c>
      <c r="BE498" t="s">
        <v>9294</v>
      </c>
      <c r="BF498" t="str">
        <f>HYPERLINK("http://dx.doi.org/10.1016/j.polar.2010.05.005","http://dx.doi.org/10.1016/j.polar.2010.05.005")</f>
        <v>http://dx.doi.org/10.1016/j.polar.2010.05.005</v>
      </c>
      <c r="BG498" t="s">
        <v>74</v>
      </c>
      <c r="BH498" t="s">
        <v>74</v>
      </c>
      <c r="BI498">
        <v>4</v>
      </c>
      <c r="BJ498" t="s">
        <v>9295</v>
      </c>
      <c r="BK498" t="s">
        <v>100</v>
      </c>
      <c r="BL498" t="s">
        <v>7084</v>
      </c>
      <c r="BM498" t="s">
        <v>9296</v>
      </c>
      <c r="BN498" t="s">
        <v>74</v>
      </c>
      <c r="BO498" t="s">
        <v>74</v>
      </c>
      <c r="BP498" t="s">
        <v>74</v>
      </c>
      <c r="BQ498" t="s">
        <v>74</v>
      </c>
      <c r="BR498" t="s">
        <v>104</v>
      </c>
      <c r="BS498" t="s">
        <v>9297</v>
      </c>
      <c r="BT498" t="str">
        <f>HYPERLINK("https%3A%2F%2Fwww.webofscience.com%2Fwos%2Fwoscc%2Ffull-record%2FWOS:000209450100001","View Full Record in Web of Science")</f>
        <v>View Full Record in Web of Science</v>
      </c>
    </row>
    <row r="499" spans="1:72" x14ac:dyDescent="0.15">
      <c r="A499" t="s">
        <v>72</v>
      </c>
      <c r="B499" t="s">
        <v>9298</v>
      </c>
      <c r="C499" t="s">
        <v>74</v>
      </c>
      <c r="D499" t="s">
        <v>74</v>
      </c>
      <c r="E499" t="s">
        <v>74</v>
      </c>
      <c r="F499" t="s">
        <v>9299</v>
      </c>
      <c r="G499" t="s">
        <v>74</v>
      </c>
      <c r="H499" t="s">
        <v>74</v>
      </c>
      <c r="I499" t="s">
        <v>9300</v>
      </c>
      <c r="J499" t="s">
        <v>9283</v>
      </c>
      <c r="K499" t="s">
        <v>74</v>
      </c>
      <c r="L499" t="s">
        <v>74</v>
      </c>
      <c r="M499" t="s">
        <v>78</v>
      </c>
      <c r="N499" t="s">
        <v>79</v>
      </c>
      <c r="O499" t="s">
        <v>74</v>
      </c>
      <c r="P499" t="s">
        <v>74</v>
      </c>
      <c r="Q499" t="s">
        <v>74</v>
      </c>
      <c r="R499" t="s">
        <v>74</v>
      </c>
      <c r="S499" t="s">
        <v>74</v>
      </c>
      <c r="T499" t="s">
        <v>9301</v>
      </c>
      <c r="U499" t="s">
        <v>74</v>
      </c>
      <c r="V499" t="s">
        <v>9302</v>
      </c>
      <c r="W499" t="s">
        <v>9303</v>
      </c>
      <c r="X499" t="s">
        <v>9304</v>
      </c>
      <c r="Y499" t="s">
        <v>9305</v>
      </c>
      <c r="Z499" t="s">
        <v>9306</v>
      </c>
      <c r="AA499" t="s">
        <v>74</v>
      </c>
      <c r="AB499" t="s">
        <v>74</v>
      </c>
      <c r="AC499" t="s">
        <v>74</v>
      </c>
      <c r="AD499" t="s">
        <v>74</v>
      </c>
      <c r="AE499" t="s">
        <v>74</v>
      </c>
      <c r="AF499" t="s">
        <v>74</v>
      </c>
      <c r="AG499">
        <v>7</v>
      </c>
      <c r="AH499">
        <v>3</v>
      </c>
      <c r="AI499">
        <v>3</v>
      </c>
      <c r="AJ499">
        <v>1</v>
      </c>
      <c r="AK499">
        <v>7</v>
      </c>
      <c r="AL499" t="s">
        <v>1038</v>
      </c>
      <c r="AM499" t="s">
        <v>550</v>
      </c>
      <c r="AN499" t="s">
        <v>1039</v>
      </c>
      <c r="AO499" t="s">
        <v>9290</v>
      </c>
      <c r="AP499" t="s">
        <v>9291</v>
      </c>
      <c r="AQ499" t="s">
        <v>74</v>
      </c>
      <c r="AR499" t="s">
        <v>9292</v>
      </c>
      <c r="AS499" t="s">
        <v>9293</v>
      </c>
      <c r="AT499" t="s">
        <v>7680</v>
      </c>
      <c r="AU499">
        <v>2010</v>
      </c>
      <c r="AV499">
        <v>4</v>
      </c>
      <c r="AW499">
        <v>2</v>
      </c>
      <c r="AX499" t="s">
        <v>74</v>
      </c>
      <c r="AY499" t="s">
        <v>74</v>
      </c>
      <c r="AZ499" t="s">
        <v>74</v>
      </c>
      <c r="BA499" t="s">
        <v>74</v>
      </c>
      <c r="BB499">
        <v>97</v>
      </c>
      <c r="BC499">
        <v>101</v>
      </c>
      <c r="BD499" t="s">
        <v>74</v>
      </c>
      <c r="BE499" t="s">
        <v>9307</v>
      </c>
      <c r="BF499" t="str">
        <f>HYPERLINK("http://dx.doi.org/10.1016/j.polar.2010.04.004","http://dx.doi.org/10.1016/j.polar.2010.04.004")</f>
        <v>http://dx.doi.org/10.1016/j.polar.2010.04.004</v>
      </c>
      <c r="BG499" t="s">
        <v>74</v>
      </c>
      <c r="BH499" t="s">
        <v>74</v>
      </c>
      <c r="BI499">
        <v>5</v>
      </c>
      <c r="BJ499" t="s">
        <v>9295</v>
      </c>
      <c r="BK499" t="s">
        <v>100</v>
      </c>
      <c r="BL499" t="s">
        <v>7084</v>
      </c>
      <c r="BM499" t="s">
        <v>9296</v>
      </c>
      <c r="BN499" t="s">
        <v>74</v>
      </c>
      <c r="BO499" t="s">
        <v>74</v>
      </c>
      <c r="BP499" t="s">
        <v>74</v>
      </c>
      <c r="BQ499" t="s">
        <v>74</v>
      </c>
      <c r="BR499" t="s">
        <v>104</v>
      </c>
      <c r="BS499" t="s">
        <v>9308</v>
      </c>
      <c r="BT499" t="str">
        <f>HYPERLINK("https%3A%2F%2Fwww.webofscience.com%2Fwos%2Fwoscc%2Ffull-record%2FWOS:000209450100002","View Full Record in Web of Science")</f>
        <v>View Full Record in Web of Science</v>
      </c>
    </row>
    <row r="500" spans="1:72" x14ac:dyDescent="0.15">
      <c r="A500" t="s">
        <v>72</v>
      </c>
      <c r="B500" t="s">
        <v>9309</v>
      </c>
      <c r="C500" t="s">
        <v>74</v>
      </c>
      <c r="D500" t="s">
        <v>74</v>
      </c>
      <c r="E500" t="s">
        <v>74</v>
      </c>
      <c r="F500" t="s">
        <v>9310</v>
      </c>
      <c r="G500" t="s">
        <v>74</v>
      </c>
      <c r="H500" t="s">
        <v>74</v>
      </c>
      <c r="I500" t="s">
        <v>9311</v>
      </c>
      <c r="J500" t="s">
        <v>9283</v>
      </c>
      <c r="K500" t="s">
        <v>74</v>
      </c>
      <c r="L500" t="s">
        <v>74</v>
      </c>
      <c r="M500" t="s">
        <v>78</v>
      </c>
      <c r="N500" t="s">
        <v>79</v>
      </c>
      <c r="O500" t="s">
        <v>74</v>
      </c>
      <c r="P500" t="s">
        <v>74</v>
      </c>
      <c r="Q500" t="s">
        <v>74</v>
      </c>
      <c r="R500" t="s">
        <v>74</v>
      </c>
      <c r="S500" t="s">
        <v>74</v>
      </c>
      <c r="T500" t="s">
        <v>9312</v>
      </c>
      <c r="U500" t="s">
        <v>74</v>
      </c>
      <c r="V500" t="s">
        <v>9313</v>
      </c>
      <c r="W500" t="s">
        <v>9314</v>
      </c>
      <c r="X500" t="s">
        <v>9315</v>
      </c>
      <c r="Y500" t="s">
        <v>9316</v>
      </c>
      <c r="Z500" t="s">
        <v>9317</v>
      </c>
      <c r="AA500" t="s">
        <v>9318</v>
      </c>
      <c r="AB500" t="s">
        <v>9319</v>
      </c>
      <c r="AC500" t="s">
        <v>9320</v>
      </c>
      <c r="AD500" t="s">
        <v>9321</v>
      </c>
      <c r="AE500" t="s">
        <v>9322</v>
      </c>
      <c r="AF500" t="s">
        <v>74</v>
      </c>
      <c r="AG500">
        <v>74</v>
      </c>
      <c r="AH500">
        <v>112</v>
      </c>
      <c r="AI500">
        <v>122</v>
      </c>
      <c r="AJ500">
        <v>1</v>
      </c>
      <c r="AK500">
        <v>34</v>
      </c>
      <c r="AL500" t="s">
        <v>549</v>
      </c>
      <c r="AM500" t="s">
        <v>550</v>
      </c>
      <c r="AN500" t="s">
        <v>551</v>
      </c>
      <c r="AO500" t="s">
        <v>9290</v>
      </c>
      <c r="AP500" t="s">
        <v>9291</v>
      </c>
      <c r="AQ500" t="s">
        <v>74</v>
      </c>
      <c r="AR500" t="s">
        <v>9292</v>
      </c>
      <c r="AS500" t="s">
        <v>9293</v>
      </c>
      <c r="AT500" t="s">
        <v>7680</v>
      </c>
      <c r="AU500">
        <v>2010</v>
      </c>
      <c r="AV500">
        <v>4</v>
      </c>
      <c r="AW500">
        <v>2</v>
      </c>
      <c r="AX500" t="s">
        <v>74</v>
      </c>
      <c r="AY500" t="s">
        <v>74</v>
      </c>
      <c r="AZ500" t="s">
        <v>74</v>
      </c>
      <c r="BA500" t="s">
        <v>74</v>
      </c>
      <c r="BB500">
        <v>103</v>
      </c>
      <c r="BC500">
        <v>113</v>
      </c>
      <c r="BD500" t="s">
        <v>74</v>
      </c>
      <c r="BE500" t="s">
        <v>9323</v>
      </c>
      <c r="BF500" t="str">
        <f>HYPERLINK("http://dx.doi.org/10.1016/j.polar.2010.03.006","http://dx.doi.org/10.1016/j.polar.2010.03.006")</f>
        <v>http://dx.doi.org/10.1016/j.polar.2010.03.006</v>
      </c>
      <c r="BG500" t="s">
        <v>74</v>
      </c>
      <c r="BH500" t="s">
        <v>74</v>
      </c>
      <c r="BI500">
        <v>11</v>
      </c>
      <c r="BJ500" t="s">
        <v>9295</v>
      </c>
      <c r="BK500" t="s">
        <v>100</v>
      </c>
      <c r="BL500" t="s">
        <v>7084</v>
      </c>
      <c r="BM500" t="s">
        <v>9296</v>
      </c>
      <c r="BN500" t="s">
        <v>74</v>
      </c>
      <c r="BO500" t="s">
        <v>1452</v>
      </c>
      <c r="BP500" t="s">
        <v>74</v>
      </c>
      <c r="BQ500" t="s">
        <v>74</v>
      </c>
      <c r="BR500" t="s">
        <v>104</v>
      </c>
      <c r="BS500" t="s">
        <v>9324</v>
      </c>
      <c r="BT500" t="str">
        <f>HYPERLINK("https%3A%2F%2Fwww.webofscience.com%2Fwos%2Fwoscc%2Ffull-record%2FWOS:000209450100003","View Full Record in Web of Science")</f>
        <v>View Full Record in Web of Science</v>
      </c>
    </row>
    <row r="501" spans="1:72" x14ac:dyDescent="0.15">
      <c r="A501" t="s">
        <v>72</v>
      </c>
      <c r="B501" t="s">
        <v>9325</v>
      </c>
      <c r="C501" t="s">
        <v>74</v>
      </c>
      <c r="D501" t="s">
        <v>74</v>
      </c>
      <c r="E501" t="s">
        <v>74</v>
      </c>
      <c r="F501" t="s">
        <v>9326</v>
      </c>
      <c r="G501" t="s">
        <v>74</v>
      </c>
      <c r="H501" t="s">
        <v>74</v>
      </c>
      <c r="I501" t="s">
        <v>9327</v>
      </c>
      <c r="J501" t="s">
        <v>9283</v>
      </c>
      <c r="K501" t="s">
        <v>74</v>
      </c>
      <c r="L501" t="s">
        <v>74</v>
      </c>
      <c r="M501" t="s">
        <v>78</v>
      </c>
      <c r="N501" t="s">
        <v>79</v>
      </c>
      <c r="O501" t="s">
        <v>74</v>
      </c>
      <c r="P501" t="s">
        <v>74</v>
      </c>
      <c r="Q501" t="s">
        <v>74</v>
      </c>
      <c r="R501" t="s">
        <v>74</v>
      </c>
      <c r="S501" t="s">
        <v>74</v>
      </c>
      <c r="T501" t="s">
        <v>9328</v>
      </c>
      <c r="U501" t="s">
        <v>9329</v>
      </c>
      <c r="V501" t="s">
        <v>9330</v>
      </c>
      <c r="W501" t="s">
        <v>9331</v>
      </c>
      <c r="X501" t="s">
        <v>9332</v>
      </c>
      <c r="Y501" t="s">
        <v>9333</v>
      </c>
      <c r="Z501" t="s">
        <v>9334</v>
      </c>
      <c r="AA501" t="s">
        <v>9335</v>
      </c>
      <c r="AB501" t="s">
        <v>9336</v>
      </c>
      <c r="AC501" t="s">
        <v>9337</v>
      </c>
      <c r="AD501" t="s">
        <v>9338</v>
      </c>
      <c r="AE501" t="s">
        <v>9339</v>
      </c>
      <c r="AF501" t="s">
        <v>74</v>
      </c>
      <c r="AG501">
        <v>54</v>
      </c>
      <c r="AH501">
        <v>35</v>
      </c>
      <c r="AI501">
        <v>36</v>
      </c>
      <c r="AJ501">
        <v>1</v>
      </c>
      <c r="AK501">
        <v>16</v>
      </c>
      <c r="AL501" t="s">
        <v>1038</v>
      </c>
      <c r="AM501" t="s">
        <v>550</v>
      </c>
      <c r="AN501" t="s">
        <v>1039</v>
      </c>
      <c r="AO501" t="s">
        <v>9290</v>
      </c>
      <c r="AP501" t="s">
        <v>9291</v>
      </c>
      <c r="AQ501" t="s">
        <v>74</v>
      </c>
      <c r="AR501" t="s">
        <v>9292</v>
      </c>
      <c r="AS501" t="s">
        <v>9293</v>
      </c>
      <c r="AT501" t="s">
        <v>7680</v>
      </c>
      <c r="AU501">
        <v>2010</v>
      </c>
      <c r="AV501">
        <v>4</v>
      </c>
      <c r="AW501">
        <v>2</v>
      </c>
      <c r="AX501" t="s">
        <v>74</v>
      </c>
      <c r="AY501" t="s">
        <v>74</v>
      </c>
      <c r="AZ501" t="s">
        <v>74</v>
      </c>
      <c r="BA501" t="s">
        <v>74</v>
      </c>
      <c r="BB501">
        <v>115</v>
      </c>
      <c r="BC501">
        <v>133</v>
      </c>
      <c r="BD501" t="s">
        <v>74</v>
      </c>
      <c r="BE501" t="s">
        <v>9340</v>
      </c>
      <c r="BF501" t="str">
        <f>HYPERLINK("http://dx.doi.org/10.1016/j.polar.2010.04.012","http://dx.doi.org/10.1016/j.polar.2010.04.012")</f>
        <v>http://dx.doi.org/10.1016/j.polar.2010.04.012</v>
      </c>
      <c r="BG501" t="s">
        <v>74</v>
      </c>
      <c r="BH501" t="s">
        <v>74</v>
      </c>
      <c r="BI501">
        <v>19</v>
      </c>
      <c r="BJ501" t="s">
        <v>9295</v>
      </c>
      <c r="BK501" t="s">
        <v>100</v>
      </c>
      <c r="BL501" t="s">
        <v>7084</v>
      </c>
      <c r="BM501" t="s">
        <v>9296</v>
      </c>
      <c r="BN501" t="s">
        <v>74</v>
      </c>
      <c r="BO501" t="s">
        <v>1452</v>
      </c>
      <c r="BP501" t="s">
        <v>74</v>
      </c>
      <c r="BQ501" t="s">
        <v>74</v>
      </c>
      <c r="BR501" t="s">
        <v>104</v>
      </c>
      <c r="BS501" t="s">
        <v>9341</v>
      </c>
      <c r="BT501" t="str">
        <f>HYPERLINK("https%3A%2F%2Fwww.webofscience.com%2Fwos%2Fwoscc%2Ffull-record%2FWOS:000209450100004","View Full Record in Web of Science")</f>
        <v>View Full Record in Web of Science</v>
      </c>
    </row>
    <row r="502" spans="1:72" x14ac:dyDescent="0.15">
      <c r="A502" t="s">
        <v>72</v>
      </c>
      <c r="B502" t="s">
        <v>9342</v>
      </c>
      <c r="C502" t="s">
        <v>74</v>
      </c>
      <c r="D502" t="s">
        <v>74</v>
      </c>
      <c r="E502" t="s">
        <v>74</v>
      </c>
      <c r="F502" t="s">
        <v>9343</v>
      </c>
      <c r="G502" t="s">
        <v>74</v>
      </c>
      <c r="H502" t="s">
        <v>74</v>
      </c>
      <c r="I502" t="s">
        <v>9344</v>
      </c>
      <c r="J502" t="s">
        <v>9283</v>
      </c>
      <c r="K502" t="s">
        <v>74</v>
      </c>
      <c r="L502" t="s">
        <v>74</v>
      </c>
      <c r="M502" t="s">
        <v>78</v>
      </c>
      <c r="N502" t="s">
        <v>79</v>
      </c>
      <c r="O502" t="s">
        <v>74</v>
      </c>
      <c r="P502" t="s">
        <v>74</v>
      </c>
      <c r="Q502" t="s">
        <v>74</v>
      </c>
      <c r="R502" t="s">
        <v>74</v>
      </c>
      <c r="S502" t="s">
        <v>74</v>
      </c>
      <c r="T502" t="s">
        <v>9345</v>
      </c>
      <c r="U502" t="s">
        <v>9346</v>
      </c>
      <c r="V502" t="s">
        <v>9347</v>
      </c>
      <c r="W502" t="s">
        <v>9348</v>
      </c>
      <c r="X502" t="s">
        <v>690</v>
      </c>
      <c r="Y502" t="s">
        <v>9349</v>
      </c>
      <c r="Z502" t="s">
        <v>9350</v>
      </c>
      <c r="AA502" t="s">
        <v>2530</v>
      </c>
      <c r="AB502" t="s">
        <v>2531</v>
      </c>
      <c r="AC502" t="s">
        <v>693</v>
      </c>
      <c r="AD502" t="s">
        <v>337</v>
      </c>
      <c r="AE502" t="s">
        <v>74</v>
      </c>
      <c r="AF502" t="s">
        <v>74</v>
      </c>
      <c r="AG502">
        <v>127</v>
      </c>
      <c r="AH502">
        <v>74</v>
      </c>
      <c r="AI502">
        <v>81</v>
      </c>
      <c r="AJ502">
        <v>1</v>
      </c>
      <c r="AK502">
        <v>11</v>
      </c>
      <c r="AL502" t="s">
        <v>1038</v>
      </c>
      <c r="AM502" t="s">
        <v>550</v>
      </c>
      <c r="AN502" t="s">
        <v>1039</v>
      </c>
      <c r="AO502" t="s">
        <v>9290</v>
      </c>
      <c r="AP502" t="s">
        <v>9291</v>
      </c>
      <c r="AQ502" t="s">
        <v>74</v>
      </c>
      <c r="AR502" t="s">
        <v>9292</v>
      </c>
      <c r="AS502" t="s">
        <v>9293</v>
      </c>
      <c r="AT502" t="s">
        <v>7680</v>
      </c>
      <c r="AU502">
        <v>2010</v>
      </c>
      <c r="AV502">
        <v>4</v>
      </c>
      <c r="AW502">
        <v>2</v>
      </c>
      <c r="AX502" t="s">
        <v>74</v>
      </c>
      <c r="AY502" t="s">
        <v>74</v>
      </c>
      <c r="AZ502" t="s">
        <v>74</v>
      </c>
      <c r="BA502" t="s">
        <v>74</v>
      </c>
      <c r="BB502">
        <v>135</v>
      </c>
      <c r="BC502">
        <v>147</v>
      </c>
      <c r="BD502" t="s">
        <v>74</v>
      </c>
      <c r="BE502" t="s">
        <v>9351</v>
      </c>
      <c r="BF502" t="str">
        <f>HYPERLINK("http://dx.doi.org/10.1016/j.polar.2010.03.003","http://dx.doi.org/10.1016/j.polar.2010.03.003")</f>
        <v>http://dx.doi.org/10.1016/j.polar.2010.03.003</v>
      </c>
      <c r="BG502" t="s">
        <v>74</v>
      </c>
      <c r="BH502" t="s">
        <v>74</v>
      </c>
      <c r="BI502">
        <v>13</v>
      </c>
      <c r="BJ502" t="s">
        <v>9295</v>
      </c>
      <c r="BK502" t="s">
        <v>100</v>
      </c>
      <c r="BL502" t="s">
        <v>7084</v>
      </c>
      <c r="BM502" t="s">
        <v>9296</v>
      </c>
      <c r="BN502" t="s">
        <v>74</v>
      </c>
      <c r="BO502" t="s">
        <v>1000</v>
      </c>
      <c r="BP502" t="s">
        <v>74</v>
      </c>
      <c r="BQ502" t="s">
        <v>74</v>
      </c>
      <c r="BR502" t="s">
        <v>104</v>
      </c>
      <c r="BS502" t="s">
        <v>9352</v>
      </c>
      <c r="BT502" t="str">
        <f>HYPERLINK("https%3A%2F%2Fwww.webofscience.com%2Fwos%2Fwoscc%2Ffull-record%2FWOS:000209450100005","View Full Record in Web of Science")</f>
        <v>View Full Record in Web of Science</v>
      </c>
    </row>
    <row r="503" spans="1:72" x14ac:dyDescent="0.15">
      <c r="A503" t="s">
        <v>72</v>
      </c>
      <c r="B503" t="s">
        <v>9353</v>
      </c>
      <c r="C503" t="s">
        <v>74</v>
      </c>
      <c r="D503" t="s">
        <v>74</v>
      </c>
      <c r="E503" t="s">
        <v>74</v>
      </c>
      <c r="F503" t="s">
        <v>9354</v>
      </c>
      <c r="G503" t="s">
        <v>74</v>
      </c>
      <c r="H503" t="s">
        <v>74</v>
      </c>
      <c r="I503" t="s">
        <v>9355</v>
      </c>
      <c r="J503" t="s">
        <v>9283</v>
      </c>
      <c r="K503" t="s">
        <v>74</v>
      </c>
      <c r="L503" t="s">
        <v>74</v>
      </c>
      <c r="M503" t="s">
        <v>78</v>
      </c>
      <c r="N503" t="s">
        <v>79</v>
      </c>
      <c r="O503" t="s">
        <v>74</v>
      </c>
      <c r="P503" t="s">
        <v>74</v>
      </c>
      <c r="Q503" t="s">
        <v>74</v>
      </c>
      <c r="R503" t="s">
        <v>74</v>
      </c>
      <c r="S503" t="s">
        <v>74</v>
      </c>
      <c r="T503" t="s">
        <v>9356</v>
      </c>
      <c r="U503" t="s">
        <v>9357</v>
      </c>
      <c r="V503" t="s">
        <v>9358</v>
      </c>
      <c r="W503" t="s">
        <v>9359</v>
      </c>
      <c r="X503" t="s">
        <v>9360</v>
      </c>
      <c r="Y503" t="s">
        <v>9361</v>
      </c>
      <c r="Z503" t="s">
        <v>9362</v>
      </c>
      <c r="AA503" t="s">
        <v>74</v>
      </c>
      <c r="AB503" t="s">
        <v>9363</v>
      </c>
      <c r="AC503" t="s">
        <v>9364</v>
      </c>
      <c r="AD503" t="s">
        <v>9365</v>
      </c>
      <c r="AE503" t="s">
        <v>9366</v>
      </c>
      <c r="AF503" t="s">
        <v>74</v>
      </c>
      <c r="AG503">
        <v>230</v>
      </c>
      <c r="AH503">
        <v>238</v>
      </c>
      <c r="AI503">
        <v>270</v>
      </c>
      <c r="AJ503">
        <v>8</v>
      </c>
      <c r="AK503">
        <v>74</v>
      </c>
      <c r="AL503" t="s">
        <v>1038</v>
      </c>
      <c r="AM503" t="s">
        <v>550</v>
      </c>
      <c r="AN503" t="s">
        <v>1039</v>
      </c>
      <c r="AO503" t="s">
        <v>9290</v>
      </c>
      <c r="AP503" t="s">
        <v>9291</v>
      </c>
      <c r="AQ503" t="s">
        <v>74</v>
      </c>
      <c r="AR503" t="s">
        <v>9292</v>
      </c>
      <c r="AS503" t="s">
        <v>9293</v>
      </c>
      <c r="AT503" t="s">
        <v>7680</v>
      </c>
      <c r="AU503">
        <v>2010</v>
      </c>
      <c r="AV503">
        <v>4</v>
      </c>
      <c r="AW503">
        <v>2</v>
      </c>
      <c r="AX503" t="s">
        <v>74</v>
      </c>
      <c r="AY503" t="s">
        <v>74</v>
      </c>
      <c r="AZ503" t="s">
        <v>74</v>
      </c>
      <c r="BA503" t="s">
        <v>74</v>
      </c>
      <c r="BB503">
        <v>149</v>
      </c>
      <c r="BC503">
        <v>186</v>
      </c>
      <c r="BD503" t="s">
        <v>74</v>
      </c>
      <c r="BE503" t="s">
        <v>9367</v>
      </c>
      <c r="BF503" t="str">
        <f>HYPERLINK("http://dx.doi.org/10.1016/j.polar.2010.05.001","http://dx.doi.org/10.1016/j.polar.2010.05.001")</f>
        <v>http://dx.doi.org/10.1016/j.polar.2010.05.001</v>
      </c>
      <c r="BG503" t="s">
        <v>74</v>
      </c>
      <c r="BH503" t="s">
        <v>74</v>
      </c>
      <c r="BI503">
        <v>38</v>
      </c>
      <c r="BJ503" t="s">
        <v>9295</v>
      </c>
      <c r="BK503" t="s">
        <v>100</v>
      </c>
      <c r="BL503" t="s">
        <v>7084</v>
      </c>
      <c r="BM503" t="s">
        <v>9296</v>
      </c>
      <c r="BN503" t="s">
        <v>74</v>
      </c>
      <c r="BO503" t="s">
        <v>1000</v>
      </c>
      <c r="BP503" t="s">
        <v>74</v>
      </c>
      <c r="BQ503" t="s">
        <v>74</v>
      </c>
      <c r="BR503" t="s">
        <v>104</v>
      </c>
      <c r="BS503" t="s">
        <v>9368</v>
      </c>
      <c r="BT503" t="str">
        <f>HYPERLINK("https%3A%2F%2Fwww.webofscience.com%2Fwos%2Fwoscc%2Ffull-record%2FWOS:000209450100006","View Full Record in Web of Science")</f>
        <v>View Full Record in Web of Science</v>
      </c>
    </row>
    <row r="504" spans="1:72" x14ac:dyDescent="0.15">
      <c r="A504" t="s">
        <v>72</v>
      </c>
      <c r="B504" t="s">
        <v>9369</v>
      </c>
      <c r="C504" t="s">
        <v>74</v>
      </c>
      <c r="D504" t="s">
        <v>74</v>
      </c>
      <c r="E504" t="s">
        <v>74</v>
      </c>
      <c r="F504" t="s">
        <v>9370</v>
      </c>
      <c r="G504" t="s">
        <v>74</v>
      </c>
      <c r="H504" t="s">
        <v>74</v>
      </c>
      <c r="I504" t="s">
        <v>9371</v>
      </c>
      <c r="J504" t="s">
        <v>9283</v>
      </c>
      <c r="K504" t="s">
        <v>74</v>
      </c>
      <c r="L504" t="s">
        <v>74</v>
      </c>
      <c r="M504" t="s">
        <v>78</v>
      </c>
      <c r="N504" t="s">
        <v>79</v>
      </c>
      <c r="O504" t="s">
        <v>74</v>
      </c>
      <c r="P504" t="s">
        <v>74</v>
      </c>
      <c r="Q504" t="s">
        <v>74</v>
      </c>
      <c r="R504" t="s">
        <v>74</v>
      </c>
      <c r="S504" t="s">
        <v>74</v>
      </c>
      <c r="T504" t="s">
        <v>9372</v>
      </c>
      <c r="U504" t="s">
        <v>74</v>
      </c>
      <c r="V504" t="s">
        <v>9373</v>
      </c>
      <c r="W504" t="s">
        <v>9374</v>
      </c>
      <c r="X504" t="s">
        <v>9375</v>
      </c>
      <c r="Y504" t="s">
        <v>9376</v>
      </c>
      <c r="Z504" t="s">
        <v>8774</v>
      </c>
      <c r="AA504" t="s">
        <v>74</v>
      </c>
      <c r="AB504" t="s">
        <v>74</v>
      </c>
      <c r="AC504" t="s">
        <v>9377</v>
      </c>
      <c r="AD504" t="s">
        <v>9378</v>
      </c>
      <c r="AE504" t="s">
        <v>9379</v>
      </c>
      <c r="AF504" t="s">
        <v>74</v>
      </c>
      <c r="AG504">
        <v>44</v>
      </c>
      <c r="AH504">
        <v>17</v>
      </c>
      <c r="AI504">
        <v>19</v>
      </c>
      <c r="AJ504">
        <v>0</v>
      </c>
      <c r="AK504">
        <v>2</v>
      </c>
      <c r="AL504" t="s">
        <v>549</v>
      </c>
      <c r="AM504" t="s">
        <v>550</v>
      </c>
      <c r="AN504" t="s">
        <v>551</v>
      </c>
      <c r="AO504" t="s">
        <v>9290</v>
      </c>
      <c r="AP504" t="s">
        <v>9291</v>
      </c>
      <c r="AQ504" t="s">
        <v>74</v>
      </c>
      <c r="AR504" t="s">
        <v>9292</v>
      </c>
      <c r="AS504" t="s">
        <v>9293</v>
      </c>
      <c r="AT504" t="s">
        <v>7680</v>
      </c>
      <c r="AU504">
        <v>2010</v>
      </c>
      <c r="AV504">
        <v>4</v>
      </c>
      <c r="AW504">
        <v>2</v>
      </c>
      <c r="AX504" t="s">
        <v>74</v>
      </c>
      <c r="AY504" t="s">
        <v>74</v>
      </c>
      <c r="AZ504" t="s">
        <v>74</v>
      </c>
      <c r="BA504" t="s">
        <v>74</v>
      </c>
      <c r="BB504">
        <v>187</v>
      </c>
      <c r="BC504">
        <v>196</v>
      </c>
      <c r="BD504" t="s">
        <v>74</v>
      </c>
      <c r="BE504" t="s">
        <v>9380</v>
      </c>
      <c r="BF504" t="str">
        <f>HYPERLINK("http://dx.doi.org/10.1016/j.polar.2010.04.001","http://dx.doi.org/10.1016/j.polar.2010.04.001")</f>
        <v>http://dx.doi.org/10.1016/j.polar.2010.04.001</v>
      </c>
      <c r="BG504" t="s">
        <v>74</v>
      </c>
      <c r="BH504" t="s">
        <v>74</v>
      </c>
      <c r="BI504">
        <v>10</v>
      </c>
      <c r="BJ504" t="s">
        <v>9295</v>
      </c>
      <c r="BK504" t="s">
        <v>100</v>
      </c>
      <c r="BL504" t="s">
        <v>7084</v>
      </c>
      <c r="BM504" t="s">
        <v>9296</v>
      </c>
      <c r="BN504" t="s">
        <v>74</v>
      </c>
      <c r="BO504" t="s">
        <v>1000</v>
      </c>
      <c r="BP504" t="s">
        <v>74</v>
      </c>
      <c r="BQ504" t="s">
        <v>74</v>
      </c>
      <c r="BR504" t="s">
        <v>104</v>
      </c>
      <c r="BS504" t="s">
        <v>9381</v>
      </c>
      <c r="BT504" t="str">
        <f>HYPERLINK("https%3A%2F%2Fwww.webofscience.com%2Fwos%2Fwoscc%2Ffull-record%2FWOS:000209450100007","View Full Record in Web of Science")</f>
        <v>View Full Record in Web of Science</v>
      </c>
    </row>
    <row r="505" spans="1:72" x14ac:dyDescent="0.15">
      <c r="A505" t="s">
        <v>72</v>
      </c>
      <c r="B505" t="s">
        <v>9382</v>
      </c>
      <c r="C505" t="s">
        <v>74</v>
      </c>
      <c r="D505" t="s">
        <v>74</v>
      </c>
      <c r="E505" t="s">
        <v>74</v>
      </c>
      <c r="F505" t="s">
        <v>9383</v>
      </c>
      <c r="G505" t="s">
        <v>74</v>
      </c>
      <c r="H505" t="s">
        <v>74</v>
      </c>
      <c r="I505" t="s">
        <v>9384</v>
      </c>
      <c r="J505" t="s">
        <v>9283</v>
      </c>
      <c r="K505" t="s">
        <v>74</v>
      </c>
      <c r="L505" t="s">
        <v>74</v>
      </c>
      <c r="M505" t="s">
        <v>78</v>
      </c>
      <c r="N505" t="s">
        <v>79</v>
      </c>
      <c r="O505" t="s">
        <v>74</v>
      </c>
      <c r="P505" t="s">
        <v>74</v>
      </c>
      <c r="Q505" t="s">
        <v>74</v>
      </c>
      <c r="R505" t="s">
        <v>74</v>
      </c>
      <c r="S505" t="s">
        <v>74</v>
      </c>
      <c r="T505" t="s">
        <v>9385</v>
      </c>
      <c r="U505" t="s">
        <v>74</v>
      </c>
      <c r="V505" t="s">
        <v>9386</v>
      </c>
      <c r="W505" t="s">
        <v>9387</v>
      </c>
      <c r="X505" t="s">
        <v>9388</v>
      </c>
      <c r="Y505" t="s">
        <v>9389</v>
      </c>
      <c r="Z505" t="s">
        <v>3958</v>
      </c>
      <c r="AA505" t="s">
        <v>9390</v>
      </c>
      <c r="AB505" t="s">
        <v>9391</v>
      </c>
      <c r="AC505" t="s">
        <v>9392</v>
      </c>
      <c r="AD505" t="s">
        <v>9393</v>
      </c>
      <c r="AE505" t="s">
        <v>9394</v>
      </c>
      <c r="AF505" t="s">
        <v>74</v>
      </c>
      <c r="AG505">
        <v>71</v>
      </c>
      <c r="AH505">
        <v>41</v>
      </c>
      <c r="AI505">
        <v>43</v>
      </c>
      <c r="AJ505">
        <v>0</v>
      </c>
      <c r="AK505">
        <v>8</v>
      </c>
      <c r="AL505" t="s">
        <v>549</v>
      </c>
      <c r="AM505" t="s">
        <v>550</v>
      </c>
      <c r="AN505" t="s">
        <v>551</v>
      </c>
      <c r="AO505" t="s">
        <v>9290</v>
      </c>
      <c r="AP505" t="s">
        <v>9291</v>
      </c>
      <c r="AQ505" t="s">
        <v>74</v>
      </c>
      <c r="AR505" t="s">
        <v>9292</v>
      </c>
      <c r="AS505" t="s">
        <v>9293</v>
      </c>
      <c r="AT505" t="s">
        <v>7680</v>
      </c>
      <c r="AU505">
        <v>2010</v>
      </c>
      <c r="AV505">
        <v>4</v>
      </c>
      <c r="AW505">
        <v>2</v>
      </c>
      <c r="AX505" t="s">
        <v>74</v>
      </c>
      <c r="AY505" t="s">
        <v>74</v>
      </c>
      <c r="AZ505" t="s">
        <v>74</v>
      </c>
      <c r="BA505" t="s">
        <v>74</v>
      </c>
      <c r="BB505">
        <v>197</v>
      </c>
      <c r="BC505">
        <v>214</v>
      </c>
      <c r="BD505" t="s">
        <v>74</v>
      </c>
      <c r="BE505" t="s">
        <v>9395</v>
      </c>
      <c r="BF505" t="str">
        <f>HYPERLINK("http://dx.doi.org/10.1016/j.polar.2010.04.003","http://dx.doi.org/10.1016/j.polar.2010.04.003")</f>
        <v>http://dx.doi.org/10.1016/j.polar.2010.04.003</v>
      </c>
      <c r="BG505" t="s">
        <v>74</v>
      </c>
      <c r="BH505" t="s">
        <v>74</v>
      </c>
      <c r="BI505">
        <v>18</v>
      </c>
      <c r="BJ505" t="s">
        <v>9295</v>
      </c>
      <c r="BK505" t="s">
        <v>100</v>
      </c>
      <c r="BL505" t="s">
        <v>7084</v>
      </c>
      <c r="BM505" t="s">
        <v>9296</v>
      </c>
      <c r="BN505" t="s">
        <v>74</v>
      </c>
      <c r="BO505" t="s">
        <v>1935</v>
      </c>
      <c r="BP505" t="s">
        <v>74</v>
      </c>
      <c r="BQ505" t="s">
        <v>74</v>
      </c>
      <c r="BR505" t="s">
        <v>104</v>
      </c>
      <c r="BS505" t="s">
        <v>9396</v>
      </c>
      <c r="BT505" t="str">
        <f>HYPERLINK("https%3A%2F%2Fwww.webofscience.com%2Fwos%2Fwoscc%2Ffull-record%2FWOS:000209450100008","View Full Record in Web of Science")</f>
        <v>View Full Record in Web of Science</v>
      </c>
    </row>
    <row r="506" spans="1:72" x14ac:dyDescent="0.15">
      <c r="A506" t="s">
        <v>72</v>
      </c>
      <c r="B506" t="s">
        <v>9397</v>
      </c>
      <c r="C506" t="s">
        <v>74</v>
      </c>
      <c r="D506" t="s">
        <v>74</v>
      </c>
      <c r="E506" t="s">
        <v>74</v>
      </c>
      <c r="F506" t="s">
        <v>9398</v>
      </c>
      <c r="G506" t="s">
        <v>74</v>
      </c>
      <c r="H506" t="s">
        <v>74</v>
      </c>
      <c r="I506" t="s">
        <v>9399</v>
      </c>
      <c r="J506" t="s">
        <v>9283</v>
      </c>
      <c r="K506" t="s">
        <v>74</v>
      </c>
      <c r="L506" t="s">
        <v>74</v>
      </c>
      <c r="M506" t="s">
        <v>78</v>
      </c>
      <c r="N506" t="s">
        <v>79</v>
      </c>
      <c r="O506" t="s">
        <v>74</v>
      </c>
      <c r="P506" t="s">
        <v>74</v>
      </c>
      <c r="Q506" t="s">
        <v>74</v>
      </c>
      <c r="R506" t="s">
        <v>74</v>
      </c>
      <c r="S506" t="s">
        <v>74</v>
      </c>
      <c r="T506" t="s">
        <v>9400</v>
      </c>
      <c r="U506" t="s">
        <v>9401</v>
      </c>
      <c r="V506" t="s">
        <v>9402</v>
      </c>
      <c r="W506" t="s">
        <v>9403</v>
      </c>
      <c r="X506" t="s">
        <v>9404</v>
      </c>
      <c r="Y506" t="s">
        <v>9405</v>
      </c>
      <c r="Z506" t="s">
        <v>9406</v>
      </c>
      <c r="AA506" t="s">
        <v>74</v>
      </c>
      <c r="AB506" t="s">
        <v>9407</v>
      </c>
      <c r="AC506" t="s">
        <v>9408</v>
      </c>
      <c r="AD506" t="s">
        <v>9409</v>
      </c>
      <c r="AE506" t="s">
        <v>9410</v>
      </c>
      <c r="AF506" t="s">
        <v>74</v>
      </c>
      <c r="AG506">
        <v>34</v>
      </c>
      <c r="AH506">
        <v>24</v>
      </c>
      <c r="AI506">
        <v>26</v>
      </c>
      <c r="AJ506">
        <v>0</v>
      </c>
      <c r="AK506">
        <v>18</v>
      </c>
      <c r="AL506" t="s">
        <v>1038</v>
      </c>
      <c r="AM506" t="s">
        <v>550</v>
      </c>
      <c r="AN506" t="s">
        <v>1039</v>
      </c>
      <c r="AO506" t="s">
        <v>9290</v>
      </c>
      <c r="AP506" t="s">
        <v>9291</v>
      </c>
      <c r="AQ506" t="s">
        <v>74</v>
      </c>
      <c r="AR506" t="s">
        <v>9292</v>
      </c>
      <c r="AS506" t="s">
        <v>9293</v>
      </c>
      <c r="AT506" t="s">
        <v>7680</v>
      </c>
      <c r="AU506">
        <v>2010</v>
      </c>
      <c r="AV506">
        <v>4</v>
      </c>
      <c r="AW506">
        <v>2</v>
      </c>
      <c r="AX506" t="s">
        <v>74</v>
      </c>
      <c r="AY506" t="s">
        <v>74</v>
      </c>
      <c r="AZ506" t="s">
        <v>74</v>
      </c>
      <c r="BA506" t="s">
        <v>74</v>
      </c>
      <c r="BB506">
        <v>215</v>
      </c>
      <c r="BC506">
        <v>227</v>
      </c>
      <c r="BD506" t="s">
        <v>74</v>
      </c>
      <c r="BE506" t="s">
        <v>9411</v>
      </c>
      <c r="BF506" t="str">
        <f>HYPERLINK("http://dx.doi.org/10.1016/j.polar.2010.05.003","http://dx.doi.org/10.1016/j.polar.2010.05.003")</f>
        <v>http://dx.doi.org/10.1016/j.polar.2010.05.003</v>
      </c>
      <c r="BG506" t="s">
        <v>74</v>
      </c>
      <c r="BH506" t="s">
        <v>74</v>
      </c>
      <c r="BI506">
        <v>13</v>
      </c>
      <c r="BJ506" t="s">
        <v>9295</v>
      </c>
      <c r="BK506" t="s">
        <v>100</v>
      </c>
      <c r="BL506" t="s">
        <v>7084</v>
      </c>
      <c r="BM506" t="s">
        <v>9296</v>
      </c>
      <c r="BN506" t="s">
        <v>74</v>
      </c>
      <c r="BO506" t="s">
        <v>1000</v>
      </c>
      <c r="BP506" t="s">
        <v>74</v>
      </c>
      <c r="BQ506" t="s">
        <v>74</v>
      </c>
      <c r="BR506" t="s">
        <v>104</v>
      </c>
      <c r="BS506" t="s">
        <v>9412</v>
      </c>
      <c r="BT506" t="str">
        <f>HYPERLINK("https%3A%2F%2Fwww.webofscience.com%2Fwos%2Fwoscc%2Ffull-record%2FWOS:000209450100009","View Full Record in Web of Science")</f>
        <v>View Full Record in Web of Science</v>
      </c>
    </row>
    <row r="507" spans="1:72" x14ac:dyDescent="0.15">
      <c r="A507" t="s">
        <v>72</v>
      </c>
      <c r="B507" t="s">
        <v>9413</v>
      </c>
      <c r="C507" t="s">
        <v>74</v>
      </c>
      <c r="D507" t="s">
        <v>74</v>
      </c>
      <c r="E507" t="s">
        <v>74</v>
      </c>
      <c r="F507" t="s">
        <v>9414</v>
      </c>
      <c r="G507" t="s">
        <v>74</v>
      </c>
      <c r="H507" t="s">
        <v>74</v>
      </c>
      <c r="I507" t="s">
        <v>9415</v>
      </c>
      <c r="J507" t="s">
        <v>9283</v>
      </c>
      <c r="K507" t="s">
        <v>74</v>
      </c>
      <c r="L507" t="s">
        <v>74</v>
      </c>
      <c r="M507" t="s">
        <v>78</v>
      </c>
      <c r="N507" t="s">
        <v>79</v>
      </c>
      <c r="O507" t="s">
        <v>74</v>
      </c>
      <c r="P507" t="s">
        <v>74</v>
      </c>
      <c r="Q507" t="s">
        <v>74</v>
      </c>
      <c r="R507" t="s">
        <v>74</v>
      </c>
      <c r="S507" t="s">
        <v>74</v>
      </c>
      <c r="T507" t="s">
        <v>9416</v>
      </c>
      <c r="U507" t="s">
        <v>74</v>
      </c>
      <c r="V507" t="s">
        <v>9417</v>
      </c>
      <c r="W507" t="s">
        <v>9418</v>
      </c>
      <c r="X507" t="s">
        <v>9419</v>
      </c>
      <c r="Y507" t="s">
        <v>9420</v>
      </c>
      <c r="Z507" t="s">
        <v>9421</v>
      </c>
      <c r="AA507" t="s">
        <v>9422</v>
      </c>
      <c r="AB507" t="s">
        <v>9423</v>
      </c>
      <c r="AC507" t="s">
        <v>74</v>
      </c>
      <c r="AD507" t="s">
        <v>74</v>
      </c>
      <c r="AE507" t="s">
        <v>74</v>
      </c>
      <c r="AF507" t="s">
        <v>74</v>
      </c>
      <c r="AG507">
        <v>55</v>
      </c>
      <c r="AH507">
        <v>7</v>
      </c>
      <c r="AI507">
        <v>9</v>
      </c>
      <c r="AJ507">
        <v>0</v>
      </c>
      <c r="AK507">
        <v>6</v>
      </c>
      <c r="AL507" t="s">
        <v>549</v>
      </c>
      <c r="AM507" t="s">
        <v>550</v>
      </c>
      <c r="AN507" t="s">
        <v>551</v>
      </c>
      <c r="AO507" t="s">
        <v>9290</v>
      </c>
      <c r="AP507" t="s">
        <v>9291</v>
      </c>
      <c r="AQ507" t="s">
        <v>74</v>
      </c>
      <c r="AR507" t="s">
        <v>9292</v>
      </c>
      <c r="AS507" t="s">
        <v>9293</v>
      </c>
      <c r="AT507" t="s">
        <v>7680</v>
      </c>
      <c r="AU507">
        <v>2010</v>
      </c>
      <c r="AV507">
        <v>4</v>
      </c>
      <c r="AW507">
        <v>2</v>
      </c>
      <c r="AX507" t="s">
        <v>74</v>
      </c>
      <c r="AY507" t="s">
        <v>74</v>
      </c>
      <c r="AZ507" t="s">
        <v>74</v>
      </c>
      <c r="BA507" t="s">
        <v>74</v>
      </c>
      <c r="BB507">
        <v>229</v>
      </c>
      <c r="BC507">
        <v>235</v>
      </c>
      <c r="BD507" t="s">
        <v>74</v>
      </c>
      <c r="BE507" t="s">
        <v>9424</v>
      </c>
      <c r="BF507" t="str">
        <f>HYPERLINK("http://dx.doi.org/10.1016/j.polar.2010.03.001","http://dx.doi.org/10.1016/j.polar.2010.03.001")</f>
        <v>http://dx.doi.org/10.1016/j.polar.2010.03.001</v>
      </c>
      <c r="BG507" t="s">
        <v>74</v>
      </c>
      <c r="BH507" t="s">
        <v>74</v>
      </c>
      <c r="BI507">
        <v>7</v>
      </c>
      <c r="BJ507" t="s">
        <v>9295</v>
      </c>
      <c r="BK507" t="s">
        <v>100</v>
      </c>
      <c r="BL507" t="s">
        <v>7084</v>
      </c>
      <c r="BM507" t="s">
        <v>9296</v>
      </c>
      <c r="BN507" t="s">
        <v>74</v>
      </c>
      <c r="BO507" t="s">
        <v>1000</v>
      </c>
      <c r="BP507" t="s">
        <v>74</v>
      </c>
      <c r="BQ507" t="s">
        <v>74</v>
      </c>
      <c r="BR507" t="s">
        <v>104</v>
      </c>
      <c r="BS507" t="s">
        <v>9425</v>
      </c>
      <c r="BT507" t="str">
        <f>HYPERLINK("https%3A%2F%2Fwww.webofscience.com%2Fwos%2Fwoscc%2Ffull-record%2FWOS:000209450100010","View Full Record in Web of Science")</f>
        <v>View Full Record in Web of Science</v>
      </c>
    </row>
    <row r="508" spans="1:72" x14ac:dyDescent="0.15">
      <c r="A508" t="s">
        <v>72</v>
      </c>
      <c r="B508" t="s">
        <v>9426</v>
      </c>
      <c r="C508" t="s">
        <v>74</v>
      </c>
      <c r="D508" t="s">
        <v>74</v>
      </c>
      <c r="E508" t="s">
        <v>74</v>
      </c>
      <c r="F508" t="s">
        <v>9427</v>
      </c>
      <c r="G508" t="s">
        <v>74</v>
      </c>
      <c r="H508" t="s">
        <v>74</v>
      </c>
      <c r="I508" t="s">
        <v>9428</v>
      </c>
      <c r="J508" t="s">
        <v>9283</v>
      </c>
      <c r="K508" t="s">
        <v>74</v>
      </c>
      <c r="L508" t="s">
        <v>74</v>
      </c>
      <c r="M508" t="s">
        <v>78</v>
      </c>
      <c r="N508" t="s">
        <v>79</v>
      </c>
      <c r="O508" t="s">
        <v>74</v>
      </c>
      <c r="P508" t="s">
        <v>74</v>
      </c>
      <c r="Q508" t="s">
        <v>74</v>
      </c>
      <c r="R508" t="s">
        <v>74</v>
      </c>
      <c r="S508" t="s">
        <v>74</v>
      </c>
      <c r="T508" t="s">
        <v>9429</v>
      </c>
      <c r="U508" t="s">
        <v>74</v>
      </c>
      <c r="V508" t="s">
        <v>9430</v>
      </c>
      <c r="W508" t="s">
        <v>9431</v>
      </c>
      <c r="X508" t="s">
        <v>9432</v>
      </c>
      <c r="Y508" t="s">
        <v>9433</v>
      </c>
      <c r="Z508" t="s">
        <v>9434</v>
      </c>
      <c r="AA508" t="s">
        <v>9435</v>
      </c>
      <c r="AB508" t="s">
        <v>9436</v>
      </c>
      <c r="AC508" t="s">
        <v>9437</v>
      </c>
      <c r="AD508" t="s">
        <v>9438</v>
      </c>
      <c r="AE508" t="s">
        <v>9439</v>
      </c>
      <c r="AF508" t="s">
        <v>74</v>
      </c>
      <c r="AG508">
        <v>42</v>
      </c>
      <c r="AH508">
        <v>3</v>
      </c>
      <c r="AI508">
        <v>3</v>
      </c>
      <c r="AJ508">
        <v>0</v>
      </c>
      <c r="AK508">
        <v>0</v>
      </c>
      <c r="AL508" t="s">
        <v>549</v>
      </c>
      <c r="AM508" t="s">
        <v>550</v>
      </c>
      <c r="AN508" t="s">
        <v>551</v>
      </c>
      <c r="AO508" t="s">
        <v>9290</v>
      </c>
      <c r="AP508" t="s">
        <v>9291</v>
      </c>
      <c r="AQ508" t="s">
        <v>74</v>
      </c>
      <c r="AR508" t="s">
        <v>9292</v>
      </c>
      <c r="AS508" t="s">
        <v>9293</v>
      </c>
      <c r="AT508" t="s">
        <v>7680</v>
      </c>
      <c r="AU508">
        <v>2010</v>
      </c>
      <c r="AV508">
        <v>4</v>
      </c>
      <c r="AW508">
        <v>2</v>
      </c>
      <c r="AX508" t="s">
        <v>74</v>
      </c>
      <c r="AY508" t="s">
        <v>74</v>
      </c>
      <c r="AZ508" t="s">
        <v>74</v>
      </c>
      <c r="BA508" t="s">
        <v>74</v>
      </c>
      <c r="BB508">
        <v>237</v>
      </c>
      <c r="BC508">
        <v>244</v>
      </c>
      <c r="BD508" t="s">
        <v>74</v>
      </c>
      <c r="BE508" t="s">
        <v>9440</v>
      </c>
      <c r="BF508" t="str">
        <f>HYPERLINK("http://dx.doi.org/10.1016/j.polar.2010.03.007","http://dx.doi.org/10.1016/j.polar.2010.03.007")</f>
        <v>http://dx.doi.org/10.1016/j.polar.2010.03.007</v>
      </c>
      <c r="BG508" t="s">
        <v>74</v>
      </c>
      <c r="BH508" t="s">
        <v>74</v>
      </c>
      <c r="BI508">
        <v>8</v>
      </c>
      <c r="BJ508" t="s">
        <v>9295</v>
      </c>
      <c r="BK508" t="s">
        <v>100</v>
      </c>
      <c r="BL508" t="s">
        <v>7084</v>
      </c>
      <c r="BM508" t="s">
        <v>9296</v>
      </c>
      <c r="BN508" t="s">
        <v>74</v>
      </c>
      <c r="BO508" t="s">
        <v>1452</v>
      </c>
      <c r="BP508" t="s">
        <v>74</v>
      </c>
      <c r="BQ508" t="s">
        <v>74</v>
      </c>
      <c r="BR508" t="s">
        <v>104</v>
      </c>
      <c r="BS508" t="s">
        <v>9441</v>
      </c>
      <c r="BT508" t="str">
        <f>HYPERLINK("https%3A%2F%2Fwww.webofscience.com%2Fwos%2Fwoscc%2Ffull-record%2FWOS:000209450100011","View Full Record in Web of Science")</f>
        <v>View Full Record in Web of Science</v>
      </c>
    </row>
    <row r="509" spans="1:72" x14ac:dyDescent="0.15">
      <c r="A509" t="s">
        <v>72</v>
      </c>
      <c r="B509" t="s">
        <v>9442</v>
      </c>
      <c r="C509" t="s">
        <v>74</v>
      </c>
      <c r="D509" t="s">
        <v>74</v>
      </c>
      <c r="E509" t="s">
        <v>74</v>
      </c>
      <c r="F509" t="s">
        <v>9443</v>
      </c>
      <c r="G509" t="s">
        <v>74</v>
      </c>
      <c r="H509" t="s">
        <v>74</v>
      </c>
      <c r="I509" t="s">
        <v>9444</v>
      </c>
      <c r="J509" t="s">
        <v>9283</v>
      </c>
      <c r="K509" t="s">
        <v>74</v>
      </c>
      <c r="L509" t="s">
        <v>74</v>
      </c>
      <c r="M509" t="s">
        <v>78</v>
      </c>
      <c r="N509" t="s">
        <v>79</v>
      </c>
      <c r="O509" t="s">
        <v>74</v>
      </c>
      <c r="P509" t="s">
        <v>74</v>
      </c>
      <c r="Q509" t="s">
        <v>74</v>
      </c>
      <c r="R509" t="s">
        <v>74</v>
      </c>
      <c r="S509" t="s">
        <v>74</v>
      </c>
      <c r="T509" t="s">
        <v>9445</v>
      </c>
      <c r="U509" t="s">
        <v>9446</v>
      </c>
      <c r="V509" t="s">
        <v>9447</v>
      </c>
      <c r="W509" t="s">
        <v>9448</v>
      </c>
      <c r="X509" t="s">
        <v>6551</v>
      </c>
      <c r="Y509" t="s">
        <v>9449</v>
      </c>
      <c r="Z509" t="s">
        <v>9450</v>
      </c>
      <c r="AA509" t="s">
        <v>6554</v>
      </c>
      <c r="AB509" t="s">
        <v>9451</v>
      </c>
      <c r="AC509" t="s">
        <v>9452</v>
      </c>
      <c r="AD509" t="s">
        <v>6557</v>
      </c>
      <c r="AE509" t="s">
        <v>9453</v>
      </c>
      <c r="AF509" t="s">
        <v>74</v>
      </c>
      <c r="AG509">
        <v>129</v>
      </c>
      <c r="AH509">
        <v>9</v>
      </c>
      <c r="AI509">
        <v>11</v>
      </c>
      <c r="AJ509">
        <v>4</v>
      </c>
      <c r="AK509">
        <v>10</v>
      </c>
      <c r="AL509" t="s">
        <v>1038</v>
      </c>
      <c r="AM509" t="s">
        <v>550</v>
      </c>
      <c r="AN509" t="s">
        <v>1039</v>
      </c>
      <c r="AO509" t="s">
        <v>9290</v>
      </c>
      <c r="AP509" t="s">
        <v>9291</v>
      </c>
      <c r="AQ509" t="s">
        <v>74</v>
      </c>
      <c r="AR509" t="s">
        <v>9292</v>
      </c>
      <c r="AS509" t="s">
        <v>9293</v>
      </c>
      <c r="AT509" t="s">
        <v>7680</v>
      </c>
      <c r="AU509">
        <v>2010</v>
      </c>
      <c r="AV509">
        <v>4</v>
      </c>
      <c r="AW509">
        <v>2</v>
      </c>
      <c r="AX509" t="s">
        <v>74</v>
      </c>
      <c r="AY509" t="s">
        <v>74</v>
      </c>
      <c r="AZ509" t="s">
        <v>74</v>
      </c>
      <c r="BA509" t="s">
        <v>74</v>
      </c>
      <c r="BB509">
        <v>245</v>
      </c>
      <c r="BC509">
        <v>256</v>
      </c>
      <c r="BD509" t="s">
        <v>74</v>
      </c>
      <c r="BE509" t="s">
        <v>9454</v>
      </c>
      <c r="BF509" t="str">
        <f>HYPERLINK("http://dx.doi.org/10.1016/j.polar.2010.03.005","http://dx.doi.org/10.1016/j.polar.2010.03.005")</f>
        <v>http://dx.doi.org/10.1016/j.polar.2010.03.005</v>
      </c>
      <c r="BG509" t="s">
        <v>74</v>
      </c>
      <c r="BH509" t="s">
        <v>74</v>
      </c>
      <c r="BI509">
        <v>12</v>
      </c>
      <c r="BJ509" t="s">
        <v>9295</v>
      </c>
      <c r="BK509" t="s">
        <v>100</v>
      </c>
      <c r="BL509" t="s">
        <v>7084</v>
      </c>
      <c r="BM509" t="s">
        <v>9296</v>
      </c>
      <c r="BN509" t="s">
        <v>74</v>
      </c>
      <c r="BO509" t="s">
        <v>1000</v>
      </c>
      <c r="BP509" t="s">
        <v>74</v>
      </c>
      <c r="BQ509" t="s">
        <v>74</v>
      </c>
      <c r="BR509" t="s">
        <v>104</v>
      </c>
      <c r="BS509" t="s">
        <v>9455</v>
      </c>
      <c r="BT509" t="str">
        <f>HYPERLINK("https%3A%2F%2Fwww.webofscience.com%2Fwos%2Fwoscc%2Ffull-record%2FWOS:000209450100012","View Full Record in Web of Science")</f>
        <v>View Full Record in Web of Science</v>
      </c>
    </row>
    <row r="510" spans="1:72" x14ac:dyDescent="0.15">
      <c r="A510" t="s">
        <v>72</v>
      </c>
      <c r="B510" t="s">
        <v>1352</v>
      </c>
      <c r="C510" t="s">
        <v>74</v>
      </c>
      <c r="D510" t="s">
        <v>74</v>
      </c>
      <c r="E510" t="s">
        <v>74</v>
      </c>
      <c r="F510" t="s">
        <v>1353</v>
      </c>
      <c r="G510" t="s">
        <v>74</v>
      </c>
      <c r="H510" t="s">
        <v>74</v>
      </c>
      <c r="I510" t="s">
        <v>9456</v>
      </c>
      <c r="J510" t="s">
        <v>9283</v>
      </c>
      <c r="K510" t="s">
        <v>74</v>
      </c>
      <c r="L510" t="s">
        <v>74</v>
      </c>
      <c r="M510" t="s">
        <v>78</v>
      </c>
      <c r="N510" t="s">
        <v>79</v>
      </c>
      <c r="O510" t="s">
        <v>74</v>
      </c>
      <c r="P510" t="s">
        <v>74</v>
      </c>
      <c r="Q510" t="s">
        <v>74</v>
      </c>
      <c r="R510" t="s">
        <v>74</v>
      </c>
      <c r="S510" t="s">
        <v>74</v>
      </c>
      <c r="T510" t="s">
        <v>9457</v>
      </c>
      <c r="U510" t="s">
        <v>9458</v>
      </c>
      <c r="V510" t="s">
        <v>9459</v>
      </c>
      <c r="W510" t="s">
        <v>9460</v>
      </c>
      <c r="X510" t="s">
        <v>1359</v>
      </c>
      <c r="Y510" t="s">
        <v>9461</v>
      </c>
      <c r="Z510" t="s">
        <v>1361</v>
      </c>
      <c r="AA510" t="s">
        <v>74</v>
      </c>
      <c r="AB510" t="s">
        <v>74</v>
      </c>
      <c r="AC510" t="s">
        <v>74</v>
      </c>
      <c r="AD510" t="s">
        <v>74</v>
      </c>
      <c r="AE510" t="s">
        <v>74</v>
      </c>
      <c r="AF510" t="s">
        <v>74</v>
      </c>
      <c r="AG510">
        <v>16</v>
      </c>
      <c r="AH510">
        <v>8</v>
      </c>
      <c r="AI510">
        <v>8</v>
      </c>
      <c r="AJ510">
        <v>0</v>
      </c>
      <c r="AK510">
        <v>4</v>
      </c>
      <c r="AL510" t="s">
        <v>549</v>
      </c>
      <c r="AM510" t="s">
        <v>550</v>
      </c>
      <c r="AN510" t="s">
        <v>551</v>
      </c>
      <c r="AO510" t="s">
        <v>9290</v>
      </c>
      <c r="AP510" t="s">
        <v>9291</v>
      </c>
      <c r="AQ510" t="s">
        <v>74</v>
      </c>
      <c r="AR510" t="s">
        <v>9292</v>
      </c>
      <c r="AS510" t="s">
        <v>9293</v>
      </c>
      <c r="AT510" t="s">
        <v>7680</v>
      </c>
      <c r="AU510">
        <v>2010</v>
      </c>
      <c r="AV510">
        <v>4</v>
      </c>
      <c r="AW510">
        <v>2</v>
      </c>
      <c r="AX510" t="s">
        <v>74</v>
      </c>
      <c r="AY510" t="s">
        <v>74</v>
      </c>
      <c r="AZ510" t="s">
        <v>74</v>
      </c>
      <c r="BA510" t="s">
        <v>74</v>
      </c>
      <c r="BB510">
        <v>257</v>
      </c>
      <c r="BC510">
        <v>261</v>
      </c>
      <c r="BD510" t="s">
        <v>74</v>
      </c>
      <c r="BE510" t="s">
        <v>9462</v>
      </c>
      <c r="BF510" t="str">
        <f>HYPERLINK("http://dx.doi.org/10.1016/j.polar.2010.05.006","http://dx.doi.org/10.1016/j.polar.2010.05.006")</f>
        <v>http://dx.doi.org/10.1016/j.polar.2010.05.006</v>
      </c>
      <c r="BG510" t="s">
        <v>74</v>
      </c>
      <c r="BH510" t="s">
        <v>74</v>
      </c>
      <c r="BI510">
        <v>5</v>
      </c>
      <c r="BJ510" t="s">
        <v>9295</v>
      </c>
      <c r="BK510" t="s">
        <v>100</v>
      </c>
      <c r="BL510" t="s">
        <v>7084</v>
      </c>
      <c r="BM510" t="s">
        <v>9296</v>
      </c>
      <c r="BN510" t="s">
        <v>74</v>
      </c>
      <c r="BO510" t="s">
        <v>1000</v>
      </c>
      <c r="BP510" t="s">
        <v>74</v>
      </c>
      <c r="BQ510" t="s">
        <v>74</v>
      </c>
      <c r="BR510" t="s">
        <v>104</v>
      </c>
      <c r="BS510" t="s">
        <v>9463</v>
      </c>
      <c r="BT510" t="str">
        <f>HYPERLINK("https%3A%2F%2Fwww.webofscience.com%2Fwos%2Fwoscc%2Ffull-record%2FWOS:000209450100013","View Full Record in Web of Science")</f>
        <v>View Full Record in Web of Science</v>
      </c>
    </row>
    <row r="511" spans="1:72" x14ac:dyDescent="0.15">
      <c r="A511" t="s">
        <v>72</v>
      </c>
      <c r="B511" t="s">
        <v>9464</v>
      </c>
      <c r="C511" t="s">
        <v>74</v>
      </c>
      <c r="D511" t="s">
        <v>74</v>
      </c>
      <c r="E511" t="s">
        <v>74</v>
      </c>
      <c r="F511" t="s">
        <v>9465</v>
      </c>
      <c r="G511" t="s">
        <v>74</v>
      </c>
      <c r="H511" t="s">
        <v>74</v>
      </c>
      <c r="I511" t="s">
        <v>9466</v>
      </c>
      <c r="J511" t="s">
        <v>9283</v>
      </c>
      <c r="K511" t="s">
        <v>74</v>
      </c>
      <c r="L511" t="s">
        <v>74</v>
      </c>
      <c r="M511" t="s">
        <v>78</v>
      </c>
      <c r="N511" t="s">
        <v>79</v>
      </c>
      <c r="O511" t="s">
        <v>74</v>
      </c>
      <c r="P511" t="s">
        <v>74</v>
      </c>
      <c r="Q511" t="s">
        <v>74</v>
      </c>
      <c r="R511" t="s">
        <v>74</v>
      </c>
      <c r="S511" t="s">
        <v>74</v>
      </c>
      <c r="T511" t="s">
        <v>9467</v>
      </c>
      <c r="U511" t="s">
        <v>9468</v>
      </c>
      <c r="V511" t="s">
        <v>9469</v>
      </c>
      <c r="W511" t="s">
        <v>9470</v>
      </c>
      <c r="X511" t="s">
        <v>9471</v>
      </c>
      <c r="Y511" t="s">
        <v>9472</v>
      </c>
      <c r="Z511" t="s">
        <v>9473</v>
      </c>
      <c r="AA511" t="s">
        <v>9474</v>
      </c>
      <c r="AB511" t="s">
        <v>9475</v>
      </c>
      <c r="AC511" t="s">
        <v>9476</v>
      </c>
      <c r="AD511" t="s">
        <v>9476</v>
      </c>
      <c r="AE511" t="s">
        <v>9477</v>
      </c>
      <c r="AF511" t="s">
        <v>74</v>
      </c>
      <c r="AG511">
        <v>43</v>
      </c>
      <c r="AH511">
        <v>30</v>
      </c>
      <c r="AI511">
        <v>34</v>
      </c>
      <c r="AJ511">
        <v>1</v>
      </c>
      <c r="AK511">
        <v>15</v>
      </c>
      <c r="AL511" t="s">
        <v>1038</v>
      </c>
      <c r="AM511" t="s">
        <v>550</v>
      </c>
      <c r="AN511" t="s">
        <v>1039</v>
      </c>
      <c r="AO511" t="s">
        <v>9290</v>
      </c>
      <c r="AP511" t="s">
        <v>9291</v>
      </c>
      <c r="AQ511" t="s">
        <v>74</v>
      </c>
      <c r="AR511" t="s">
        <v>9292</v>
      </c>
      <c r="AS511" t="s">
        <v>9293</v>
      </c>
      <c r="AT511" t="s">
        <v>7680</v>
      </c>
      <c r="AU511">
        <v>2010</v>
      </c>
      <c r="AV511">
        <v>4</v>
      </c>
      <c r="AW511">
        <v>2</v>
      </c>
      <c r="AX511" t="s">
        <v>74</v>
      </c>
      <c r="AY511" t="s">
        <v>74</v>
      </c>
      <c r="AZ511" t="s">
        <v>74</v>
      </c>
      <c r="BA511" t="s">
        <v>74</v>
      </c>
      <c r="BB511">
        <v>263</v>
      </c>
      <c r="BC511">
        <v>273</v>
      </c>
      <c r="BD511" t="s">
        <v>74</v>
      </c>
      <c r="BE511" t="s">
        <v>9478</v>
      </c>
      <c r="BF511" t="str">
        <f>HYPERLINK("http://dx.doi.org/10.1016/j.polar.2010.05.010","http://dx.doi.org/10.1016/j.polar.2010.05.010")</f>
        <v>http://dx.doi.org/10.1016/j.polar.2010.05.010</v>
      </c>
      <c r="BG511" t="s">
        <v>74</v>
      </c>
      <c r="BH511" t="s">
        <v>74</v>
      </c>
      <c r="BI511">
        <v>11</v>
      </c>
      <c r="BJ511" t="s">
        <v>9295</v>
      </c>
      <c r="BK511" t="s">
        <v>100</v>
      </c>
      <c r="BL511" t="s">
        <v>7084</v>
      </c>
      <c r="BM511" t="s">
        <v>9296</v>
      </c>
      <c r="BN511" t="s">
        <v>74</v>
      </c>
      <c r="BO511" t="s">
        <v>1000</v>
      </c>
      <c r="BP511" t="s">
        <v>74</v>
      </c>
      <c r="BQ511" t="s">
        <v>74</v>
      </c>
      <c r="BR511" t="s">
        <v>104</v>
      </c>
      <c r="BS511" t="s">
        <v>9479</v>
      </c>
      <c r="BT511" t="str">
        <f>HYPERLINK("https%3A%2F%2Fwww.webofscience.com%2Fwos%2Fwoscc%2Ffull-record%2FWOS:000209450100014","View Full Record in Web of Science")</f>
        <v>View Full Record in Web of Science</v>
      </c>
    </row>
    <row r="512" spans="1:72" x14ac:dyDescent="0.15">
      <c r="A512" t="s">
        <v>72</v>
      </c>
      <c r="B512" t="s">
        <v>9480</v>
      </c>
      <c r="C512" t="s">
        <v>74</v>
      </c>
      <c r="D512" t="s">
        <v>74</v>
      </c>
      <c r="E512" t="s">
        <v>74</v>
      </c>
      <c r="F512" t="s">
        <v>9481</v>
      </c>
      <c r="G512" t="s">
        <v>74</v>
      </c>
      <c r="H512" t="s">
        <v>74</v>
      </c>
      <c r="I512" t="s">
        <v>9482</v>
      </c>
      <c r="J512" t="s">
        <v>9283</v>
      </c>
      <c r="K512" t="s">
        <v>74</v>
      </c>
      <c r="L512" t="s">
        <v>74</v>
      </c>
      <c r="M512" t="s">
        <v>78</v>
      </c>
      <c r="N512" t="s">
        <v>79</v>
      </c>
      <c r="O512" t="s">
        <v>74</v>
      </c>
      <c r="P512" t="s">
        <v>74</v>
      </c>
      <c r="Q512" t="s">
        <v>74</v>
      </c>
      <c r="R512" t="s">
        <v>74</v>
      </c>
      <c r="S512" t="s">
        <v>74</v>
      </c>
      <c r="T512" t="s">
        <v>9483</v>
      </c>
      <c r="U512" t="s">
        <v>74</v>
      </c>
      <c r="V512" t="s">
        <v>9484</v>
      </c>
      <c r="W512" t="s">
        <v>9485</v>
      </c>
      <c r="X512" t="s">
        <v>9486</v>
      </c>
      <c r="Y512" t="s">
        <v>9487</v>
      </c>
      <c r="Z512" t="s">
        <v>9488</v>
      </c>
      <c r="AA512" t="s">
        <v>74</v>
      </c>
      <c r="AB512" t="s">
        <v>9489</v>
      </c>
      <c r="AC512" t="s">
        <v>9490</v>
      </c>
      <c r="AD512" t="s">
        <v>9491</v>
      </c>
      <c r="AE512" t="s">
        <v>9492</v>
      </c>
      <c r="AF512" t="s">
        <v>74</v>
      </c>
      <c r="AG512">
        <v>29</v>
      </c>
      <c r="AH512">
        <v>17</v>
      </c>
      <c r="AI512">
        <v>22</v>
      </c>
      <c r="AJ512">
        <v>0</v>
      </c>
      <c r="AK512">
        <v>6</v>
      </c>
      <c r="AL512" t="s">
        <v>549</v>
      </c>
      <c r="AM512" t="s">
        <v>550</v>
      </c>
      <c r="AN512" t="s">
        <v>551</v>
      </c>
      <c r="AO512" t="s">
        <v>9290</v>
      </c>
      <c r="AP512" t="s">
        <v>9291</v>
      </c>
      <c r="AQ512" t="s">
        <v>74</v>
      </c>
      <c r="AR512" t="s">
        <v>9292</v>
      </c>
      <c r="AS512" t="s">
        <v>9293</v>
      </c>
      <c r="AT512" t="s">
        <v>7680</v>
      </c>
      <c r="AU512">
        <v>2010</v>
      </c>
      <c r="AV512">
        <v>4</v>
      </c>
      <c r="AW512">
        <v>2</v>
      </c>
      <c r="AX512" t="s">
        <v>74</v>
      </c>
      <c r="AY512" t="s">
        <v>74</v>
      </c>
      <c r="AZ512" t="s">
        <v>74</v>
      </c>
      <c r="BA512" t="s">
        <v>74</v>
      </c>
      <c r="BB512">
        <v>275</v>
      </c>
      <c r="BC512">
        <v>283</v>
      </c>
      <c r="BD512" t="s">
        <v>74</v>
      </c>
      <c r="BE512" t="s">
        <v>9493</v>
      </c>
      <c r="BF512" t="str">
        <f>HYPERLINK("http://dx.doi.org/10.1016/j.polar.2010.03.008","http://dx.doi.org/10.1016/j.polar.2010.03.008")</f>
        <v>http://dx.doi.org/10.1016/j.polar.2010.03.008</v>
      </c>
      <c r="BG512" t="s">
        <v>74</v>
      </c>
      <c r="BH512" t="s">
        <v>74</v>
      </c>
      <c r="BI512">
        <v>9</v>
      </c>
      <c r="BJ512" t="s">
        <v>9295</v>
      </c>
      <c r="BK512" t="s">
        <v>100</v>
      </c>
      <c r="BL512" t="s">
        <v>7084</v>
      </c>
      <c r="BM512" t="s">
        <v>9296</v>
      </c>
      <c r="BN512" t="s">
        <v>74</v>
      </c>
      <c r="BO512" t="s">
        <v>1000</v>
      </c>
      <c r="BP512" t="s">
        <v>74</v>
      </c>
      <c r="BQ512" t="s">
        <v>74</v>
      </c>
      <c r="BR512" t="s">
        <v>104</v>
      </c>
      <c r="BS512" t="s">
        <v>9494</v>
      </c>
      <c r="BT512" t="str">
        <f>HYPERLINK("https%3A%2F%2Fwww.webofscience.com%2Fwos%2Fwoscc%2Ffull-record%2FWOS:000209450100015","View Full Record in Web of Science")</f>
        <v>View Full Record in Web of Science</v>
      </c>
    </row>
    <row r="513" spans="1:72" x14ac:dyDescent="0.15">
      <c r="A513" t="s">
        <v>72</v>
      </c>
      <c r="B513" t="s">
        <v>9495</v>
      </c>
      <c r="C513" t="s">
        <v>74</v>
      </c>
      <c r="D513" t="s">
        <v>74</v>
      </c>
      <c r="E513" t="s">
        <v>74</v>
      </c>
      <c r="F513" t="s">
        <v>9496</v>
      </c>
      <c r="G513" t="s">
        <v>74</v>
      </c>
      <c r="H513" t="s">
        <v>74</v>
      </c>
      <c r="I513" t="s">
        <v>9497</v>
      </c>
      <c r="J513" t="s">
        <v>9283</v>
      </c>
      <c r="K513" t="s">
        <v>74</v>
      </c>
      <c r="L513" t="s">
        <v>74</v>
      </c>
      <c r="M513" t="s">
        <v>78</v>
      </c>
      <c r="N513" t="s">
        <v>79</v>
      </c>
      <c r="O513" t="s">
        <v>74</v>
      </c>
      <c r="P513" t="s">
        <v>74</v>
      </c>
      <c r="Q513" t="s">
        <v>74</v>
      </c>
      <c r="R513" t="s">
        <v>74</v>
      </c>
      <c r="S513" t="s">
        <v>74</v>
      </c>
      <c r="T513" t="s">
        <v>74</v>
      </c>
      <c r="U513" t="s">
        <v>74</v>
      </c>
      <c r="V513" t="s">
        <v>9498</v>
      </c>
      <c r="W513" t="s">
        <v>9499</v>
      </c>
      <c r="X513" t="s">
        <v>9500</v>
      </c>
      <c r="Y513" t="s">
        <v>9501</v>
      </c>
      <c r="Z513" t="s">
        <v>8147</v>
      </c>
      <c r="AA513" t="s">
        <v>9502</v>
      </c>
      <c r="AB513" t="s">
        <v>9503</v>
      </c>
      <c r="AC513" t="s">
        <v>9504</v>
      </c>
      <c r="AD513" t="s">
        <v>9505</v>
      </c>
      <c r="AE513" t="s">
        <v>9506</v>
      </c>
      <c r="AF513" t="s">
        <v>74</v>
      </c>
      <c r="AG513">
        <v>17</v>
      </c>
      <c r="AH513">
        <v>11</v>
      </c>
      <c r="AI513">
        <v>12</v>
      </c>
      <c r="AJ513">
        <v>0</v>
      </c>
      <c r="AK513">
        <v>5</v>
      </c>
      <c r="AL513" t="s">
        <v>549</v>
      </c>
      <c r="AM513" t="s">
        <v>550</v>
      </c>
      <c r="AN513" t="s">
        <v>551</v>
      </c>
      <c r="AO513" t="s">
        <v>9290</v>
      </c>
      <c r="AP513" t="s">
        <v>9291</v>
      </c>
      <c r="AQ513" t="s">
        <v>74</v>
      </c>
      <c r="AR513" t="s">
        <v>9292</v>
      </c>
      <c r="AS513" t="s">
        <v>9293</v>
      </c>
      <c r="AT513" t="s">
        <v>7680</v>
      </c>
      <c r="AU513">
        <v>2010</v>
      </c>
      <c r="AV513">
        <v>4</v>
      </c>
      <c r="AW513">
        <v>2</v>
      </c>
      <c r="AX513" t="s">
        <v>74</v>
      </c>
      <c r="AY513" t="s">
        <v>74</v>
      </c>
      <c r="AZ513" t="s">
        <v>74</v>
      </c>
      <c r="BA513" t="s">
        <v>74</v>
      </c>
      <c r="BB513">
        <v>285</v>
      </c>
      <c r="BC513">
        <v>294</v>
      </c>
      <c r="BD513" t="s">
        <v>74</v>
      </c>
      <c r="BE513" t="s">
        <v>9507</v>
      </c>
      <c r="BF513" t="str">
        <f>HYPERLINK("http://dx.doi.org/10.1016/j.polar.2010.03.009","http://dx.doi.org/10.1016/j.polar.2010.03.009")</f>
        <v>http://dx.doi.org/10.1016/j.polar.2010.03.009</v>
      </c>
      <c r="BG513" t="s">
        <v>74</v>
      </c>
      <c r="BH513" t="s">
        <v>74</v>
      </c>
      <c r="BI513">
        <v>10</v>
      </c>
      <c r="BJ513" t="s">
        <v>9295</v>
      </c>
      <c r="BK513" t="s">
        <v>100</v>
      </c>
      <c r="BL513" t="s">
        <v>7084</v>
      </c>
      <c r="BM513" t="s">
        <v>9296</v>
      </c>
      <c r="BN513" t="s">
        <v>74</v>
      </c>
      <c r="BO513" t="s">
        <v>1935</v>
      </c>
      <c r="BP513" t="s">
        <v>74</v>
      </c>
      <c r="BQ513" t="s">
        <v>74</v>
      </c>
      <c r="BR513" t="s">
        <v>104</v>
      </c>
      <c r="BS513" t="s">
        <v>9508</v>
      </c>
      <c r="BT513" t="str">
        <f>HYPERLINK("https%3A%2F%2Fwww.webofscience.com%2Fwos%2Fwoscc%2Ffull-record%2FWOS:000209450100016","View Full Record in Web of Science")</f>
        <v>View Full Record in Web of Science</v>
      </c>
    </row>
    <row r="514" spans="1:72" x14ac:dyDescent="0.15">
      <c r="A514" t="s">
        <v>72</v>
      </c>
      <c r="B514" t="s">
        <v>9509</v>
      </c>
      <c r="C514" t="s">
        <v>74</v>
      </c>
      <c r="D514" t="s">
        <v>74</v>
      </c>
      <c r="E514" t="s">
        <v>74</v>
      </c>
      <c r="F514" t="s">
        <v>9510</v>
      </c>
      <c r="G514" t="s">
        <v>74</v>
      </c>
      <c r="H514" t="s">
        <v>74</v>
      </c>
      <c r="I514" t="s">
        <v>9511</v>
      </c>
      <c r="J514" t="s">
        <v>9283</v>
      </c>
      <c r="K514" t="s">
        <v>74</v>
      </c>
      <c r="L514" t="s">
        <v>74</v>
      </c>
      <c r="M514" t="s">
        <v>78</v>
      </c>
      <c r="N514" t="s">
        <v>79</v>
      </c>
      <c r="O514" t="s">
        <v>74</v>
      </c>
      <c r="P514" t="s">
        <v>74</v>
      </c>
      <c r="Q514" t="s">
        <v>74</v>
      </c>
      <c r="R514" t="s">
        <v>74</v>
      </c>
      <c r="S514" t="s">
        <v>74</v>
      </c>
      <c r="T514" t="s">
        <v>9512</v>
      </c>
      <c r="U514" t="s">
        <v>9513</v>
      </c>
      <c r="V514" t="s">
        <v>9514</v>
      </c>
      <c r="W514" t="s">
        <v>9515</v>
      </c>
      <c r="X514" t="s">
        <v>9516</v>
      </c>
      <c r="Y514" t="s">
        <v>9517</v>
      </c>
      <c r="Z514" t="s">
        <v>9518</v>
      </c>
      <c r="AA514" t="s">
        <v>9519</v>
      </c>
      <c r="AB514" t="s">
        <v>9520</v>
      </c>
      <c r="AC514" t="s">
        <v>9521</v>
      </c>
      <c r="AD514" t="s">
        <v>9522</v>
      </c>
      <c r="AE514" t="s">
        <v>9523</v>
      </c>
      <c r="AF514" t="s">
        <v>74</v>
      </c>
      <c r="AG514">
        <v>64</v>
      </c>
      <c r="AH514">
        <v>6</v>
      </c>
      <c r="AI514">
        <v>6</v>
      </c>
      <c r="AJ514">
        <v>0</v>
      </c>
      <c r="AK514">
        <v>4</v>
      </c>
      <c r="AL514" t="s">
        <v>1038</v>
      </c>
      <c r="AM514" t="s">
        <v>550</v>
      </c>
      <c r="AN514" t="s">
        <v>1039</v>
      </c>
      <c r="AO514" t="s">
        <v>9290</v>
      </c>
      <c r="AP514" t="s">
        <v>9291</v>
      </c>
      <c r="AQ514" t="s">
        <v>74</v>
      </c>
      <c r="AR514" t="s">
        <v>9292</v>
      </c>
      <c r="AS514" t="s">
        <v>9293</v>
      </c>
      <c r="AT514" t="s">
        <v>7680</v>
      </c>
      <c r="AU514">
        <v>2010</v>
      </c>
      <c r="AV514">
        <v>4</v>
      </c>
      <c r="AW514">
        <v>2</v>
      </c>
      <c r="AX514" t="s">
        <v>74</v>
      </c>
      <c r="AY514" t="s">
        <v>74</v>
      </c>
      <c r="AZ514" t="s">
        <v>74</v>
      </c>
      <c r="BA514" t="s">
        <v>74</v>
      </c>
      <c r="BB514">
        <v>295</v>
      </c>
      <c r="BC514">
        <v>308</v>
      </c>
      <c r="BD514" t="s">
        <v>74</v>
      </c>
      <c r="BE514" t="s">
        <v>9524</v>
      </c>
      <c r="BF514" t="str">
        <f>HYPERLINK("http://dx.doi.org/10.1016/j.polar.2010.04.007","http://dx.doi.org/10.1016/j.polar.2010.04.007")</f>
        <v>http://dx.doi.org/10.1016/j.polar.2010.04.007</v>
      </c>
      <c r="BG514" t="s">
        <v>74</v>
      </c>
      <c r="BH514" t="s">
        <v>74</v>
      </c>
      <c r="BI514">
        <v>14</v>
      </c>
      <c r="BJ514" t="s">
        <v>9295</v>
      </c>
      <c r="BK514" t="s">
        <v>100</v>
      </c>
      <c r="BL514" t="s">
        <v>7084</v>
      </c>
      <c r="BM514" t="s">
        <v>9296</v>
      </c>
      <c r="BN514" t="s">
        <v>74</v>
      </c>
      <c r="BO514" t="s">
        <v>1000</v>
      </c>
      <c r="BP514" t="s">
        <v>74</v>
      </c>
      <c r="BQ514" t="s">
        <v>74</v>
      </c>
      <c r="BR514" t="s">
        <v>104</v>
      </c>
      <c r="BS514" t="s">
        <v>9525</v>
      </c>
      <c r="BT514" t="str">
        <f>HYPERLINK("https%3A%2F%2Fwww.webofscience.com%2Fwos%2Fwoscc%2Ffull-record%2FWOS:000209450100017","View Full Record in Web of Science")</f>
        <v>View Full Record in Web of Science</v>
      </c>
    </row>
    <row r="515" spans="1:72" x14ac:dyDescent="0.15">
      <c r="A515" t="s">
        <v>72</v>
      </c>
      <c r="B515" t="s">
        <v>9526</v>
      </c>
      <c r="C515" t="s">
        <v>74</v>
      </c>
      <c r="D515" t="s">
        <v>74</v>
      </c>
      <c r="E515" t="s">
        <v>74</v>
      </c>
      <c r="F515" t="s">
        <v>9527</v>
      </c>
      <c r="G515" t="s">
        <v>74</v>
      </c>
      <c r="H515" t="s">
        <v>74</v>
      </c>
      <c r="I515" t="s">
        <v>9528</v>
      </c>
      <c r="J515" t="s">
        <v>9283</v>
      </c>
      <c r="K515" t="s">
        <v>74</v>
      </c>
      <c r="L515" t="s">
        <v>74</v>
      </c>
      <c r="M515" t="s">
        <v>78</v>
      </c>
      <c r="N515" t="s">
        <v>79</v>
      </c>
      <c r="O515" t="s">
        <v>74</v>
      </c>
      <c r="P515" t="s">
        <v>74</v>
      </c>
      <c r="Q515" t="s">
        <v>74</v>
      </c>
      <c r="R515" t="s">
        <v>74</v>
      </c>
      <c r="S515" t="s">
        <v>74</v>
      </c>
      <c r="T515" t="s">
        <v>9529</v>
      </c>
      <c r="U515" t="s">
        <v>9530</v>
      </c>
      <c r="V515" t="s">
        <v>9531</v>
      </c>
      <c r="W515" t="s">
        <v>9532</v>
      </c>
      <c r="X515" t="s">
        <v>9533</v>
      </c>
      <c r="Y515" t="s">
        <v>9534</v>
      </c>
      <c r="Z515" t="s">
        <v>9535</v>
      </c>
      <c r="AA515" t="s">
        <v>74</v>
      </c>
      <c r="AB515" t="s">
        <v>9536</v>
      </c>
      <c r="AC515" t="s">
        <v>74</v>
      </c>
      <c r="AD515" t="s">
        <v>74</v>
      </c>
      <c r="AE515" t="s">
        <v>74</v>
      </c>
      <c r="AF515" t="s">
        <v>74</v>
      </c>
      <c r="AG515">
        <v>51</v>
      </c>
      <c r="AH515">
        <v>25</v>
      </c>
      <c r="AI515">
        <v>25</v>
      </c>
      <c r="AJ515">
        <v>0</v>
      </c>
      <c r="AK515">
        <v>9</v>
      </c>
      <c r="AL515" t="s">
        <v>1038</v>
      </c>
      <c r="AM515" t="s">
        <v>550</v>
      </c>
      <c r="AN515" t="s">
        <v>1039</v>
      </c>
      <c r="AO515" t="s">
        <v>9290</v>
      </c>
      <c r="AP515" t="s">
        <v>9291</v>
      </c>
      <c r="AQ515" t="s">
        <v>74</v>
      </c>
      <c r="AR515" t="s">
        <v>9292</v>
      </c>
      <c r="AS515" t="s">
        <v>9293</v>
      </c>
      <c r="AT515" t="s">
        <v>7680</v>
      </c>
      <c r="AU515">
        <v>2010</v>
      </c>
      <c r="AV515">
        <v>4</v>
      </c>
      <c r="AW515">
        <v>2</v>
      </c>
      <c r="AX515" t="s">
        <v>74</v>
      </c>
      <c r="AY515" t="s">
        <v>74</v>
      </c>
      <c r="AZ515" t="s">
        <v>74</v>
      </c>
      <c r="BA515" t="s">
        <v>74</v>
      </c>
      <c r="BB515">
        <v>317</v>
      </c>
      <c r="BC515">
        <v>331</v>
      </c>
      <c r="BD515" t="s">
        <v>74</v>
      </c>
      <c r="BE515" t="s">
        <v>9537</v>
      </c>
      <c r="BF515" t="str">
        <f>HYPERLINK("http://dx.doi.org/10.1016/j.polar.2010.05.002","http://dx.doi.org/10.1016/j.polar.2010.05.002")</f>
        <v>http://dx.doi.org/10.1016/j.polar.2010.05.002</v>
      </c>
      <c r="BG515" t="s">
        <v>74</v>
      </c>
      <c r="BH515" t="s">
        <v>74</v>
      </c>
      <c r="BI515">
        <v>15</v>
      </c>
      <c r="BJ515" t="s">
        <v>9295</v>
      </c>
      <c r="BK515" t="s">
        <v>100</v>
      </c>
      <c r="BL515" t="s">
        <v>7084</v>
      </c>
      <c r="BM515" t="s">
        <v>9296</v>
      </c>
      <c r="BN515" t="s">
        <v>74</v>
      </c>
      <c r="BO515" t="s">
        <v>1000</v>
      </c>
      <c r="BP515" t="s">
        <v>74</v>
      </c>
      <c r="BQ515" t="s">
        <v>74</v>
      </c>
      <c r="BR515" t="s">
        <v>104</v>
      </c>
      <c r="BS515" t="s">
        <v>9538</v>
      </c>
      <c r="BT515" t="str">
        <f>HYPERLINK("https%3A%2F%2Fwww.webofscience.com%2Fwos%2Fwoscc%2Ffull-record%2FWOS:000209450100019","View Full Record in Web of Science")</f>
        <v>View Full Record in Web of Science</v>
      </c>
    </row>
    <row r="516" spans="1:72" x14ac:dyDescent="0.15">
      <c r="A516" t="s">
        <v>72</v>
      </c>
      <c r="B516" t="s">
        <v>9539</v>
      </c>
      <c r="C516" t="s">
        <v>74</v>
      </c>
      <c r="D516" t="s">
        <v>74</v>
      </c>
      <c r="E516" t="s">
        <v>74</v>
      </c>
      <c r="F516" t="s">
        <v>9540</v>
      </c>
      <c r="G516" t="s">
        <v>74</v>
      </c>
      <c r="H516" t="s">
        <v>74</v>
      </c>
      <c r="I516" t="s">
        <v>9541</v>
      </c>
      <c r="J516" t="s">
        <v>9283</v>
      </c>
      <c r="K516" t="s">
        <v>74</v>
      </c>
      <c r="L516" t="s">
        <v>74</v>
      </c>
      <c r="M516" t="s">
        <v>78</v>
      </c>
      <c r="N516" t="s">
        <v>79</v>
      </c>
      <c r="O516" t="s">
        <v>74</v>
      </c>
      <c r="P516" t="s">
        <v>74</v>
      </c>
      <c r="Q516" t="s">
        <v>74</v>
      </c>
      <c r="R516" t="s">
        <v>74</v>
      </c>
      <c r="S516" t="s">
        <v>74</v>
      </c>
      <c r="T516" t="s">
        <v>9542</v>
      </c>
      <c r="U516" t="s">
        <v>9543</v>
      </c>
      <c r="V516" t="s">
        <v>9544</v>
      </c>
      <c r="W516" t="s">
        <v>9545</v>
      </c>
      <c r="X516" t="s">
        <v>9546</v>
      </c>
      <c r="Y516" t="s">
        <v>9547</v>
      </c>
      <c r="Z516" t="s">
        <v>9548</v>
      </c>
      <c r="AA516" t="s">
        <v>9549</v>
      </c>
      <c r="AB516" t="s">
        <v>9550</v>
      </c>
      <c r="AC516" t="s">
        <v>9551</v>
      </c>
      <c r="AD516" t="s">
        <v>9552</v>
      </c>
      <c r="AE516" t="s">
        <v>9553</v>
      </c>
      <c r="AF516" t="s">
        <v>74</v>
      </c>
      <c r="AG516">
        <v>55</v>
      </c>
      <c r="AH516">
        <v>26</v>
      </c>
      <c r="AI516">
        <v>27</v>
      </c>
      <c r="AJ516">
        <v>0</v>
      </c>
      <c r="AK516">
        <v>2</v>
      </c>
      <c r="AL516" t="s">
        <v>1038</v>
      </c>
      <c r="AM516" t="s">
        <v>550</v>
      </c>
      <c r="AN516" t="s">
        <v>1039</v>
      </c>
      <c r="AO516" t="s">
        <v>9290</v>
      </c>
      <c r="AP516" t="s">
        <v>9291</v>
      </c>
      <c r="AQ516" t="s">
        <v>74</v>
      </c>
      <c r="AR516" t="s">
        <v>9292</v>
      </c>
      <c r="AS516" t="s">
        <v>9293</v>
      </c>
      <c r="AT516" t="s">
        <v>7680</v>
      </c>
      <c r="AU516">
        <v>2010</v>
      </c>
      <c r="AV516">
        <v>4</v>
      </c>
      <c r="AW516">
        <v>2</v>
      </c>
      <c r="AX516" t="s">
        <v>74</v>
      </c>
      <c r="AY516" t="s">
        <v>74</v>
      </c>
      <c r="AZ516" t="s">
        <v>74</v>
      </c>
      <c r="BA516" t="s">
        <v>74</v>
      </c>
      <c r="BB516">
        <v>333</v>
      </c>
      <c r="BC516">
        <v>352</v>
      </c>
      <c r="BD516" t="s">
        <v>74</v>
      </c>
      <c r="BE516" t="s">
        <v>9554</v>
      </c>
      <c r="BF516" t="str">
        <f>HYPERLINK("http://dx.doi.org/10.1016/j.polar.2010.04.006","http://dx.doi.org/10.1016/j.polar.2010.04.006")</f>
        <v>http://dx.doi.org/10.1016/j.polar.2010.04.006</v>
      </c>
      <c r="BG516" t="s">
        <v>74</v>
      </c>
      <c r="BH516" t="s">
        <v>74</v>
      </c>
      <c r="BI516">
        <v>20</v>
      </c>
      <c r="BJ516" t="s">
        <v>9295</v>
      </c>
      <c r="BK516" t="s">
        <v>100</v>
      </c>
      <c r="BL516" t="s">
        <v>7084</v>
      </c>
      <c r="BM516" t="s">
        <v>9296</v>
      </c>
      <c r="BN516" t="s">
        <v>74</v>
      </c>
      <c r="BO516" t="s">
        <v>1000</v>
      </c>
      <c r="BP516" t="s">
        <v>74</v>
      </c>
      <c r="BQ516" t="s">
        <v>74</v>
      </c>
      <c r="BR516" t="s">
        <v>104</v>
      </c>
      <c r="BS516" t="s">
        <v>9555</v>
      </c>
      <c r="BT516" t="str">
        <f>HYPERLINK("https%3A%2F%2Fwww.webofscience.com%2Fwos%2Fwoscc%2Ffull-record%2FWOS:000209450100020","View Full Record in Web of Science")</f>
        <v>View Full Record in Web of Science</v>
      </c>
    </row>
    <row r="517" spans="1:72" x14ac:dyDescent="0.15">
      <c r="A517" t="s">
        <v>72</v>
      </c>
      <c r="B517" t="s">
        <v>9556</v>
      </c>
      <c r="C517" t="s">
        <v>74</v>
      </c>
      <c r="D517" t="s">
        <v>74</v>
      </c>
      <c r="E517" t="s">
        <v>74</v>
      </c>
      <c r="F517" t="s">
        <v>9557</v>
      </c>
      <c r="G517" t="s">
        <v>74</v>
      </c>
      <c r="H517" t="s">
        <v>74</v>
      </c>
      <c r="I517" t="s">
        <v>9558</v>
      </c>
      <c r="J517" t="s">
        <v>9283</v>
      </c>
      <c r="K517" t="s">
        <v>74</v>
      </c>
      <c r="L517" t="s">
        <v>74</v>
      </c>
      <c r="M517" t="s">
        <v>78</v>
      </c>
      <c r="N517" t="s">
        <v>79</v>
      </c>
      <c r="O517" t="s">
        <v>74</v>
      </c>
      <c r="P517" t="s">
        <v>74</v>
      </c>
      <c r="Q517" t="s">
        <v>74</v>
      </c>
      <c r="R517" t="s">
        <v>74</v>
      </c>
      <c r="S517" t="s">
        <v>74</v>
      </c>
      <c r="T517" t="s">
        <v>9559</v>
      </c>
      <c r="U517" t="s">
        <v>74</v>
      </c>
      <c r="V517" t="s">
        <v>9560</v>
      </c>
      <c r="W517" t="s">
        <v>9561</v>
      </c>
      <c r="X517" t="s">
        <v>9562</v>
      </c>
      <c r="Y517" t="s">
        <v>9563</v>
      </c>
      <c r="Z517" t="s">
        <v>9564</v>
      </c>
      <c r="AA517" t="s">
        <v>74</v>
      </c>
      <c r="AB517" t="s">
        <v>9536</v>
      </c>
      <c r="AC517" t="s">
        <v>9565</v>
      </c>
      <c r="AD517" t="s">
        <v>9565</v>
      </c>
      <c r="AE517" t="s">
        <v>9566</v>
      </c>
      <c r="AF517" t="s">
        <v>74</v>
      </c>
      <c r="AG517">
        <v>30</v>
      </c>
      <c r="AH517">
        <v>36</v>
      </c>
      <c r="AI517">
        <v>37</v>
      </c>
      <c r="AJ517">
        <v>0</v>
      </c>
      <c r="AK517">
        <v>15</v>
      </c>
      <c r="AL517" t="s">
        <v>549</v>
      </c>
      <c r="AM517" t="s">
        <v>550</v>
      </c>
      <c r="AN517" t="s">
        <v>551</v>
      </c>
      <c r="AO517" t="s">
        <v>9290</v>
      </c>
      <c r="AP517" t="s">
        <v>9291</v>
      </c>
      <c r="AQ517" t="s">
        <v>74</v>
      </c>
      <c r="AR517" t="s">
        <v>9292</v>
      </c>
      <c r="AS517" t="s">
        <v>9293</v>
      </c>
      <c r="AT517" t="s">
        <v>7680</v>
      </c>
      <c r="AU517">
        <v>2010</v>
      </c>
      <c r="AV517">
        <v>4</v>
      </c>
      <c r="AW517">
        <v>2</v>
      </c>
      <c r="AX517" t="s">
        <v>74</v>
      </c>
      <c r="AY517" t="s">
        <v>74</v>
      </c>
      <c r="AZ517" t="s">
        <v>74</v>
      </c>
      <c r="BA517" t="s">
        <v>74</v>
      </c>
      <c r="BB517">
        <v>353</v>
      </c>
      <c r="BC517">
        <v>385</v>
      </c>
      <c r="BD517" t="s">
        <v>74</v>
      </c>
      <c r="BE517" t="s">
        <v>9567</v>
      </c>
      <c r="BF517" t="str">
        <f>HYPERLINK("http://dx.doi.org/10.1016/j.polar.2010.03.004","http://dx.doi.org/10.1016/j.polar.2010.03.004")</f>
        <v>http://dx.doi.org/10.1016/j.polar.2010.03.004</v>
      </c>
      <c r="BG517" t="s">
        <v>74</v>
      </c>
      <c r="BH517" t="s">
        <v>74</v>
      </c>
      <c r="BI517">
        <v>33</v>
      </c>
      <c r="BJ517" t="s">
        <v>9295</v>
      </c>
      <c r="BK517" t="s">
        <v>100</v>
      </c>
      <c r="BL517" t="s">
        <v>7084</v>
      </c>
      <c r="BM517" t="s">
        <v>9296</v>
      </c>
      <c r="BN517" t="s">
        <v>74</v>
      </c>
      <c r="BO517" t="s">
        <v>74</v>
      </c>
      <c r="BP517" t="s">
        <v>74</v>
      </c>
      <c r="BQ517" t="s">
        <v>74</v>
      </c>
      <c r="BR517" t="s">
        <v>104</v>
      </c>
      <c r="BS517" t="s">
        <v>9568</v>
      </c>
      <c r="BT517" t="str">
        <f>HYPERLINK("https%3A%2F%2Fwww.webofscience.com%2Fwos%2Fwoscc%2Ffull-record%2FWOS:000209450100021","View Full Record in Web of Science")</f>
        <v>View Full Record in Web of Science</v>
      </c>
    </row>
    <row r="518" spans="1:72" x14ac:dyDescent="0.15">
      <c r="A518" t="s">
        <v>72</v>
      </c>
      <c r="B518" t="s">
        <v>9569</v>
      </c>
      <c r="C518" t="s">
        <v>74</v>
      </c>
      <c r="D518" t="s">
        <v>74</v>
      </c>
      <c r="E518" t="s">
        <v>74</v>
      </c>
      <c r="F518" t="s">
        <v>9570</v>
      </c>
      <c r="G518" t="s">
        <v>74</v>
      </c>
      <c r="H518" t="s">
        <v>74</v>
      </c>
      <c r="I518" t="s">
        <v>9571</v>
      </c>
      <c r="J518" t="s">
        <v>9283</v>
      </c>
      <c r="K518" t="s">
        <v>74</v>
      </c>
      <c r="L518" t="s">
        <v>74</v>
      </c>
      <c r="M518" t="s">
        <v>78</v>
      </c>
      <c r="N518" t="s">
        <v>79</v>
      </c>
      <c r="O518" t="s">
        <v>74</v>
      </c>
      <c r="P518" t="s">
        <v>74</v>
      </c>
      <c r="Q518" t="s">
        <v>74</v>
      </c>
      <c r="R518" t="s">
        <v>74</v>
      </c>
      <c r="S518" t="s">
        <v>74</v>
      </c>
      <c r="T518" t="s">
        <v>9572</v>
      </c>
      <c r="U518" t="s">
        <v>9573</v>
      </c>
      <c r="V518" t="s">
        <v>9574</v>
      </c>
      <c r="W518" t="s">
        <v>9575</v>
      </c>
      <c r="X518" t="s">
        <v>9576</v>
      </c>
      <c r="Y518" t="s">
        <v>9577</v>
      </c>
      <c r="Z518" t="s">
        <v>9578</v>
      </c>
      <c r="AA518" t="s">
        <v>9579</v>
      </c>
      <c r="AB518" t="s">
        <v>74</v>
      </c>
      <c r="AC518" t="s">
        <v>9580</v>
      </c>
      <c r="AD518" t="s">
        <v>9581</v>
      </c>
      <c r="AE518" t="s">
        <v>9582</v>
      </c>
      <c r="AF518" t="s">
        <v>74</v>
      </c>
      <c r="AG518">
        <v>56</v>
      </c>
      <c r="AH518">
        <v>16</v>
      </c>
      <c r="AI518">
        <v>17</v>
      </c>
      <c r="AJ518">
        <v>1</v>
      </c>
      <c r="AK518">
        <v>2</v>
      </c>
      <c r="AL518" t="s">
        <v>549</v>
      </c>
      <c r="AM518" t="s">
        <v>550</v>
      </c>
      <c r="AN518" t="s">
        <v>551</v>
      </c>
      <c r="AO518" t="s">
        <v>9290</v>
      </c>
      <c r="AP518" t="s">
        <v>9291</v>
      </c>
      <c r="AQ518" t="s">
        <v>74</v>
      </c>
      <c r="AR518" t="s">
        <v>9292</v>
      </c>
      <c r="AS518" t="s">
        <v>9293</v>
      </c>
      <c r="AT518" t="s">
        <v>7680</v>
      </c>
      <c r="AU518">
        <v>2010</v>
      </c>
      <c r="AV518">
        <v>4</v>
      </c>
      <c r="AW518">
        <v>2</v>
      </c>
      <c r="AX518" t="s">
        <v>74</v>
      </c>
      <c r="AY518" t="s">
        <v>74</v>
      </c>
      <c r="AZ518" t="s">
        <v>74</v>
      </c>
      <c r="BA518" t="s">
        <v>74</v>
      </c>
      <c r="BB518">
        <v>387</v>
      </c>
      <c r="BC518">
        <v>404</v>
      </c>
      <c r="BD518" t="s">
        <v>74</v>
      </c>
      <c r="BE518" t="s">
        <v>9583</v>
      </c>
      <c r="BF518" t="str">
        <f>HYPERLINK("http://dx.doi.org/10.1016/j.polar.2010.05.007","http://dx.doi.org/10.1016/j.polar.2010.05.007")</f>
        <v>http://dx.doi.org/10.1016/j.polar.2010.05.007</v>
      </c>
      <c r="BG518" t="s">
        <v>74</v>
      </c>
      <c r="BH518" t="s">
        <v>74</v>
      </c>
      <c r="BI518">
        <v>18</v>
      </c>
      <c r="BJ518" t="s">
        <v>9295</v>
      </c>
      <c r="BK518" t="s">
        <v>100</v>
      </c>
      <c r="BL518" t="s">
        <v>7084</v>
      </c>
      <c r="BM518" t="s">
        <v>9296</v>
      </c>
      <c r="BN518" t="s">
        <v>74</v>
      </c>
      <c r="BO518" t="s">
        <v>1000</v>
      </c>
      <c r="BP518" t="s">
        <v>74</v>
      </c>
      <c r="BQ518" t="s">
        <v>74</v>
      </c>
      <c r="BR518" t="s">
        <v>104</v>
      </c>
      <c r="BS518" t="s">
        <v>9584</v>
      </c>
      <c r="BT518" t="str">
        <f>HYPERLINK("https%3A%2F%2Fwww.webofscience.com%2Fwos%2Fwoscc%2Ffull-record%2FWOS:000209450100022","View Full Record in Web of Science")</f>
        <v>View Full Record in Web of Science</v>
      </c>
    </row>
    <row r="519" spans="1:72" x14ac:dyDescent="0.15">
      <c r="A519" t="s">
        <v>72</v>
      </c>
      <c r="B519" t="s">
        <v>9585</v>
      </c>
      <c r="C519" t="s">
        <v>74</v>
      </c>
      <c r="D519" t="s">
        <v>74</v>
      </c>
      <c r="E519" t="s">
        <v>74</v>
      </c>
      <c r="F519" t="s">
        <v>9586</v>
      </c>
      <c r="G519" t="s">
        <v>74</v>
      </c>
      <c r="H519" t="s">
        <v>74</v>
      </c>
      <c r="I519" t="s">
        <v>9587</v>
      </c>
      <c r="J519" t="s">
        <v>9283</v>
      </c>
      <c r="K519" t="s">
        <v>74</v>
      </c>
      <c r="L519" t="s">
        <v>74</v>
      </c>
      <c r="M519" t="s">
        <v>78</v>
      </c>
      <c r="N519" t="s">
        <v>79</v>
      </c>
      <c r="O519" t="s">
        <v>74</v>
      </c>
      <c r="P519" t="s">
        <v>74</v>
      </c>
      <c r="Q519" t="s">
        <v>74</v>
      </c>
      <c r="R519" t="s">
        <v>74</v>
      </c>
      <c r="S519" t="s">
        <v>74</v>
      </c>
      <c r="T519" t="s">
        <v>9588</v>
      </c>
      <c r="U519" t="s">
        <v>9589</v>
      </c>
      <c r="V519" t="s">
        <v>9590</v>
      </c>
      <c r="W519" t="s">
        <v>9591</v>
      </c>
      <c r="X519" t="s">
        <v>9592</v>
      </c>
      <c r="Y519" t="s">
        <v>9593</v>
      </c>
      <c r="Z519" t="s">
        <v>9594</v>
      </c>
      <c r="AA519" t="s">
        <v>2530</v>
      </c>
      <c r="AB519" t="s">
        <v>9595</v>
      </c>
      <c r="AC519" t="s">
        <v>9596</v>
      </c>
      <c r="AD519" t="s">
        <v>9597</v>
      </c>
      <c r="AE519" t="s">
        <v>9598</v>
      </c>
      <c r="AF519" t="s">
        <v>74</v>
      </c>
      <c r="AG519">
        <v>44</v>
      </c>
      <c r="AH519">
        <v>7</v>
      </c>
      <c r="AI519">
        <v>7</v>
      </c>
      <c r="AJ519">
        <v>1</v>
      </c>
      <c r="AK519">
        <v>9</v>
      </c>
      <c r="AL519" t="s">
        <v>1038</v>
      </c>
      <c r="AM519" t="s">
        <v>550</v>
      </c>
      <c r="AN519" t="s">
        <v>1039</v>
      </c>
      <c r="AO519" t="s">
        <v>9290</v>
      </c>
      <c r="AP519" t="s">
        <v>9291</v>
      </c>
      <c r="AQ519" t="s">
        <v>74</v>
      </c>
      <c r="AR519" t="s">
        <v>9292</v>
      </c>
      <c r="AS519" t="s">
        <v>9293</v>
      </c>
      <c r="AT519" t="s">
        <v>7680</v>
      </c>
      <c r="AU519">
        <v>2010</v>
      </c>
      <c r="AV519">
        <v>4</v>
      </c>
      <c r="AW519">
        <v>2</v>
      </c>
      <c r="AX519" t="s">
        <v>74</v>
      </c>
      <c r="AY519" t="s">
        <v>74</v>
      </c>
      <c r="AZ519" t="s">
        <v>74</v>
      </c>
      <c r="BA519" t="s">
        <v>74</v>
      </c>
      <c r="BB519">
        <v>405</v>
      </c>
      <c r="BC519">
        <v>419</v>
      </c>
      <c r="BD519" t="s">
        <v>74</v>
      </c>
      <c r="BE519" t="s">
        <v>9599</v>
      </c>
      <c r="BF519" t="str">
        <f>HYPERLINK("http://dx.doi.org/10.1016/j.polar.2010.04.005","http://dx.doi.org/10.1016/j.polar.2010.04.005")</f>
        <v>http://dx.doi.org/10.1016/j.polar.2010.04.005</v>
      </c>
      <c r="BG519" t="s">
        <v>74</v>
      </c>
      <c r="BH519" t="s">
        <v>74</v>
      </c>
      <c r="BI519">
        <v>15</v>
      </c>
      <c r="BJ519" t="s">
        <v>9295</v>
      </c>
      <c r="BK519" t="s">
        <v>100</v>
      </c>
      <c r="BL519" t="s">
        <v>7084</v>
      </c>
      <c r="BM519" t="s">
        <v>9296</v>
      </c>
      <c r="BN519" t="s">
        <v>74</v>
      </c>
      <c r="BO519" t="s">
        <v>1000</v>
      </c>
      <c r="BP519" t="s">
        <v>74</v>
      </c>
      <c r="BQ519" t="s">
        <v>74</v>
      </c>
      <c r="BR519" t="s">
        <v>104</v>
      </c>
      <c r="BS519" t="s">
        <v>9600</v>
      </c>
      <c r="BT519" t="str">
        <f>HYPERLINK("https%3A%2F%2Fwww.webofscience.com%2Fwos%2Fwoscc%2Ffull-record%2FWOS:000209450100023","View Full Record in Web of Science")</f>
        <v>View Full Record in Web of Science</v>
      </c>
    </row>
    <row r="520" spans="1:72" x14ac:dyDescent="0.15">
      <c r="A520" t="s">
        <v>72</v>
      </c>
      <c r="B520" t="s">
        <v>9601</v>
      </c>
      <c r="C520" t="s">
        <v>74</v>
      </c>
      <c r="D520" t="s">
        <v>74</v>
      </c>
      <c r="E520" t="s">
        <v>74</v>
      </c>
      <c r="F520" t="s">
        <v>9602</v>
      </c>
      <c r="G520" t="s">
        <v>74</v>
      </c>
      <c r="H520" t="s">
        <v>74</v>
      </c>
      <c r="I520" t="s">
        <v>9603</v>
      </c>
      <c r="J520" t="s">
        <v>9283</v>
      </c>
      <c r="K520" t="s">
        <v>74</v>
      </c>
      <c r="L520" t="s">
        <v>74</v>
      </c>
      <c r="M520" t="s">
        <v>78</v>
      </c>
      <c r="N520" t="s">
        <v>79</v>
      </c>
      <c r="O520" t="s">
        <v>74</v>
      </c>
      <c r="P520" t="s">
        <v>74</v>
      </c>
      <c r="Q520" t="s">
        <v>74</v>
      </c>
      <c r="R520" t="s">
        <v>74</v>
      </c>
      <c r="S520" t="s">
        <v>74</v>
      </c>
      <c r="T520" t="s">
        <v>9604</v>
      </c>
      <c r="U520" t="s">
        <v>74</v>
      </c>
      <c r="V520" t="s">
        <v>9605</v>
      </c>
      <c r="W520" t="s">
        <v>9606</v>
      </c>
      <c r="X520" t="s">
        <v>9607</v>
      </c>
      <c r="Y520" t="s">
        <v>9608</v>
      </c>
      <c r="Z520" t="s">
        <v>9609</v>
      </c>
      <c r="AA520" t="s">
        <v>9610</v>
      </c>
      <c r="AB520" t="s">
        <v>9611</v>
      </c>
      <c r="AC520" t="s">
        <v>9612</v>
      </c>
      <c r="AD520" t="s">
        <v>145</v>
      </c>
      <c r="AE520" t="s">
        <v>9613</v>
      </c>
      <c r="AF520" t="s">
        <v>74</v>
      </c>
      <c r="AG520">
        <v>27</v>
      </c>
      <c r="AH520">
        <v>13</v>
      </c>
      <c r="AI520">
        <v>14</v>
      </c>
      <c r="AJ520">
        <v>1</v>
      </c>
      <c r="AK520">
        <v>13</v>
      </c>
      <c r="AL520" t="s">
        <v>549</v>
      </c>
      <c r="AM520" t="s">
        <v>550</v>
      </c>
      <c r="AN520" t="s">
        <v>551</v>
      </c>
      <c r="AO520" t="s">
        <v>9290</v>
      </c>
      <c r="AP520" t="s">
        <v>9291</v>
      </c>
      <c r="AQ520" t="s">
        <v>74</v>
      </c>
      <c r="AR520" t="s">
        <v>9292</v>
      </c>
      <c r="AS520" t="s">
        <v>9293</v>
      </c>
      <c r="AT520" t="s">
        <v>7680</v>
      </c>
      <c r="AU520">
        <v>2010</v>
      </c>
      <c r="AV520">
        <v>4</v>
      </c>
      <c r="AW520">
        <v>2</v>
      </c>
      <c r="AX520" t="s">
        <v>74</v>
      </c>
      <c r="AY520" t="s">
        <v>74</v>
      </c>
      <c r="AZ520" t="s">
        <v>74</v>
      </c>
      <c r="BA520" t="s">
        <v>74</v>
      </c>
      <c r="BB520">
        <v>421</v>
      </c>
      <c r="BC520">
        <v>429</v>
      </c>
      <c r="BD520" t="s">
        <v>74</v>
      </c>
      <c r="BE520" t="s">
        <v>9614</v>
      </c>
      <c r="BF520" t="str">
        <f>HYPERLINK("http://dx.doi.org/10.1016/j.polar.2010.04.002","http://dx.doi.org/10.1016/j.polar.2010.04.002")</f>
        <v>http://dx.doi.org/10.1016/j.polar.2010.04.002</v>
      </c>
      <c r="BG520" t="s">
        <v>74</v>
      </c>
      <c r="BH520" t="s">
        <v>74</v>
      </c>
      <c r="BI520">
        <v>9</v>
      </c>
      <c r="BJ520" t="s">
        <v>9295</v>
      </c>
      <c r="BK520" t="s">
        <v>100</v>
      </c>
      <c r="BL520" t="s">
        <v>7084</v>
      </c>
      <c r="BM520" t="s">
        <v>9296</v>
      </c>
      <c r="BN520" t="s">
        <v>74</v>
      </c>
      <c r="BO520" t="s">
        <v>1000</v>
      </c>
      <c r="BP520" t="s">
        <v>74</v>
      </c>
      <c r="BQ520" t="s">
        <v>74</v>
      </c>
      <c r="BR520" t="s">
        <v>104</v>
      </c>
      <c r="BS520" t="s">
        <v>9615</v>
      </c>
      <c r="BT520" t="str">
        <f>HYPERLINK("https%3A%2F%2Fwww.webofscience.com%2Fwos%2Fwoscc%2Ffull-record%2FWOS:000209450100024","View Full Record in Web of Science")</f>
        <v>View Full Record in Web of Science</v>
      </c>
    </row>
    <row r="521" spans="1:72" x14ac:dyDescent="0.15">
      <c r="A521" t="s">
        <v>72</v>
      </c>
      <c r="B521" t="s">
        <v>9616</v>
      </c>
      <c r="C521" t="s">
        <v>74</v>
      </c>
      <c r="D521" t="s">
        <v>74</v>
      </c>
      <c r="E521" t="s">
        <v>74</v>
      </c>
      <c r="F521" t="s">
        <v>9617</v>
      </c>
      <c r="G521" t="s">
        <v>74</v>
      </c>
      <c r="H521" t="s">
        <v>74</v>
      </c>
      <c r="I521" t="s">
        <v>9618</v>
      </c>
      <c r="J521" t="s">
        <v>6852</v>
      </c>
      <c r="K521" t="s">
        <v>74</v>
      </c>
      <c r="L521" t="s">
        <v>74</v>
      </c>
      <c r="M521" t="s">
        <v>78</v>
      </c>
      <c r="N521" t="s">
        <v>79</v>
      </c>
      <c r="O521" t="s">
        <v>74</v>
      </c>
      <c r="P521" t="s">
        <v>74</v>
      </c>
      <c r="Q521" t="s">
        <v>74</v>
      </c>
      <c r="R521" t="s">
        <v>74</v>
      </c>
      <c r="S521" t="s">
        <v>74</v>
      </c>
      <c r="T521" t="s">
        <v>9619</v>
      </c>
      <c r="U521" t="s">
        <v>9620</v>
      </c>
      <c r="V521" t="s">
        <v>9621</v>
      </c>
      <c r="W521" t="s">
        <v>9622</v>
      </c>
      <c r="X521" t="s">
        <v>9623</v>
      </c>
      <c r="Y521" t="s">
        <v>9624</v>
      </c>
      <c r="Z521" t="s">
        <v>6377</v>
      </c>
      <c r="AA521" t="s">
        <v>9625</v>
      </c>
      <c r="AB521" t="s">
        <v>9626</v>
      </c>
      <c r="AC521" t="s">
        <v>6380</v>
      </c>
      <c r="AD521" t="s">
        <v>6381</v>
      </c>
      <c r="AE521" t="s">
        <v>9627</v>
      </c>
      <c r="AF521" t="s">
        <v>74</v>
      </c>
      <c r="AG521">
        <v>116</v>
      </c>
      <c r="AH521">
        <v>39</v>
      </c>
      <c r="AI521">
        <v>39</v>
      </c>
      <c r="AJ521">
        <v>0</v>
      </c>
      <c r="AK521">
        <v>12</v>
      </c>
      <c r="AL521" t="s">
        <v>1038</v>
      </c>
      <c r="AM521" t="s">
        <v>550</v>
      </c>
      <c r="AN521" t="s">
        <v>1039</v>
      </c>
      <c r="AO521" t="s">
        <v>6865</v>
      </c>
      <c r="AP521" t="s">
        <v>6866</v>
      </c>
      <c r="AQ521" t="s">
        <v>74</v>
      </c>
      <c r="AR521" t="s">
        <v>6867</v>
      </c>
      <c r="AS521" t="s">
        <v>6868</v>
      </c>
      <c r="AT521" t="s">
        <v>7680</v>
      </c>
      <c r="AU521">
        <v>2010</v>
      </c>
      <c r="AV521">
        <v>181</v>
      </c>
      <c r="AW521" t="s">
        <v>3822</v>
      </c>
      <c r="AX521" t="s">
        <v>74</v>
      </c>
      <c r="AY521" t="s">
        <v>74</v>
      </c>
      <c r="AZ521" t="s">
        <v>74</v>
      </c>
      <c r="BA521" t="s">
        <v>74</v>
      </c>
      <c r="BB521">
        <v>21</v>
      </c>
      <c r="BC521">
        <v>42</v>
      </c>
      <c r="BD521" t="s">
        <v>74</v>
      </c>
      <c r="BE521" t="s">
        <v>9628</v>
      </c>
      <c r="BF521" t="str">
        <f>HYPERLINK("http://dx.doi.org/10.1016/j.precamres.2010.05.013","http://dx.doi.org/10.1016/j.precamres.2010.05.013")</f>
        <v>http://dx.doi.org/10.1016/j.precamres.2010.05.013</v>
      </c>
      <c r="BG521" t="s">
        <v>74</v>
      </c>
      <c r="BH521" t="s">
        <v>74</v>
      </c>
      <c r="BI521">
        <v>22</v>
      </c>
      <c r="BJ521" t="s">
        <v>1194</v>
      </c>
      <c r="BK521" t="s">
        <v>100</v>
      </c>
      <c r="BL521" t="s">
        <v>807</v>
      </c>
      <c r="BM521" t="s">
        <v>9629</v>
      </c>
      <c r="BN521" t="s">
        <v>74</v>
      </c>
      <c r="BO521" t="s">
        <v>74</v>
      </c>
      <c r="BP521" t="s">
        <v>74</v>
      </c>
      <c r="BQ521" t="s">
        <v>74</v>
      </c>
      <c r="BR521" t="s">
        <v>104</v>
      </c>
      <c r="BS521" t="s">
        <v>9630</v>
      </c>
      <c r="BT521" t="str">
        <f>HYPERLINK("https%3A%2F%2Fwww.webofscience.com%2Fwos%2Fwoscc%2Ffull-record%2FWOS:000280983000002","View Full Record in Web of Science")</f>
        <v>View Full Record in Web of Science</v>
      </c>
    </row>
    <row r="522" spans="1:72" x14ac:dyDescent="0.15">
      <c r="A522" t="s">
        <v>72</v>
      </c>
      <c r="B522" t="s">
        <v>9631</v>
      </c>
      <c r="C522" t="s">
        <v>74</v>
      </c>
      <c r="D522" t="s">
        <v>74</v>
      </c>
      <c r="E522" t="s">
        <v>74</v>
      </c>
      <c r="F522" t="s">
        <v>9632</v>
      </c>
      <c r="G522" t="s">
        <v>74</v>
      </c>
      <c r="H522" t="s">
        <v>74</v>
      </c>
      <c r="I522" t="s">
        <v>9633</v>
      </c>
      <c r="J522" t="s">
        <v>6852</v>
      </c>
      <c r="K522" t="s">
        <v>74</v>
      </c>
      <c r="L522" t="s">
        <v>74</v>
      </c>
      <c r="M522" t="s">
        <v>78</v>
      </c>
      <c r="N522" t="s">
        <v>79</v>
      </c>
      <c r="O522" t="s">
        <v>74</v>
      </c>
      <c r="P522" t="s">
        <v>74</v>
      </c>
      <c r="Q522" t="s">
        <v>74</v>
      </c>
      <c r="R522" t="s">
        <v>74</v>
      </c>
      <c r="S522" t="s">
        <v>74</v>
      </c>
      <c r="T522" t="s">
        <v>9634</v>
      </c>
      <c r="U522" t="s">
        <v>9635</v>
      </c>
      <c r="V522" t="s">
        <v>9636</v>
      </c>
      <c r="W522" t="s">
        <v>9637</v>
      </c>
      <c r="X522" t="s">
        <v>9638</v>
      </c>
      <c r="Y522" t="s">
        <v>9639</v>
      </c>
      <c r="Z522" t="s">
        <v>9640</v>
      </c>
      <c r="AA522" t="s">
        <v>9641</v>
      </c>
      <c r="AB522" t="s">
        <v>9642</v>
      </c>
      <c r="AC522" t="s">
        <v>9643</v>
      </c>
      <c r="AD522" t="s">
        <v>9644</v>
      </c>
      <c r="AE522" t="s">
        <v>9645</v>
      </c>
      <c r="AF522" t="s">
        <v>74</v>
      </c>
      <c r="AG522">
        <v>110</v>
      </c>
      <c r="AH522">
        <v>391</v>
      </c>
      <c r="AI522">
        <v>458</v>
      </c>
      <c r="AJ522">
        <v>2</v>
      </c>
      <c r="AK522">
        <v>103</v>
      </c>
      <c r="AL522" t="s">
        <v>1038</v>
      </c>
      <c r="AM522" t="s">
        <v>550</v>
      </c>
      <c r="AN522" t="s">
        <v>1039</v>
      </c>
      <c r="AO522" t="s">
        <v>6865</v>
      </c>
      <c r="AP522" t="s">
        <v>6866</v>
      </c>
      <c r="AQ522" t="s">
        <v>74</v>
      </c>
      <c r="AR522" t="s">
        <v>6867</v>
      </c>
      <c r="AS522" t="s">
        <v>6868</v>
      </c>
      <c r="AT522" t="s">
        <v>7680</v>
      </c>
      <c r="AU522">
        <v>2010</v>
      </c>
      <c r="AV522">
        <v>181</v>
      </c>
      <c r="AW522" t="s">
        <v>3822</v>
      </c>
      <c r="AX522" t="s">
        <v>74</v>
      </c>
      <c r="AY522" t="s">
        <v>74</v>
      </c>
      <c r="AZ522" t="s">
        <v>74</v>
      </c>
      <c r="BA522" t="s">
        <v>74</v>
      </c>
      <c r="BB522">
        <v>97</v>
      </c>
      <c r="BC522">
        <v>114</v>
      </c>
      <c r="BD522" t="s">
        <v>74</v>
      </c>
      <c r="BE522" t="s">
        <v>9646</v>
      </c>
      <c r="BF522" t="str">
        <f>HYPERLINK("http://dx.doi.org/10.1016/j.precamres.2010.05.016","http://dx.doi.org/10.1016/j.precamres.2010.05.016")</f>
        <v>http://dx.doi.org/10.1016/j.precamres.2010.05.016</v>
      </c>
      <c r="BG522" t="s">
        <v>74</v>
      </c>
      <c r="BH522" t="s">
        <v>74</v>
      </c>
      <c r="BI522">
        <v>18</v>
      </c>
      <c r="BJ522" t="s">
        <v>1194</v>
      </c>
      <c r="BK522" t="s">
        <v>100</v>
      </c>
      <c r="BL522" t="s">
        <v>807</v>
      </c>
      <c r="BM522" t="s">
        <v>9629</v>
      </c>
      <c r="BN522" t="s">
        <v>74</v>
      </c>
      <c r="BO522" t="s">
        <v>74</v>
      </c>
      <c r="BP522" t="s">
        <v>74</v>
      </c>
      <c r="BQ522" t="s">
        <v>74</v>
      </c>
      <c r="BR522" t="s">
        <v>104</v>
      </c>
      <c r="BS522" t="s">
        <v>9647</v>
      </c>
      <c r="BT522" t="str">
        <f>HYPERLINK("https%3A%2F%2Fwww.webofscience.com%2Fwos%2Fwoscc%2Ffull-record%2FWOS:000280983000006","View Full Record in Web of Science")</f>
        <v>View Full Record in Web of Science</v>
      </c>
    </row>
    <row r="523" spans="1:72" x14ac:dyDescent="0.15">
      <c r="A523" t="s">
        <v>72</v>
      </c>
      <c r="B523" t="s">
        <v>9648</v>
      </c>
      <c r="C523" t="s">
        <v>74</v>
      </c>
      <c r="D523" t="s">
        <v>74</v>
      </c>
      <c r="E523" t="s">
        <v>74</v>
      </c>
      <c r="F523" t="s">
        <v>9649</v>
      </c>
      <c r="G523" t="s">
        <v>74</v>
      </c>
      <c r="H523" t="s">
        <v>74</v>
      </c>
      <c r="I523" t="s">
        <v>9650</v>
      </c>
      <c r="J523" t="s">
        <v>9651</v>
      </c>
      <c r="K523" t="s">
        <v>74</v>
      </c>
      <c r="L523" t="s">
        <v>74</v>
      </c>
      <c r="M523" t="s">
        <v>78</v>
      </c>
      <c r="N523" t="s">
        <v>326</v>
      </c>
      <c r="O523" t="s">
        <v>74</v>
      </c>
      <c r="P523" t="s">
        <v>74</v>
      </c>
      <c r="Q523" t="s">
        <v>74</v>
      </c>
      <c r="R523" t="s">
        <v>74</v>
      </c>
      <c r="S523" t="s">
        <v>74</v>
      </c>
      <c r="T523" t="s">
        <v>9652</v>
      </c>
      <c r="U523" t="s">
        <v>9653</v>
      </c>
      <c r="V523" t="s">
        <v>9654</v>
      </c>
      <c r="W523" t="s">
        <v>9655</v>
      </c>
      <c r="X523" t="s">
        <v>9656</v>
      </c>
      <c r="Y523" t="s">
        <v>9657</v>
      </c>
      <c r="Z523" t="s">
        <v>9658</v>
      </c>
      <c r="AA523" t="s">
        <v>74</v>
      </c>
      <c r="AB523" t="s">
        <v>74</v>
      </c>
      <c r="AC523" t="s">
        <v>9659</v>
      </c>
      <c r="AD523" t="s">
        <v>9660</v>
      </c>
      <c r="AE523" t="s">
        <v>9661</v>
      </c>
      <c r="AF523" t="s">
        <v>74</v>
      </c>
      <c r="AG523">
        <v>177</v>
      </c>
      <c r="AH523">
        <v>60</v>
      </c>
      <c r="AI523">
        <v>63</v>
      </c>
      <c r="AJ523">
        <v>7</v>
      </c>
      <c r="AK523">
        <v>206</v>
      </c>
      <c r="AL523" t="s">
        <v>9662</v>
      </c>
      <c r="AM523" t="s">
        <v>9663</v>
      </c>
      <c r="AN523" t="s">
        <v>9664</v>
      </c>
      <c r="AO523" t="s">
        <v>9665</v>
      </c>
      <c r="AP523" t="s">
        <v>9666</v>
      </c>
      <c r="AQ523" t="s">
        <v>74</v>
      </c>
      <c r="AR523" t="s">
        <v>9651</v>
      </c>
      <c r="AS523" t="s">
        <v>9667</v>
      </c>
      <c r="AT523" t="s">
        <v>7680</v>
      </c>
      <c r="AU523">
        <v>2010</v>
      </c>
      <c r="AV523">
        <v>244</v>
      </c>
      <c r="AW523" t="s">
        <v>3822</v>
      </c>
      <c r="AX523" t="s">
        <v>74</v>
      </c>
      <c r="AY523" t="s">
        <v>74</v>
      </c>
      <c r="AZ523" t="s">
        <v>74</v>
      </c>
      <c r="BA523" t="s">
        <v>74</v>
      </c>
      <c r="BB523">
        <v>53</v>
      </c>
      <c r="BC523">
        <v>73</v>
      </c>
      <c r="BD523" t="s">
        <v>74</v>
      </c>
      <c r="BE523" t="s">
        <v>9668</v>
      </c>
      <c r="BF523" t="str">
        <f>HYPERLINK("http://dx.doi.org/10.1007/s00709-010-0161-5","http://dx.doi.org/10.1007/s00709-010-0161-5")</f>
        <v>http://dx.doi.org/10.1007/s00709-010-0161-5</v>
      </c>
      <c r="BG523" t="s">
        <v>74</v>
      </c>
      <c r="BH523" t="s">
        <v>74</v>
      </c>
      <c r="BI523">
        <v>21</v>
      </c>
      <c r="BJ523" t="s">
        <v>9669</v>
      </c>
      <c r="BK523" t="s">
        <v>100</v>
      </c>
      <c r="BL523" t="s">
        <v>9669</v>
      </c>
      <c r="BM523" t="s">
        <v>9670</v>
      </c>
      <c r="BN523">
        <v>20521070</v>
      </c>
      <c r="BO523" t="s">
        <v>74</v>
      </c>
      <c r="BP523" t="s">
        <v>74</v>
      </c>
      <c r="BQ523" t="s">
        <v>74</v>
      </c>
      <c r="BR523" t="s">
        <v>104</v>
      </c>
      <c r="BS523" t="s">
        <v>9671</v>
      </c>
      <c r="BT523" t="str">
        <f>HYPERLINK("https%3A%2F%2Fwww.webofscience.com%2Fwos%2Fwoscc%2Ffull-record%2FWOS:000280947300005","View Full Record in Web of Science")</f>
        <v>View Full Record in Web of Science</v>
      </c>
    </row>
    <row r="524" spans="1:72" x14ac:dyDescent="0.15">
      <c r="A524" t="s">
        <v>72</v>
      </c>
      <c r="B524" t="s">
        <v>9672</v>
      </c>
      <c r="C524" t="s">
        <v>74</v>
      </c>
      <c r="D524" t="s">
        <v>74</v>
      </c>
      <c r="E524" t="s">
        <v>74</v>
      </c>
      <c r="F524" t="s">
        <v>9673</v>
      </c>
      <c r="G524" t="s">
        <v>74</v>
      </c>
      <c r="H524" t="s">
        <v>74</v>
      </c>
      <c r="I524" t="s">
        <v>9674</v>
      </c>
      <c r="J524" t="s">
        <v>1393</v>
      </c>
      <c r="K524" t="s">
        <v>74</v>
      </c>
      <c r="L524" t="s">
        <v>74</v>
      </c>
      <c r="M524" t="s">
        <v>78</v>
      </c>
      <c r="N524" t="s">
        <v>79</v>
      </c>
      <c r="O524" t="s">
        <v>74</v>
      </c>
      <c r="P524" t="s">
        <v>74</v>
      </c>
      <c r="Q524" t="s">
        <v>74</v>
      </c>
      <c r="R524" t="s">
        <v>74</v>
      </c>
      <c r="S524" t="s">
        <v>74</v>
      </c>
      <c r="T524" t="s">
        <v>74</v>
      </c>
      <c r="U524" t="s">
        <v>9675</v>
      </c>
      <c r="V524" t="s">
        <v>9676</v>
      </c>
      <c r="W524" t="s">
        <v>9677</v>
      </c>
      <c r="X524" t="s">
        <v>9678</v>
      </c>
      <c r="Y524" t="s">
        <v>9679</v>
      </c>
      <c r="Z524" t="s">
        <v>9680</v>
      </c>
      <c r="AA524" t="s">
        <v>9681</v>
      </c>
      <c r="AB524" t="s">
        <v>9682</v>
      </c>
      <c r="AC524" t="s">
        <v>9683</v>
      </c>
      <c r="AD524" t="s">
        <v>9684</v>
      </c>
      <c r="AE524" t="s">
        <v>9685</v>
      </c>
      <c r="AF524" t="s">
        <v>74</v>
      </c>
      <c r="AG524">
        <v>80</v>
      </c>
      <c r="AH524">
        <v>43</v>
      </c>
      <c r="AI524">
        <v>48</v>
      </c>
      <c r="AJ524">
        <v>1</v>
      </c>
      <c r="AK524">
        <v>56</v>
      </c>
      <c r="AL524" t="s">
        <v>264</v>
      </c>
      <c r="AM524" t="s">
        <v>265</v>
      </c>
      <c r="AN524" t="s">
        <v>266</v>
      </c>
      <c r="AO524" t="s">
        <v>1404</v>
      </c>
      <c r="AP524" t="s">
        <v>74</v>
      </c>
      <c r="AQ524" t="s">
        <v>74</v>
      </c>
      <c r="AR524" t="s">
        <v>1405</v>
      </c>
      <c r="AS524" t="s">
        <v>1406</v>
      </c>
      <c r="AT524" t="s">
        <v>7680</v>
      </c>
      <c r="AU524">
        <v>2010</v>
      </c>
      <c r="AV524">
        <v>29</v>
      </c>
      <c r="AW524" t="s">
        <v>9686</v>
      </c>
      <c r="AX524" t="s">
        <v>74</v>
      </c>
      <c r="AY524" t="s">
        <v>74</v>
      </c>
      <c r="AZ524" t="s">
        <v>74</v>
      </c>
      <c r="BA524" t="s">
        <v>74</v>
      </c>
      <c r="BB524">
        <v>1983</v>
      </c>
      <c r="BC524">
        <v>1992</v>
      </c>
      <c r="BD524" t="s">
        <v>74</v>
      </c>
      <c r="BE524" t="s">
        <v>9687</v>
      </c>
      <c r="BF524" t="str">
        <f>HYPERLINK("http://dx.doi.org/10.1016/j.quascirev.2010.05.002","http://dx.doi.org/10.1016/j.quascirev.2010.05.002")</f>
        <v>http://dx.doi.org/10.1016/j.quascirev.2010.05.002</v>
      </c>
      <c r="BG524" t="s">
        <v>74</v>
      </c>
      <c r="BH524" t="s">
        <v>74</v>
      </c>
      <c r="BI524">
        <v>10</v>
      </c>
      <c r="BJ524" t="s">
        <v>1409</v>
      </c>
      <c r="BK524" t="s">
        <v>100</v>
      </c>
      <c r="BL524" t="s">
        <v>1410</v>
      </c>
      <c r="BM524" t="s">
        <v>9688</v>
      </c>
      <c r="BN524" t="s">
        <v>74</v>
      </c>
      <c r="BO524" t="s">
        <v>74</v>
      </c>
      <c r="BP524" t="s">
        <v>74</v>
      </c>
      <c r="BQ524" t="s">
        <v>74</v>
      </c>
      <c r="BR524" t="s">
        <v>104</v>
      </c>
      <c r="BS524" t="s">
        <v>9689</v>
      </c>
      <c r="BT524" t="str">
        <f>HYPERLINK("https%3A%2F%2Fwww.webofscience.com%2Fwos%2Fwoscc%2Ffull-record%2FWOS:000280974300004","View Full Record in Web of Science")</f>
        <v>View Full Record in Web of Science</v>
      </c>
    </row>
    <row r="525" spans="1:72" x14ac:dyDescent="0.15">
      <c r="A525" t="s">
        <v>72</v>
      </c>
      <c r="B525" t="s">
        <v>9690</v>
      </c>
      <c r="C525" t="s">
        <v>74</v>
      </c>
      <c r="D525" t="s">
        <v>74</v>
      </c>
      <c r="E525" t="s">
        <v>74</v>
      </c>
      <c r="F525" t="s">
        <v>9691</v>
      </c>
      <c r="G525" t="s">
        <v>74</v>
      </c>
      <c r="H525" t="s">
        <v>74</v>
      </c>
      <c r="I525" t="s">
        <v>9692</v>
      </c>
      <c r="J525" t="s">
        <v>1393</v>
      </c>
      <c r="K525" t="s">
        <v>74</v>
      </c>
      <c r="L525" t="s">
        <v>74</v>
      </c>
      <c r="M525" t="s">
        <v>78</v>
      </c>
      <c r="N525" t="s">
        <v>79</v>
      </c>
      <c r="O525" t="s">
        <v>74</v>
      </c>
      <c r="P525" t="s">
        <v>74</v>
      </c>
      <c r="Q525" t="s">
        <v>74</v>
      </c>
      <c r="R525" t="s">
        <v>74</v>
      </c>
      <c r="S525" t="s">
        <v>74</v>
      </c>
      <c r="T525" t="s">
        <v>74</v>
      </c>
      <c r="U525" t="s">
        <v>9693</v>
      </c>
      <c r="V525" t="s">
        <v>9694</v>
      </c>
      <c r="W525" t="s">
        <v>9695</v>
      </c>
      <c r="X525" t="s">
        <v>9696</v>
      </c>
      <c r="Y525" t="s">
        <v>9697</v>
      </c>
      <c r="Z525" t="s">
        <v>9698</v>
      </c>
      <c r="AA525" t="s">
        <v>9699</v>
      </c>
      <c r="AB525" t="s">
        <v>9700</v>
      </c>
      <c r="AC525" t="s">
        <v>9701</v>
      </c>
      <c r="AD525" t="s">
        <v>7231</v>
      </c>
      <c r="AE525" t="s">
        <v>9702</v>
      </c>
      <c r="AF525" t="s">
        <v>74</v>
      </c>
      <c r="AG525">
        <v>132</v>
      </c>
      <c r="AH525">
        <v>86</v>
      </c>
      <c r="AI525">
        <v>107</v>
      </c>
      <c r="AJ525">
        <v>1</v>
      </c>
      <c r="AK525">
        <v>61</v>
      </c>
      <c r="AL525" t="s">
        <v>264</v>
      </c>
      <c r="AM525" t="s">
        <v>265</v>
      </c>
      <c r="AN525" t="s">
        <v>266</v>
      </c>
      <c r="AO525" t="s">
        <v>1404</v>
      </c>
      <c r="AP525" t="s">
        <v>74</v>
      </c>
      <c r="AQ525" t="s">
        <v>74</v>
      </c>
      <c r="AR525" t="s">
        <v>1405</v>
      </c>
      <c r="AS525" t="s">
        <v>1406</v>
      </c>
      <c r="AT525" t="s">
        <v>7680</v>
      </c>
      <c r="AU525">
        <v>2010</v>
      </c>
      <c r="AV525">
        <v>29</v>
      </c>
      <c r="AW525" t="s">
        <v>9686</v>
      </c>
      <c r="AX525" t="s">
        <v>74</v>
      </c>
      <c r="AY525" t="s">
        <v>74</v>
      </c>
      <c r="AZ525" t="s">
        <v>74</v>
      </c>
      <c r="BA525" t="s">
        <v>74</v>
      </c>
      <c r="BB525">
        <v>1993</v>
      </c>
      <c r="BC525">
        <v>2009</v>
      </c>
      <c r="BD525" t="s">
        <v>74</v>
      </c>
      <c r="BE525" t="s">
        <v>9703</v>
      </c>
      <c r="BF525" t="str">
        <f>HYPERLINK("http://dx.doi.org/10.1016/j.quascirev.2010.04.027","http://dx.doi.org/10.1016/j.quascirev.2010.04.027")</f>
        <v>http://dx.doi.org/10.1016/j.quascirev.2010.04.027</v>
      </c>
      <c r="BG525" t="s">
        <v>74</v>
      </c>
      <c r="BH525" t="s">
        <v>74</v>
      </c>
      <c r="BI525">
        <v>17</v>
      </c>
      <c r="BJ525" t="s">
        <v>1409</v>
      </c>
      <c r="BK525" t="s">
        <v>100</v>
      </c>
      <c r="BL525" t="s">
        <v>1410</v>
      </c>
      <c r="BM525" t="s">
        <v>9688</v>
      </c>
      <c r="BN525" t="s">
        <v>74</v>
      </c>
      <c r="BO525" t="s">
        <v>1025</v>
      </c>
      <c r="BP525" t="s">
        <v>74</v>
      </c>
      <c r="BQ525" t="s">
        <v>74</v>
      </c>
      <c r="BR525" t="s">
        <v>104</v>
      </c>
      <c r="BS525" t="s">
        <v>9704</v>
      </c>
      <c r="BT525" t="str">
        <f>HYPERLINK("https%3A%2F%2Fwww.webofscience.com%2Fwos%2Fwoscc%2Ffull-record%2FWOS:000280974300005","View Full Record in Web of Science")</f>
        <v>View Full Record in Web of Science</v>
      </c>
    </row>
    <row r="526" spans="1:72" x14ac:dyDescent="0.15">
      <c r="A526" t="s">
        <v>72</v>
      </c>
      <c r="B526" t="s">
        <v>9705</v>
      </c>
      <c r="C526" t="s">
        <v>74</v>
      </c>
      <c r="D526" t="s">
        <v>74</v>
      </c>
      <c r="E526" t="s">
        <v>74</v>
      </c>
      <c r="F526" t="s">
        <v>9706</v>
      </c>
      <c r="G526" t="s">
        <v>74</v>
      </c>
      <c r="H526" t="s">
        <v>74</v>
      </c>
      <c r="I526" t="s">
        <v>9707</v>
      </c>
      <c r="J526" t="s">
        <v>9708</v>
      </c>
      <c r="K526" t="s">
        <v>74</v>
      </c>
      <c r="L526" t="s">
        <v>74</v>
      </c>
      <c r="M526" t="s">
        <v>78</v>
      </c>
      <c r="N526" t="s">
        <v>79</v>
      </c>
      <c r="O526" t="s">
        <v>74</v>
      </c>
      <c r="P526" t="s">
        <v>74</v>
      </c>
      <c r="Q526" t="s">
        <v>74</v>
      </c>
      <c r="R526" t="s">
        <v>74</v>
      </c>
      <c r="S526" t="s">
        <v>74</v>
      </c>
      <c r="T526" t="s">
        <v>74</v>
      </c>
      <c r="U526" t="s">
        <v>9709</v>
      </c>
      <c r="V526" t="s">
        <v>9710</v>
      </c>
      <c r="W526" t="s">
        <v>9711</v>
      </c>
      <c r="X526" t="s">
        <v>9712</v>
      </c>
      <c r="Y526" t="s">
        <v>9713</v>
      </c>
      <c r="Z526" t="s">
        <v>9714</v>
      </c>
      <c r="AA526" t="s">
        <v>9715</v>
      </c>
      <c r="AB526" t="s">
        <v>9716</v>
      </c>
      <c r="AC526" t="s">
        <v>9717</v>
      </c>
      <c r="AD526" t="s">
        <v>9718</v>
      </c>
      <c r="AE526" t="s">
        <v>74</v>
      </c>
      <c r="AF526" t="s">
        <v>74</v>
      </c>
      <c r="AG526">
        <v>18</v>
      </c>
      <c r="AH526">
        <v>3</v>
      </c>
      <c r="AI526">
        <v>3</v>
      </c>
      <c r="AJ526">
        <v>0</v>
      </c>
      <c r="AK526">
        <v>1</v>
      </c>
      <c r="AL526" t="s">
        <v>464</v>
      </c>
      <c r="AM526" t="s">
        <v>310</v>
      </c>
      <c r="AN526" t="s">
        <v>465</v>
      </c>
      <c r="AO526" t="s">
        <v>9719</v>
      </c>
      <c r="AP526" t="s">
        <v>74</v>
      </c>
      <c r="AQ526" t="s">
        <v>74</v>
      </c>
      <c r="AR526" t="s">
        <v>9720</v>
      </c>
      <c r="AS526" t="s">
        <v>9721</v>
      </c>
      <c r="AT526" t="s">
        <v>7680</v>
      </c>
      <c r="AU526">
        <v>2010</v>
      </c>
      <c r="AV526">
        <v>53</v>
      </c>
      <c r="AW526">
        <v>3</v>
      </c>
      <c r="AX526" t="s">
        <v>74</v>
      </c>
      <c r="AY526" t="s">
        <v>74</v>
      </c>
      <c r="AZ526" t="s">
        <v>74</v>
      </c>
      <c r="BA526" t="s">
        <v>74</v>
      </c>
      <c r="BB526">
        <v>147</v>
      </c>
      <c r="BC526">
        <v>160</v>
      </c>
      <c r="BD526" t="s">
        <v>74</v>
      </c>
      <c r="BE526" t="s">
        <v>9722</v>
      </c>
      <c r="BF526" t="str">
        <f>HYPERLINK("http://dx.doi.org/10.1007/s11141-010-9211-2","http://dx.doi.org/10.1007/s11141-010-9211-2")</f>
        <v>http://dx.doi.org/10.1007/s11141-010-9211-2</v>
      </c>
      <c r="BG526" t="s">
        <v>74</v>
      </c>
      <c r="BH526" t="s">
        <v>74</v>
      </c>
      <c r="BI526">
        <v>14</v>
      </c>
      <c r="BJ526" t="s">
        <v>9723</v>
      </c>
      <c r="BK526" t="s">
        <v>100</v>
      </c>
      <c r="BL526" t="s">
        <v>9724</v>
      </c>
      <c r="BM526" t="s">
        <v>9725</v>
      </c>
      <c r="BN526" t="s">
        <v>74</v>
      </c>
      <c r="BO526" t="s">
        <v>74</v>
      </c>
      <c r="BP526" t="s">
        <v>74</v>
      </c>
      <c r="BQ526" t="s">
        <v>74</v>
      </c>
      <c r="BR526" t="s">
        <v>104</v>
      </c>
      <c r="BS526" t="s">
        <v>9726</v>
      </c>
      <c r="BT526" t="str">
        <f>HYPERLINK("https%3A%2F%2Fwww.webofscience.com%2Fwos%2Fwoscc%2Ffull-record%2FWOS:000283258500001","View Full Record in Web of Science")</f>
        <v>View Full Record in Web of Science</v>
      </c>
    </row>
    <row r="527" spans="1:72" x14ac:dyDescent="0.15">
      <c r="A527" t="s">
        <v>72</v>
      </c>
      <c r="B527" t="s">
        <v>9727</v>
      </c>
      <c r="C527" t="s">
        <v>74</v>
      </c>
      <c r="D527" t="s">
        <v>74</v>
      </c>
      <c r="E527" t="s">
        <v>74</v>
      </c>
      <c r="F527" t="s">
        <v>9728</v>
      </c>
      <c r="G527" t="s">
        <v>74</v>
      </c>
      <c r="H527" t="s">
        <v>74</v>
      </c>
      <c r="I527" t="s">
        <v>9729</v>
      </c>
      <c r="J527" t="s">
        <v>9730</v>
      </c>
      <c r="K527" t="s">
        <v>74</v>
      </c>
      <c r="L527" t="s">
        <v>74</v>
      </c>
      <c r="M527" t="s">
        <v>78</v>
      </c>
      <c r="N527" t="s">
        <v>79</v>
      </c>
      <c r="O527" t="s">
        <v>74</v>
      </c>
      <c r="P527" t="s">
        <v>74</v>
      </c>
      <c r="Q527" t="s">
        <v>74</v>
      </c>
      <c r="R527" t="s">
        <v>74</v>
      </c>
      <c r="S527" t="s">
        <v>74</v>
      </c>
      <c r="T527" t="s">
        <v>9731</v>
      </c>
      <c r="U527" t="s">
        <v>9732</v>
      </c>
      <c r="V527" t="s">
        <v>9733</v>
      </c>
      <c r="W527" t="s">
        <v>9734</v>
      </c>
      <c r="X527" t="s">
        <v>9735</v>
      </c>
      <c r="Y527" t="s">
        <v>9736</v>
      </c>
      <c r="Z527" t="s">
        <v>9737</v>
      </c>
      <c r="AA527" t="s">
        <v>9738</v>
      </c>
      <c r="AB527" t="s">
        <v>9739</v>
      </c>
      <c r="AC527" t="s">
        <v>74</v>
      </c>
      <c r="AD527" t="s">
        <v>74</v>
      </c>
      <c r="AE527" t="s">
        <v>74</v>
      </c>
      <c r="AF527" t="s">
        <v>74</v>
      </c>
      <c r="AG527">
        <v>11</v>
      </c>
      <c r="AH527">
        <v>39</v>
      </c>
      <c r="AI527">
        <v>42</v>
      </c>
      <c r="AJ527">
        <v>0</v>
      </c>
      <c r="AK527">
        <v>54</v>
      </c>
      <c r="AL527" t="s">
        <v>264</v>
      </c>
      <c r="AM527" t="s">
        <v>265</v>
      </c>
      <c r="AN527" t="s">
        <v>266</v>
      </c>
      <c r="AO527" t="s">
        <v>9740</v>
      </c>
      <c r="AP527" t="s">
        <v>74</v>
      </c>
      <c r="AQ527" t="s">
        <v>74</v>
      </c>
      <c r="AR527" t="s">
        <v>9741</v>
      </c>
      <c r="AS527" t="s">
        <v>9742</v>
      </c>
      <c r="AT527" t="s">
        <v>7680</v>
      </c>
      <c r="AU527">
        <v>2010</v>
      </c>
      <c r="AV527">
        <v>35</v>
      </c>
      <c r="AW527">
        <v>8</v>
      </c>
      <c r="AX527" t="s">
        <v>74</v>
      </c>
      <c r="AY527" t="s">
        <v>74</v>
      </c>
      <c r="AZ527" t="s">
        <v>74</v>
      </c>
      <c r="BA527" t="s">
        <v>74</v>
      </c>
      <c r="BB527">
        <v>1715</v>
      </c>
      <c r="BC527">
        <v>1723</v>
      </c>
      <c r="BD527" t="s">
        <v>74</v>
      </c>
      <c r="BE527" t="s">
        <v>9743</v>
      </c>
      <c r="BF527" t="str">
        <f>HYPERLINK("http://dx.doi.org/10.1016/j.renene.2009.10.020","http://dx.doi.org/10.1016/j.renene.2009.10.020")</f>
        <v>http://dx.doi.org/10.1016/j.renene.2009.10.020</v>
      </c>
      <c r="BG527" t="s">
        <v>74</v>
      </c>
      <c r="BH527" t="s">
        <v>74</v>
      </c>
      <c r="BI527">
        <v>9</v>
      </c>
      <c r="BJ527" t="s">
        <v>9744</v>
      </c>
      <c r="BK527" t="s">
        <v>100</v>
      </c>
      <c r="BL527" t="s">
        <v>9745</v>
      </c>
      <c r="BM527" t="s">
        <v>9746</v>
      </c>
      <c r="BN527" t="s">
        <v>74</v>
      </c>
      <c r="BO527" t="s">
        <v>74</v>
      </c>
      <c r="BP527" t="s">
        <v>74</v>
      </c>
      <c r="BQ527" t="s">
        <v>74</v>
      </c>
      <c r="BR527" t="s">
        <v>104</v>
      </c>
      <c r="BS527" t="s">
        <v>9747</v>
      </c>
      <c r="BT527" t="str">
        <f>HYPERLINK("https%3A%2F%2Fwww.webofscience.com%2Fwos%2Fwoscc%2Ffull-record%2FWOS:000277232900010","View Full Record in Web of Science")</f>
        <v>View Full Record in Web of Science</v>
      </c>
    </row>
    <row r="528" spans="1:72" x14ac:dyDescent="0.15">
      <c r="A528" t="s">
        <v>72</v>
      </c>
      <c r="B528" t="s">
        <v>9748</v>
      </c>
      <c r="C528" t="s">
        <v>74</v>
      </c>
      <c r="D528" t="s">
        <v>74</v>
      </c>
      <c r="E528" t="s">
        <v>74</v>
      </c>
      <c r="F528" t="s">
        <v>9749</v>
      </c>
      <c r="G528" t="s">
        <v>74</v>
      </c>
      <c r="H528" t="s">
        <v>74</v>
      </c>
      <c r="I528" t="s">
        <v>9750</v>
      </c>
      <c r="J528" t="s">
        <v>9751</v>
      </c>
      <c r="K528" t="s">
        <v>74</v>
      </c>
      <c r="L528" t="s">
        <v>74</v>
      </c>
      <c r="M528" t="s">
        <v>78</v>
      </c>
      <c r="N528" t="s">
        <v>326</v>
      </c>
      <c r="O528" t="s">
        <v>74</v>
      </c>
      <c r="P528" t="s">
        <v>74</v>
      </c>
      <c r="Q528" t="s">
        <v>74</v>
      </c>
      <c r="R528" t="s">
        <v>74</v>
      </c>
      <c r="S528" t="s">
        <v>74</v>
      </c>
      <c r="T528" t="s">
        <v>74</v>
      </c>
      <c r="U528" t="s">
        <v>9752</v>
      </c>
      <c r="V528" t="s">
        <v>9753</v>
      </c>
      <c r="W528" t="s">
        <v>9754</v>
      </c>
      <c r="X528" t="s">
        <v>9755</v>
      </c>
      <c r="Y528" t="s">
        <v>9756</v>
      </c>
      <c r="Z528" t="s">
        <v>74</v>
      </c>
      <c r="AA528" t="s">
        <v>74</v>
      </c>
      <c r="AB528" t="s">
        <v>9757</v>
      </c>
      <c r="AC528" t="s">
        <v>9758</v>
      </c>
      <c r="AD528" t="s">
        <v>9759</v>
      </c>
      <c r="AE528" t="s">
        <v>9760</v>
      </c>
      <c r="AF528" t="s">
        <v>74</v>
      </c>
      <c r="AG528">
        <v>141</v>
      </c>
      <c r="AH528">
        <v>168</v>
      </c>
      <c r="AI528">
        <v>192</v>
      </c>
      <c r="AJ528">
        <v>3</v>
      </c>
      <c r="AK528">
        <v>17</v>
      </c>
      <c r="AL528" t="s">
        <v>9761</v>
      </c>
      <c r="AM528" t="s">
        <v>899</v>
      </c>
      <c r="AN528" t="s">
        <v>9762</v>
      </c>
      <c r="AO528" t="s">
        <v>9763</v>
      </c>
      <c r="AP528" t="s">
        <v>9764</v>
      </c>
      <c r="AQ528" t="s">
        <v>74</v>
      </c>
      <c r="AR528" t="s">
        <v>9765</v>
      </c>
      <c r="AS528" t="s">
        <v>9766</v>
      </c>
      <c r="AT528" t="s">
        <v>7680</v>
      </c>
      <c r="AU528">
        <v>2010</v>
      </c>
      <c r="AV528">
        <v>81</v>
      </c>
      <c r="AW528">
        <v>8</v>
      </c>
      <c r="AX528" t="s">
        <v>74</v>
      </c>
      <c r="AY528" t="s">
        <v>74</v>
      </c>
      <c r="AZ528" t="s">
        <v>74</v>
      </c>
      <c r="BA528" t="s">
        <v>74</v>
      </c>
      <c r="BB528" t="s">
        <v>74</v>
      </c>
      <c r="BC528" t="s">
        <v>74</v>
      </c>
      <c r="BD528">
        <v>81101</v>
      </c>
      <c r="BE528" t="s">
        <v>9767</v>
      </c>
      <c r="BF528" t="str">
        <f>HYPERLINK("http://dx.doi.org/10.1063/1.3480478","http://dx.doi.org/10.1063/1.3480478")</f>
        <v>http://dx.doi.org/10.1063/1.3480478</v>
      </c>
      <c r="BG528" t="s">
        <v>74</v>
      </c>
      <c r="BH528" t="s">
        <v>74</v>
      </c>
      <c r="BI528">
        <v>24</v>
      </c>
      <c r="BJ528" t="s">
        <v>9768</v>
      </c>
      <c r="BK528" t="s">
        <v>100</v>
      </c>
      <c r="BL528" t="s">
        <v>9769</v>
      </c>
      <c r="BM528" t="s">
        <v>9770</v>
      </c>
      <c r="BN528">
        <v>20815596</v>
      </c>
      <c r="BO528" t="s">
        <v>134</v>
      </c>
      <c r="BP528" t="s">
        <v>74</v>
      </c>
      <c r="BQ528" t="s">
        <v>74</v>
      </c>
      <c r="BR528" t="s">
        <v>104</v>
      </c>
      <c r="BS528" t="s">
        <v>9771</v>
      </c>
      <c r="BT528" t="str">
        <f>HYPERLINK("https%3A%2F%2Fwww.webofscience.com%2Fwos%2Fwoscc%2Ffull-record%2FWOS:000281906100001","View Full Record in Web of Science")</f>
        <v>View Full Record in Web of Science</v>
      </c>
    </row>
    <row r="529" spans="1:72" x14ac:dyDescent="0.15">
      <c r="A529" t="s">
        <v>72</v>
      </c>
      <c r="B529" t="s">
        <v>9772</v>
      </c>
      <c r="C529" t="s">
        <v>74</v>
      </c>
      <c r="D529" t="s">
        <v>74</v>
      </c>
      <c r="E529" t="s">
        <v>74</v>
      </c>
      <c r="F529" t="s">
        <v>9773</v>
      </c>
      <c r="G529" t="s">
        <v>74</v>
      </c>
      <c r="H529" t="s">
        <v>74</v>
      </c>
      <c r="I529" t="s">
        <v>9774</v>
      </c>
      <c r="J529" t="s">
        <v>4328</v>
      </c>
      <c r="K529" t="s">
        <v>74</v>
      </c>
      <c r="L529" t="s">
        <v>74</v>
      </c>
      <c r="M529" t="s">
        <v>78</v>
      </c>
      <c r="N529" t="s">
        <v>79</v>
      </c>
      <c r="O529" t="s">
        <v>74</v>
      </c>
      <c r="P529" t="s">
        <v>74</v>
      </c>
      <c r="Q529" t="s">
        <v>74</v>
      </c>
      <c r="R529" t="s">
        <v>74</v>
      </c>
      <c r="S529" t="s">
        <v>74</v>
      </c>
      <c r="T529" t="s">
        <v>74</v>
      </c>
      <c r="U529" t="s">
        <v>74</v>
      </c>
      <c r="V529" t="s">
        <v>9775</v>
      </c>
      <c r="W529" t="s">
        <v>9776</v>
      </c>
      <c r="X529" t="s">
        <v>4331</v>
      </c>
      <c r="Y529" t="s">
        <v>9777</v>
      </c>
      <c r="Z529" t="s">
        <v>74</v>
      </c>
      <c r="AA529" t="s">
        <v>74</v>
      </c>
      <c r="AB529" t="s">
        <v>74</v>
      </c>
      <c r="AC529" t="s">
        <v>74</v>
      </c>
      <c r="AD529" t="s">
        <v>74</v>
      </c>
      <c r="AE529" t="s">
        <v>74</v>
      </c>
      <c r="AF529" t="s">
        <v>74</v>
      </c>
      <c r="AG529">
        <v>4</v>
      </c>
      <c r="AH529">
        <v>0</v>
      </c>
      <c r="AI529">
        <v>0</v>
      </c>
      <c r="AJ529">
        <v>0</v>
      </c>
      <c r="AK529">
        <v>1</v>
      </c>
      <c r="AL529" t="s">
        <v>4337</v>
      </c>
      <c r="AM529" t="s">
        <v>310</v>
      </c>
      <c r="AN529" t="s">
        <v>4338</v>
      </c>
      <c r="AO529" t="s">
        <v>4339</v>
      </c>
      <c r="AP529" t="s">
        <v>74</v>
      </c>
      <c r="AQ529" t="s">
        <v>74</v>
      </c>
      <c r="AR529" t="s">
        <v>4340</v>
      </c>
      <c r="AS529" t="s">
        <v>4341</v>
      </c>
      <c r="AT529" t="s">
        <v>7680</v>
      </c>
      <c r="AU529">
        <v>2010</v>
      </c>
      <c r="AV529">
        <v>35</v>
      </c>
      <c r="AW529">
        <v>8</v>
      </c>
      <c r="AX529" t="s">
        <v>74</v>
      </c>
      <c r="AY529" t="s">
        <v>74</v>
      </c>
      <c r="AZ529" t="s">
        <v>74</v>
      </c>
      <c r="BA529" t="s">
        <v>74</v>
      </c>
      <c r="BB529">
        <v>545</v>
      </c>
      <c r="BC529">
        <v>553</v>
      </c>
      <c r="BD529" t="s">
        <v>74</v>
      </c>
      <c r="BE529" t="s">
        <v>9778</v>
      </c>
      <c r="BF529" t="str">
        <f>HYPERLINK("http://dx.doi.org/10.3103/S1068373910080066","http://dx.doi.org/10.3103/S1068373910080066")</f>
        <v>http://dx.doi.org/10.3103/S1068373910080066</v>
      </c>
      <c r="BG529" t="s">
        <v>74</v>
      </c>
      <c r="BH529" t="s">
        <v>74</v>
      </c>
      <c r="BI529">
        <v>9</v>
      </c>
      <c r="BJ529" t="s">
        <v>319</v>
      </c>
      <c r="BK529" t="s">
        <v>100</v>
      </c>
      <c r="BL529" t="s">
        <v>319</v>
      </c>
      <c r="BM529" t="s">
        <v>9779</v>
      </c>
      <c r="BN529" t="s">
        <v>74</v>
      </c>
      <c r="BO529" t="s">
        <v>74</v>
      </c>
      <c r="BP529" t="s">
        <v>74</v>
      </c>
      <c r="BQ529" t="s">
        <v>74</v>
      </c>
      <c r="BR529" t="s">
        <v>104</v>
      </c>
      <c r="BS529" t="s">
        <v>9780</v>
      </c>
      <c r="BT529" t="str">
        <f>HYPERLINK("https%3A%2F%2Fwww.webofscience.com%2Fwos%2Fwoscc%2Ffull-record%2FWOS:000283301300006","View Full Record in Web of Science")</f>
        <v>View Full Record in Web of Science</v>
      </c>
    </row>
    <row r="530" spans="1:72" x14ac:dyDescent="0.15">
      <c r="A530" t="s">
        <v>72</v>
      </c>
      <c r="B530" t="s">
        <v>9781</v>
      </c>
      <c r="C530" t="s">
        <v>74</v>
      </c>
      <c r="D530" t="s">
        <v>74</v>
      </c>
      <c r="E530" t="s">
        <v>74</v>
      </c>
      <c r="F530" t="s">
        <v>9782</v>
      </c>
      <c r="G530" t="s">
        <v>74</v>
      </c>
      <c r="H530" t="s">
        <v>74</v>
      </c>
      <c r="I530" t="s">
        <v>9783</v>
      </c>
      <c r="J530" t="s">
        <v>4328</v>
      </c>
      <c r="K530" t="s">
        <v>74</v>
      </c>
      <c r="L530" t="s">
        <v>74</v>
      </c>
      <c r="M530" t="s">
        <v>78</v>
      </c>
      <c r="N530" t="s">
        <v>79</v>
      </c>
      <c r="O530" t="s">
        <v>74</v>
      </c>
      <c r="P530" t="s">
        <v>74</v>
      </c>
      <c r="Q530" t="s">
        <v>74</v>
      </c>
      <c r="R530" t="s">
        <v>74</v>
      </c>
      <c r="S530" t="s">
        <v>74</v>
      </c>
      <c r="T530" t="s">
        <v>74</v>
      </c>
      <c r="U530" t="s">
        <v>74</v>
      </c>
      <c r="V530" t="s">
        <v>9784</v>
      </c>
      <c r="W530" t="s">
        <v>9785</v>
      </c>
      <c r="X530" t="s">
        <v>9786</v>
      </c>
      <c r="Y530" t="s">
        <v>9787</v>
      </c>
      <c r="Z530" t="s">
        <v>74</v>
      </c>
      <c r="AA530" t="s">
        <v>9788</v>
      </c>
      <c r="AB530" t="s">
        <v>74</v>
      </c>
      <c r="AC530" t="s">
        <v>9789</v>
      </c>
      <c r="AD530" t="s">
        <v>9789</v>
      </c>
      <c r="AE530" t="s">
        <v>9790</v>
      </c>
      <c r="AF530" t="s">
        <v>74</v>
      </c>
      <c r="AG530">
        <v>8</v>
      </c>
      <c r="AH530">
        <v>0</v>
      </c>
      <c r="AI530">
        <v>0</v>
      </c>
      <c r="AJ530">
        <v>0</v>
      </c>
      <c r="AK530">
        <v>1</v>
      </c>
      <c r="AL530" t="s">
        <v>4337</v>
      </c>
      <c r="AM530" t="s">
        <v>310</v>
      </c>
      <c r="AN530" t="s">
        <v>4338</v>
      </c>
      <c r="AO530" t="s">
        <v>4339</v>
      </c>
      <c r="AP530" t="s">
        <v>74</v>
      </c>
      <c r="AQ530" t="s">
        <v>74</v>
      </c>
      <c r="AR530" t="s">
        <v>4340</v>
      </c>
      <c r="AS530" t="s">
        <v>4341</v>
      </c>
      <c r="AT530" t="s">
        <v>7680</v>
      </c>
      <c r="AU530">
        <v>2010</v>
      </c>
      <c r="AV530">
        <v>35</v>
      </c>
      <c r="AW530">
        <v>8</v>
      </c>
      <c r="AX530" t="s">
        <v>74</v>
      </c>
      <c r="AY530" t="s">
        <v>74</v>
      </c>
      <c r="AZ530" t="s">
        <v>74</v>
      </c>
      <c r="BA530" t="s">
        <v>74</v>
      </c>
      <c r="BB530">
        <v>564</v>
      </c>
      <c r="BC530">
        <v>570</v>
      </c>
      <c r="BD530" t="s">
        <v>74</v>
      </c>
      <c r="BE530" t="s">
        <v>9791</v>
      </c>
      <c r="BF530" t="str">
        <f>HYPERLINK("http://dx.doi.org/10.3103/S106837391008008X","http://dx.doi.org/10.3103/S106837391008008X")</f>
        <v>http://dx.doi.org/10.3103/S106837391008008X</v>
      </c>
      <c r="BG530" t="s">
        <v>74</v>
      </c>
      <c r="BH530" t="s">
        <v>74</v>
      </c>
      <c r="BI530">
        <v>7</v>
      </c>
      <c r="BJ530" t="s">
        <v>319</v>
      </c>
      <c r="BK530" t="s">
        <v>100</v>
      </c>
      <c r="BL530" t="s">
        <v>319</v>
      </c>
      <c r="BM530" t="s">
        <v>9779</v>
      </c>
      <c r="BN530" t="s">
        <v>74</v>
      </c>
      <c r="BO530" t="s">
        <v>74</v>
      </c>
      <c r="BP530" t="s">
        <v>74</v>
      </c>
      <c r="BQ530" t="s">
        <v>74</v>
      </c>
      <c r="BR530" t="s">
        <v>104</v>
      </c>
      <c r="BS530" t="s">
        <v>9792</v>
      </c>
      <c r="BT530" t="str">
        <f>HYPERLINK("https%3A%2F%2Fwww.webofscience.com%2Fwos%2Fwoscc%2Ffull-record%2FWOS:000283301300008","View Full Record in Web of Science")</f>
        <v>View Full Record in Web of Science</v>
      </c>
    </row>
    <row r="531" spans="1:72" x14ac:dyDescent="0.15">
      <c r="A531" t="s">
        <v>72</v>
      </c>
      <c r="B531" t="s">
        <v>9793</v>
      </c>
      <c r="C531" t="s">
        <v>74</v>
      </c>
      <c r="D531" t="s">
        <v>74</v>
      </c>
      <c r="E531" t="s">
        <v>74</v>
      </c>
      <c r="F531" t="s">
        <v>9794</v>
      </c>
      <c r="G531" t="s">
        <v>74</v>
      </c>
      <c r="H531" t="s">
        <v>74</v>
      </c>
      <c r="I531" t="s">
        <v>9795</v>
      </c>
      <c r="J531" t="s">
        <v>4405</v>
      </c>
      <c r="K531" t="s">
        <v>74</v>
      </c>
      <c r="L531" t="s">
        <v>74</v>
      </c>
      <c r="M531" t="s">
        <v>78</v>
      </c>
      <c r="N531" t="s">
        <v>79</v>
      </c>
      <c r="O531" t="s">
        <v>74</v>
      </c>
      <c r="P531" t="s">
        <v>74</v>
      </c>
      <c r="Q531" t="s">
        <v>74</v>
      </c>
      <c r="R531" t="s">
        <v>74</v>
      </c>
      <c r="S531" t="s">
        <v>74</v>
      </c>
      <c r="T531" t="s">
        <v>74</v>
      </c>
      <c r="U531" t="s">
        <v>9796</v>
      </c>
      <c r="V531" t="s">
        <v>9797</v>
      </c>
      <c r="W531" t="s">
        <v>9798</v>
      </c>
      <c r="X531" t="s">
        <v>9799</v>
      </c>
      <c r="Y531" t="s">
        <v>9800</v>
      </c>
      <c r="Z531" t="s">
        <v>9801</v>
      </c>
      <c r="AA531" t="s">
        <v>9802</v>
      </c>
      <c r="AB531" t="s">
        <v>9803</v>
      </c>
      <c r="AC531" t="s">
        <v>9804</v>
      </c>
      <c r="AD531" t="s">
        <v>9805</v>
      </c>
      <c r="AE531" t="s">
        <v>9806</v>
      </c>
      <c r="AF531" t="s">
        <v>74</v>
      </c>
      <c r="AG531">
        <v>51</v>
      </c>
      <c r="AH531">
        <v>33</v>
      </c>
      <c r="AI531">
        <v>36</v>
      </c>
      <c r="AJ531">
        <v>0</v>
      </c>
      <c r="AK531">
        <v>13</v>
      </c>
      <c r="AL531" t="s">
        <v>923</v>
      </c>
      <c r="AM531" t="s">
        <v>339</v>
      </c>
      <c r="AN531" t="s">
        <v>340</v>
      </c>
      <c r="AO531" t="s">
        <v>4417</v>
      </c>
      <c r="AP531" t="s">
        <v>4418</v>
      </c>
      <c r="AQ531" t="s">
        <v>74</v>
      </c>
      <c r="AR531" t="s">
        <v>4405</v>
      </c>
      <c r="AS531" t="s">
        <v>4419</v>
      </c>
      <c r="AT531" t="s">
        <v>7680</v>
      </c>
      <c r="AU531">
        <v>2010</v>
      </c>
      <c r="AV531">
        <v>22</v>
      </c>
      <c r="AW531">
        <v>4</v>
      </c>
      <c r="AX531" t="s">
        <v>74</v>
      </c>
      <c r="AY531" t="s">
        <v>74</v>
      </c>
      <c r="AZ531" t="s">
        <v>74</v>
      </c>
      <c r="BA531" t="s">
        <v>74</v>
      </c>
      <c r="BB531">
        <v>283</v>
      </c>
      <c r="BC531">
        <v>289</v>
      </c>
      <c r="BD531" t="s">
        <v>74</v>
      </c>
      <c r="BE531" t="s">
        <v>9807</v>
      </c>
      <c r="BF531" t="str">
        <f>HYPERLINK("http://dx.doi.org/10.1111/j.1365-3121.2010.00944.x","http://dx.doi.org/10.1111/j.1365-3121.2010.00944.x")</f>
        <v>http://dx.doi.org/10.1111/j.1365-3121.2010.00944.x</v>
      </c>
      <c r="BG531" t="s">
        <v>74</v>
      </c>
      <c r="BH531" t="s">
        <v>74</v>
      </c>
      <c r="BI531">
        <v>7</v>
      </c>
      <c r="BJ531" t="s">
        <v>1194</v>
      </c>
      <c r="BK531" t="s">
        <v>100</v>
      </c>
      <c r="BL531" t="s">
        <v>807</v>
      </c>
      <c r="BM531" t="s">
        <v>9808</v>
      </c>
      <c r="BN531" t="s">
        <v>74</v>
      </c>
      <c r="BO531" t="s">
        <v>74</v>
      </c>
      <c r="BP531" t="s">
        <v>74</v>
      </c>
      <c r="BQ531" t="s">
        <v>74</v>
      </c>
      <c r="BR531" t="s">
        <v>104</v>
      </c>
      <c r="BS531" t="s">
        <v>9809</v>
      </c>
      <c r="BT531" t="str">
        <f>HYPERLINK("https%3A%2F%2Fwww.webofscience.com%2Fwos%2Fwoscc%2Ffull-record%2FWOS:000279750700006","View Full Record in Web of Science")</f>
        <v>View Full Record in Web of Science</v>
      </c>
    </row>
    <row r="532" spans="1:72" x14ac:dyDescent="0.15">
      <c r="A532" t="s">
        <v>72</v>
      </c>
      <c r="B532" t="s">
        <v>9810</v>
      </c>
      <c r="C532" t="s">
        <v>74</v>
      </c>
      <c r="D532" t="s">
        <v>74</v>
      </c>
      <c r="E532" t="s">
        <v>74</v>
      </c>
      <c r="F532" t="s">
        <v>9811</v>
      </c>
      <c r="G532" t="s">
        <v>74</v>
      </c>
      <c r="H532" t="s">
        <v>74</v>
      </c>
      <c r="I532" t="s">
        <v>9812</v>
      </c>
      <c r="J532" t="s">
        <v>9813</v>
      </c>
      <c r="K532" t="s">
        <v>74</v>
      </c>
      <c r="L532" t="s">
        <v>74</v>
      </c>
      <c r="M532" t="s">
        <v>78</v>
      </c>
      <c r="N532" t="s">
        <v>326</v>
      </c>
      <c r="O532" t="s">
        <v>74</v>
      </c>
      <c r="P532" t="s">
        <v>74</v>
      </c>
      <c r="Q532" t="s">
        <v>74</v>
      </c>
      <c r="R532" t="s">
        <v>74</v>
      </c>
      <c r="S532" t="s">
        <v>74</v>
      </c>
      <c r="T532" t="s">
        <v>74</v>
      </c>
      <c r="U532" t="s">
        <v>9814</v>
      </c>
      <c r="V532" t="s">
        <v>9815</v>
      </c>
      <c r="W532" t="s">
        <v>9816</v>
      </c>
      <c r="X532" t="s">
        <v>9817</v>
      </c>
      <c r="Y532" t="s">
        <v>9818</v>
      </c>
      <c r="Z532" t="s">
        <v>9819</v>
      </c>
      <c r="AA532" t="s">
        <v>9820</v>
      </c>
      <c r="AB532" t="s">
        <v>9821</v>
      </c>
      <c r="AC532" t="s">
        <v>74</v>
      </c>
      <c r="AD532" t="s">
        <v>74</v>
      </c>
      <c r="AE532" t="s">
        <v>74</v>
      </c>
      <c r="AF532" t="s">
        <v>74</v>
      </c>
      <c r="AG532">
        <v>86</v>
      </c>
      <c r="AH532">
        <v>156</v>
      </c>
      <c r="AI532">
        <v>178</v>
      </c>
      <c r="AJ532">
        <v>4</v>
      </c>
      <c r="AK532">
        <v>138</v>
      </c>
      <c r="AL532" t="s">
        <v>2438</v>
      </c>
      <c r="AM532" t="s">
        <v>265</v>
      </c>
      <c r="AN532" t="s">
        <v>2439</v>
      </c>
      <c r="AO532" t="s">
        <v>9822</v>
      </c>
      <c r="AP532" t="s">
        <v>9823</v>
      </c>
      <c r="AQ532" t="s">
        <v>74</v>
      </c>
      <c r="AR532" t="s">
        <v>9824</v>
      </c>
      <c r="AS532" t="s">
        <v>9825</v>
      </c>
      <c r="AT532" t="s">
        <v>7680</v>
      </c>
      <c r="AU532">
        <v>2010</v>
      </c>
      <c r="AV532">
        <v>18</v>
      </c>
      <c r="AW532">
        <v>8</v>
      </c>
      <c r="AX532" t="s">
        <v>74</v>
      </c>
      <c r="AY532" t="s">
        <v>74</v>
      </c>
      <c r="AZ532" t="s">
        <v>74</v>
      </c>
      <c r="BA532" t="s">
        <v>74</v>
      </c>
      <c r="BB532">
        <v>374</v>
      </c>
      <c r="BC532">
        <v>381</v>
      </c>
      <c r="BD532" t="s">
        <v>74</v>
      </c>
      <c r="BE532" t="s">
        <v>9826</v>
      </c>
      <c r="BF532" t="str">
        <f>HYPERLINK("http://dx.doi.org/10.1016/j.tim.2010.05.002","http://dx.doi.org/10.1016/j.tim.2010.05.002")</f>
        <v>http://dx.doi.org/10.1016/j.tim.2010.05.002</v>
      </c>
      <c r="BG532" t="s">
        <v>74</v>
      </c>
      <c r="BH532" t="s">
        <v>74</v>
      </c>
      <c r="BI532">
        <v>8</v>
      </c>
      <c r="BJ532" t="s">
        <v>5963</v>
      </c>
      <c r="BK532" t="s">
        <v>100</v>
      </c>
      <c r="BL532" t="s">
        <v>5963</v>
      </c>
      <c r="BM532" t="s">
        <v>9827</v>
      </c>
      <c r="BN532">
        <v>20646925</v>
      </c>
      <c r="BO532" t="s">
        <v>74</v>
      </c>
      <c r="BP532" t="s">
        <v>74</v>
      </c>
      <c r="BQ532" t="s">
        <v>74</v>
      </c>
      <c r="BR532" t="s">
        <v>104</v>
      </c>
      <c r="BS532" t="s">
        <v>9828</v>
      </c>
      <c r="BT532" t="str">
        <f>HYPERLINK("https%3A%2F%2Fwww.webofscience.com%2Fwos%2Fwoscc%2Ffull-record%2FWOS:000281097800006","View Full Record in Web of Science")</f>
        <v>View Full Record in Web of Science</v>
      </c>
    </row>
    <row r="533" spans="1:72" x14ac:dyDescent="0.15">
      <c r="A533" t="s">
        <v>72</v>
      </c>
      <c r="B533" t="s">
        <v>9829</v>
      </c>
      <c r="C533" t="s">
        <v>74</v>
      </c>
      <c r="D533" t="s">
        <v>74</v>
      </c>
      <c r="E533" t="s">
        <v>74</v>
      </c>
      <c r="F533" t="s">
        <v>9830</v>
      </c>
      <c r="G533" t="s">
        <v>74</v>
      </c>
      <c r="H533" t="s">
        <v>74</v>
      </c>
      <c r="I533" t="s">
        <v>9831</v>
      </c>
      <c r="J533" t="s">
        <v>9832</v>
      </c>
      <c r="K533" t="s">
        <v>74</v>
      </c>
      <c r="L533" t="s">
        <v>74</v>
      </c>
      <c r="M533" t="s">
        <v>78</v>
      </c>
      <c r="N533" t="s">
        <v>79</v>
      </c>
      <c r="O533" t="s">
        <v>74</v>
      </c>
      <c r="P533" t="s">
        <v>74</v>
      </c>
      <c r="Q533" t="s">
        <v>74</v>
      </c>
      <c r="R533" t="s">
        <v>74</v>
      </c>
      <c r="S533" t="s">
        <v>74</v>
      </c>
      <c r="T533" t="s">
        <v>74</v>
      </c>
      <c r="U533" t="s">
        <v>9833</v>
      </c>
      <c r="V533" t="s">
        <v>9834</v>
      </c>
      <c r="W533" t="s">
        <v>9835</v>
      </c>
      <c r="X533" t="s">
        <v>9836</v>
      </c>
      <c r="Y533" t="s">
        <v>9837</v>
      </c>
      <c r="Z533" t="s">
        <v>9838</v>
      </c>
      <c r="AA533" t="s">
        <v>74</v>
      </c>
      <c r="AB533" t="s">
        <v>9839</v>
      </c>
      <c r="AC533" t="s">
        <v>9840</v>
      </c>
      <c r="AD533" t="s">
        <v>9841</v>
      </c>
      <c r="AE533" t="s">
        <v>9842</v>
      </c>
      <c r="AF533" t="s">
        <v>74</v>
      </c>
      <c r="AG533">
        <v>51</v>
      </c>
      <c r="AH533">
        <v>37</v>
      </c>
      <c r="AI533">
        <v>50</v>
      </c>
      <c r="AJ533">
        <v>1</v>
      </c>
      <c r="AK533">
        <v>27</v>
      </c>
      <c r="AL533" t="s">
        <v>3432</v>
      </c>
      <c r="AM533" t="s">
        <v>3433</v>
      </c>
      <c r="AN533" t="s">
        <v>3434</v>
      </c>
      <c r="AO533" t="s">
        <v>9843</v>
      </c>
      <c r="AP533" t="s">
        <v>9844</v>
      </c>
      <c r="AQ533" t="s">
        <v>74</v>
      </c>
      <c r="AR533" t="s">
        <v>9845</v>
      </c>
      <c r="AS533" t="s">
        <v>9846</v>
      </c>
      <c r="AT533" t="s">
        <v>7680</v>
      </c>
      <c r="AU533">
        <v>2010</v>
      </c>
      <c r="AV533">
        <v>25</v>
      </c>
      <c r="AW533">
        <v>4</v>
      </c>
      <c r="AX533" t="s">
        <v>74</v>
      </c>
      <c r="AY533" t="s">
        <v>74</v>
      </c>
      <c r="AZ533" t="s">
        <v>74</v>
      </c>
      <c r="BA533" t="s">
        <v>74</v>
      </c>
      <c r="BB533">
        <v>1263</v>
      </c>
      <c r="BC533">
        <v>1274</v>
      </c>
      <c r="BD533" t="s">
        <v>74</v>
      </c>
      <c r="BE533" t="s">
        <v>9847</v>
      </c>
      <c r="BF533" t="str">
        <f>HYPERLINK("http://dx.doi.org/10.1175/2010WAF2222342.1","http://dx.doi.org/10.1175/2010WAF2222342.1")</f>
        <v>http://dx.doi.org/10.1175/2010WAF2222342.1</v>
      </c>
      <c r="BG533" t="s">
        <v>74</v>
      </c>
      <c r="BH533" t="s">
        <v>74</v>
      </c>
      <c r="BI533">
        <v>12</v>
      </c>
      <c r="BJ533" t="s">
        <v>319</v>
      </c>
      <c r="BK533" t="s">
        <v>100</v>
      </c>
      <c r="BL533" t="s">
        <v>319</v>
      </c>
      <c r="BM533" t="s">
        <v>9848</v>
      </c>
      <c r="BN533" t="s">
        <v>74</v>
      </c>
      <c r="BO533" t="s">
        <v>1000</v>
      </c>
      <c r="BP533" t="s">
        <v>74</v>
      </c>
      <c r="BQ533" t="s">
        <v>74</v>
      </c>
      <c r="BR533" t="s">
        <v>104</v>
      </c>
      <c r="BS533" t="s">
        <v>9849</v>
      </c>
      <c r="BT533" t="str">
        <f>HYPERLINK("https%3A%2F%2Fwww.webofscience.com%2Fwos%2Fwoscc%2Ffull-record%2FWOS:000280731800015","View Full Record in Web of Science")</f>
        <v>View Full Record in Web of Science</v>
      </c>
    </row>
    <row r="534" spans="1:72" x14ac:dyDescent="0.15">
      <c r="A534" t="s">
        <v>72</v>
      </c>
      <c r="B534" t="s">
        <v>9850</v>
      </c>
      <c r="C534" t="s">
        <v>74</v>
      </c>
      <c r="D534" t="s">
        <v>74</v>
      </c>
      <c r="E534" t="s">
        <v>74</v>
      </c>
      <c r="F534" t="s">
        <v>9851</v>
      </c>
      <c r="G534" t="s">
        <v>74</v>
      </c>
      <c r="H534" t="s">
        <v>74</v>
      </c>
      <c r="I534" t="s">
        <v>9852</v>
      </c>
      <c r="J534" t="s">
        <v>4495</v>
      </c>
      <c r="K534" t="s">
        <v>74</v>
      </c>
      <c r="L534" t="s">
        <v>74</v>
      </c>
      <c r="M534" t="s">
        <v>78</v>
      </c>
      <c r="N534" t="s">
        <v>79</v>
      </c>
      <c r="O534" t="s">
        <v>74</v>
      </c>
      <c r="P534" t="s">
        <v>74</v>
      </c>
      <c r="Q534" t="s">
        <v>74</v>
      </c>
      <c r="R534" t="s">
        <v>74</v>
      </c>
      <c r="S534" t="s">
        <v>74</v>
      </c>
      <c r="T534" t="s">
        <v>9853</v>
      </c>
      <c r="U534" t="s">
        <v>9854</v>
      </c>
      <c r="V534" t="s">
        <v>9855</v>
      </c>
      <c r="W534" t="s">
        <v>9856</v>
      </c>
      <c r="X534" t="s">
        <v>9857</v>
      </c>
      <c r="Y534" t="s">
        <v>9858</v>
      </c>
      <c r="Z534" t="s">
        <v>9859</v>
      </c>
      <c r="AA534" t="s">
        <v>74</v>
      </c>
      <c r="AB534" t="s">
        <v>9860</v>
      </c>
      <c r="AC534" t="s">
        <v>9861</v>
      </c>
      <c r="AD534" t="s">
        <v>9862</v>
      </c>
      <c r="AE534" t="s">
        <v>9863</v>
      </c>
      <c r="AF534" t="s">
        <v>74</v>
      </c>
      <c r="AG534">
        <v>74</v>
      </c>
      <c r="AH534">
        <v>12</v>
      </c>
      <c r="AI534">
        <v>13</v>
      </c>
      <c r="AJ534">
        <v>1</v>
      </c>
      <c r="AK534">
        <v>40</v>
      </c>
      <c r="AL534" t="s">
        <v>549</v>
      </c>
      <c r="AM534" t="s">
        <v>550</v>
      </c>
      <c r="AN534" t="s">
        <v>551</v>
      </c>
      <c r="AO534" t="s">
        <v>4508</v>
      </c>
      <c r="AP534" t="s">
        <v>4509</v>
      </c>
      <c r="AQ534" t="s">
        <v>74</v>
      </c>
      <c r="AR534" t="s">
        <v>4510</v>
      </c>
      <c r="AS534" t="s">
        <v>4511</v>
      </c>
      <c r="AT534" t="s">
        <v>9864</v>
      </c>
      <c r="AU534">
        <v>2010</v>
      </c>
      <c r="AV534">
        <v>390</v>
      </c>
      <c r="AW534">
        <v>2</v>
      </c>
      <c r="AX534" t="s">
        <v>74</v>
      </c>
      <c r="AY534" t="s">
        <v>74</v>
      </c>
      <c r="AZ534" t="s">
        <v>74</v>
      </c>
      <c r="BA534" t="s">
        <v>74</v>
      </c>
      <c r="BB534">
        <v>125</v>
      </c>
      <c r="BC534">
        <v>133</v>
      </c>
      <c r="BD534" t="s">
        <v>74</v>
      </c>
      <c r="BE534" t="s">
        <v>9865</v>
      </c>
      <c r="BF534" t="str">
        <f>HYPERLINK("http://dx.doi.org/10.1016/j.jembe.2010.05.006","http://dx.doi.org/10.1016/j.jembe.2010.05.006")</f>
        <v>http://dx.doi.org/10.1016/j.jembe.2010.05.006</v>
      </c>
      <c r="BG534" t="s">
        <v>74</v>
      </c>
      <c r="BH534" t="s">
        <v>74</v>
      </c>
      <c r="BI534">
        <v>9</v>
      </c>
      <c r="BJ534" t="s">
        <v>4515</v>
      </c>
      <c r="BK534" t="s">
        <v>100</v>
      </c>
      <c r="BL534" t="s">
        <v>4516</v>
      </c>
      <c r="BM534" t="s">
        <v>9866</v>
      </c>
      <c r="BN534" t="s">
        <v>74</v>
      </c>
      <c r="BO534" t="s">
        <v>74</v>
      </c>
      <c r="BP534" t="s">
        <v>74</v>
      </c>
      <c r="BQ534" t="s">
        <v>74</v>
      </c>
      <c r="BR534" t="s">
        <v>104</v>
      </c>
      <c r="BS534" t="s">
        <v>9867</v>
      </c>
      <c r="BT534" t="str">
        <f>HYPERLINK("https%3A%2F%2Fwww.webofscience.com%2Fwos%2Fwoscc%2Ffull-record%2FWOS:000280313600007","View Full Record in Web of Science")</f>
        <v>View Full Record in Web of Science</v>
      </c>
    </row>
    <row r="535" spans="1:72" x14ac:dyDescent="0.15">
      <c r="A535" t="s">
        <v>72</v>
      </c>
      <c r="B535" t="s">
        <v>9868</v>
      </c>
      <c r="C535" t="s">
        <v>74</v>
      </c>
      <c r="D535" t="s">
        <v>74</v>
      </c>
      <c r="E535" t="s">
        <v>74</v>
      </c>
      <c r="F535" t="s">
        <v>9869</v>
      </c>
      <c r="G535" t="s">
        <v>74</v>
      </c>
      <c r="H535" t="s">
        <v>74</v>
      </c>
      <c r="I535" t="s">
        <v>9870</v>
      </c>
      <c r="J535" t="s">
        <v>1702</v>
      </c>
      <c r="K535" t="s">
        <v>74</v>
      </c>
      <c r="L535" t="s">
        <v>74</v>
      </c>
      <c r="M535" t="s">
        <v>78</v>
      </c>
      <c r="N535" t="s">
        <v>79</v>
      </c>
      <c r="O535" t="s">
        <v>74</v>
      </c>
      <c r="P535" t="s">
        <v>74</v>
      </c>
      <c r="Q535" t="s">
        <v>74</v>
      </c>
      <c r="R535" t="s">
        <v>74</v>
      </c>
      <c r="S535" t="s">
        <v>74</v>
      </c>
      <c r="T535" t="s">
        <v>74</v>
      </c>
      <c r="U535" t="s">
        <v>9871</v>
      </c>
      <c r="V535" t="s">
        <v>9872</v>
      </c>
      <c r="W535" t="s">
        <v>9873</v>
      </c>
      <c r="X535" t="s">
        <v>9874</v>
      </c>
      <c r="Y535" t="s">
        <v>9875</v>
      </c>
      <c r="Z535" t="s">
        <v>9876</v>
      </c>
      <c r="AA535" t="s">
        <v>74</v>
      </c>
      <c r="AB535" t="s">
        <v>9877</v>
      </c>
      <c r="AC535" t="s">
        <v>9878</v>
      </c>
      <c r="AD535" t="s">
        <v>9879</v>
      </c>
      <c r="AE535" t="s">
        <v>9880</v>
      </c>
      <c r="AF535" t="s">
        <v>74</v>
      </c>
      <c r="AG535">
        <v>42</v>
      </c>
      <c r="AH535">
        <v>13</v>
      </c>
      <c r="AI535">
        <v>15</v>
      </c>
      <c r="AJ535">
        <v>0</v>
      </c>
      <c r="AK535">
        <v>10</v>
      </c>
      <c r="AL535" t="s">
        <v>1521</v>
      </c>
      <c r="AM535" t="s">
        <v>1522</v>
      </c>
      <c r="AN535" t="s">
        <v>1523</v>
      </c>
      <c r="AO535" t="s">
        <v>1714</v>
      </c>
      <c r="AP535" t="s">
        <v>1715</v>
      </c>
      <c r="AQ535" t="s">
        <v>74</v>
      </c>
      <c r="AR535" t="s">
        <v>1716</v>
      </c>
      <c r="AS535" t="s">
        <v>1717</v>
      </c>
      <c r="AT535" t="s">
        <v>9864</v>
      </c>
      <c r="AU535">
        <v>2010</v>
      </c>
      <c r="AV535">
        <v>115</v>
      </c>
      <c r="AW535" t="s">
        <v>74</v>
      </c>
      <c r="AX535" t="s">
        <v>74</v>
      </c>
      <c r="AY535" t="s">
        <v>74</v>
      </c>
      <c r="AZ535" t="s">
        <v>74</v>
      </c>
      <c r="BA535" t="s">
        <v>74</v>
      </c>
      <c r="BB535" t="s">
        <v>74</v>
      </c>
      <c r="BC535" t="s">
        <v>74</v>
      </c>
      <c r="BD535" t="s">
        <v>9881</v>
      </c>
      <c r="BE535" t="s">
        <v>9882</v>
      </c>
      <c r="BF535" t="str">
        <f>HYPERLINK("http://dx.doi.org/10.1029/2009JD013741","http://dx.doi.org/10.1029/2009JD013741")</f>
        <v>http://dx.doi.org/10.1029/2009JD013741</v>
      </c>
      <c r="BG535" t="s">
        <v>74</v>
      </c>
      <c r="BH535" t="s">
        <v>74</v>
      </c>
      <c r="BI535">
        <v>10</v>
      </c>
      <c r="BJ535" t="s">
        <v>319</v>
      </c>
      <c r="BK535" t="s">
        <v>100</v>
      </c>
      <c r="BL535" t="s">
        <v>319</v>
      </c>
      <c r="BM535" t="s">
        <v>9883</v>
      </c>
      <c r="BN535" t="s">
        <v>74</v>
      </c>
      <c r="BO535" t="s">
        <v>394</v>
      </c>
      <c r="BP535" t="s">
        <v>74</v>
      </c>
      <c r="BQ535" t="s">
        <v>74</v>
      </c>
      <c r="BR535" t="s">
        <v>104</v>
      </c>
      <c r="BS535" t="s">
        <v>9884</v>
      </c>
      <c r="BT535" t="str">
        <f>HYPERLINK("https%3A%2F%2Fwww.webofscience.com%2Fwos%2Fwoscc%2Ffull-record%2FWOS:000280587400005","View Full Record in Web of Science")</f>
        <v>View Full Record in Web of Science</v>
      </c>
    </row>
    <row r="536" spans="1:72" x14ac:dyDescent="0.15">
      <c r="A536" t="s">
        <v>72</v>
      </c>
      <c r="B536" t="s">
        <v>9885</v>
      </c>
      <c r="C536" t="s">
        <v>74</v>
      </c>
      <c r="D536" t="s">
        <v>74</v>
      </c>
      <c r="E536" t="s">
        <v>74</v>
      </c>
      <c r="F536" t="s">
        <v>9886</v>
      </c>
      <c r="G536" t="s">
        <v>74</v>
      </c>
      <c r="H536" t="s">
        <v>74</v>
      </c>
      <c r="I536" t="s">
        <v>9887</v>
      </c>
      <c r="J536" t="s">
        <v>4657</v>
      </c>
      <c r="K536" t="s">
        <v>74</v>
      </c>
      <c r="L536" t="s">
        <v>74</v>
      </c>
      <c r="M536" t="s">
        <v>78</v>
      </c>
      <c r="N536" t="s">
        <v>79</v>
      </c>
      <c r="O536" t="s">
        <v>74</v>
      </c>
      <c r="P536" t="s">
        <v>74</v>
      </c>
      <c r="Q536" t="s">
        <v>74</v>
      </c>
      <c r="R536" t="s">
        <v>74</v>
      </c>
      <c r="S536" t="s">
        <v>74</v>
      </c>
      <c r="T536" t="s">
        <v>74</v>
      </c>
      <c r="U536" t="s">
        <v>9888</v>
      </c>
      <c r="V536" t="s">
        <v>9889</v>
      </c>
      <c r="W536" t="s">
        <v>9890</v>
      </c>
      <c r="X536" t="s">
        <v>9891</v>
      </c>
      <c r="Y536" t="s">
        <v>9892</v>
      </c>
      <c r="Z536" t="s">
        <v>9893</v>
      </c>
      <c r="AA536" t="s">
        <v>9894</v>
      </c>
      <c r="AB536" t="s">
        <v>9895</v>
      </c>
      <c r="AC536" t="s">
        <v>9896</v>
      </c>
      <c r="AD536" t="s">
        <v>9897</v>
      </c>
      <c r="AE536" t="s">
        <v>9898</v>
      </c>
      <c r="AF536" t="s">
        <v>74</v>
      </c>
      <c r="AG536">
        <v>57</v>
      </c>
      <c r="AH536">
        <v>54</v>
      </c>
      <c r="AI536">
        <v>61</v>
      </c>
      <c r="AJ536">
        <v>3</v>
      </c>
      <c r="AK536">
        <v>47</v>
      </c>
      <c r="AL536" t="s">
        <v>4669</v>
      </c>
      <c r="AM536" t="s">
        <v>4670</v>
      </c>
      <c r="AN536" t="s">
        <v>4671</v>
      </c>
      <c r="AO536" t="s">
        <v>4672</v>
      </c>
      <c r="AP536" t="s">
        <v>74</v>
      </c>
      <c r="AQ536" t="s">
        <v>74</v>
      </c>
      <c r="AR536" t="s">
        <v>4657</v>
      </c>
      <c r="AS536" t="s">
        <v>4673</v>
      </c>
      <c r="AT536" t="s">
        <v>9899</v>
      </c>
      <c r="AU536">
        <v>2010</v>
      </c>
      <c r="AV536">
        <v>5</v>
      </c>
      <c r="AW536">
        <v>7</v>
      </c>
      <c r="AX536" t="s">
        <v>74</v>
      </c>
      <c r="AY536" t="s">
        <v>74</v>
      </c>
      <c r="AZ536" t="s">
        <v>74</v>
      </c>
      <c r="BA536" t="s">
        <v>74</v>
      </c>
      <c r="BB536" t="s">
        <v>74</v>
      </c>
      <c r="BC536" t="s">
        <v>74</v>
      </c>
      <c r="BD536" t="s">
        <v>9900</v>
      </c>
      <c r="BE536" t="s">
        <v>9901</v>
      </c>
      <c r="BF536" t="str">
        <f>HYPERLINK("http://dx.doi.org/10.1371/journal.pone.0011899","http://dx.doi.org/10.1371/journal.pone.0011899")</f>
        <v>http://dx.doi.org/10.1371/journal.pone.0011899</v>
      </c>
      <c r="BG536" t="s">
        <v>74</v>
      </c>
      <c r="BH536" t="s">
        <v>74</v>
      </c>
      <c r="BI536">
        <v>8</v>
      </c>
      <c r="BJ536" t="s">
        <v>444</v>
      </c>
      <c r="BK536" t="s">
        <v>100</v>
      </c>
      <c r="BL536" t="s">
        <v>445</v>
      </c>
      <c r="BM536" t="s">
        <v>9902</v>
      </c>
      <c r="BN536">
        <v>20689578</v>
      </c>
      <c r="BO536" t="s">
        <v>2721</v>
      </c>
      <c r="BP536" t="s">
        <v>74</v>
      </c>
      <c r="BQ536" t="s">
        <v>74</v>
      </c>
      <c r="BR536" t="s">
        <v>104</v>
      </c>
      <c r="BS536" t="s">
        <v>9903</v>
      </c>
      <c r="BT536" t="str">
        <f>HYPERLINK("https%3A%2F%2Fwww.webofscience.com%2Fwos%2Fwoscc%2Ffull-record%2FWOS:000280520300014","View Full Record in Web of Science")</f>
        <v>View Full Record in Web of Science</v>
      </c>
    </row>
    <row r="537" spans="1:72" x14ac:dyDescent="0.15">
      <c r="A537" t="s">
        <v>72</v>
      </c>
      <c r="B537" t="s">
        <v>9904</v>
      </c>
      <c r="C537" t="s">
        <v>74</v>
      </c>
      <c r="D537" t="s">
        <v>74</v>
      </c>
      <c r="E537" t="s">
        <v>74</v>
      </c>
      <c r="F537" t="s">
        <v>9905</v>
      </c>
      <c r="G537" t="s">
        <v>74</v>
      </c>
      <c r="H537" t="s">
        <v>74</v>
      </c>
      <c r="I537" t="s">
        <v>9906</v>
      </c>
      <c r="J537" t="s">
        <v>4716</v>
      </c>
      <c r="K537" t="s">
        <v>74</v>
      </c>
      <c r="L537" t="s">
        <v>74</v>
      </c>
      <c r="M537" t="s">
        <v>78</v>
      </c>
      <c r="N537" t="s">
        <v>79</v>
      </c>
      <c r="O537" t="s">
        <v>74</v>
      </c>
      <c r="P537" t="s">
        <v>74</v>
      </c>
      <c r="Q537" t="s">
        <v>74</v>
      </c>
      <c r="R537" t="s">
        <v>74</v>
      </c>
      <c r="S537" t="s">
        <v>74</v>
      </c>
      <c r="T537" t="s">
        <v>74</v>
      </c>
      <c r="U537" t="s">
        <v>9907</v>
      </c>
      <c r="V537" t="s">
        <v>9908</v>
      </c>
      <c r="W537" t="s">
        <v>9909</v>
      </c>
      <c r="X537" t="s">
        <v>9910</v>
      </c>
      <c r="Y537" t="s">
        <v>9911</v>
      </c>
      <c r="Z537" t="s">
        <v>9912</v>
      </c>
      <c r="AA537" t="s">
        <v>9913</v>
      </c>
      <c r="AB537" t="s">
        <v>9914</v>
      </c>
      <c r="AC537" t="s">
        <v>9915</v>
      </c>
      <c r="AD537" t="s">
        <v>9916</v>
      </c>
      <c r="AE537" t="s">
        <v>9917</v>
      </c>
      <c r="AF537" t="s">
        <v>74</v>
      </c>
      <c r="AG537">
        <v>25</v>
      </c>
      <c r="AH537">
        <v>189</v>
      </c>
      <c r="AI537">
        <v>237</v>
      </c>
      <c r="AJ537">
        <v>7</v>
      </c>
      <c r="AK537">
        <v>145</v>
      </c>
      <c r="AL537" t="s">
        <v>4717</v>
      </c>
      <c r="AM537" t="s">
        <v>1522</v>
      </c>
      <c r="AN537" t="s">
        <v>4718</v>
      </c>
      <c r="AO537" t="s">
        <v>4719</v>
      </c>
      <c r="AP537" t="s">
        <v>5162</v>
      </c>
      <c r="AQ537" t="s">
        <v>74</v>
      </c>
      <c r="AR537" t="s">
        <v>4716</v>
      </c>
      <c r="AS537" t="s">
        <v>4720</v>
      </c>
      <c r="AT537" t="s">
        <v>9899</v>
      </c>
      <c r="AU537">
        <v>2010</v>
      </c>
      <c r="AV537">
        <v>329</v>
      </c>
      <c r="AW537">
        <v>5991</v>
      </c>
      <c r="AX537" t="s">
        <v>74</v>
      </c>
      <c r="AY537" t="s">
        <v>74</v>
      </c>
      <c r="AZ537" t="s">
        <v>74</v>
      </c>
      <c r="BA537" t="s">
        <v>74</v>
      </c>
      <c r="BB537">
        <v>556</v>
      </c>
      <c r="BC537">
        <v>559</v>
      </c>
      <c r="BD537" t="s">
        <v>74</v>
      </c>
      <c r="BE537" t="s">
        <v>9918</v>
      </c>
      <c r="BF537" t="str">
        <f>HYPERLINK("http://dx.doi.org/10.1126/science.1189338","http://dx.doi.org/10.1126/science.1189338")</f>
        <v>http://dx.doi.org/10.1126/science.1189338</v>
      </c>
      <c r="BG537" t="s">
        <v>74</v>
      </c>
      <c r="BH537" t="s">
        <v>74</v>
      </c>
      <c r="BI537">
        <v>4</v>
      </c>
      <c r="BJ537" t="s">
        <v>444</v>
      </c>
      <c r="BK537" t="s">
        <v>100</v>
      </c>
      <c r="BL537" t="s">
        <v>445</v>
      </c>
      <c r="BM537" t="s">
        <v>9919</v>
      </c>
      <c r="BN537">
        <v>20651119</v>
      </c>
      <c r="BO537" t="s">
        <v>394</v>
      </c>
      <c r="BP537" t="s">
        <v>74</v>
      </c>
      <c r="BQ537" t="s">
        <v>74</v>
      </c>
      <c r="BR537" t="s">
        <v>104</v>
      </c>
      <c r="BS537" t="s">
        <v>9920</v>
      </c>
      <c r="BT537" t="str">
        <f>HYPERLINK("https%3A%2F%2Fwww.webofscience.com%2Fwos%2Fwoscc%2Ffull-record%2FWOS:000280483500034","View Full Record in Web of Science")</f>
        <v>View Full Record in Web of Science</v>
      </c>
    </row>
    <row r="538" spans="1:72" x14ac:dyDescent="0.15">
      <c r="A538" t="s">
        <v>72</v>
      </c>
      <c r="B538" t="s">
        <v>9921</v>
      </c>
      <c r="C538" t="s">
        <v>74</v>
      </c>
      <c r="D538" t="s">
        <v>74</v>
      </c>
      <c r="E538" t="s">
        <v>74</v>
      </c>
      <c r="F538" t="s">
        <v>9922</v>
      </c>
      <c r="G538" t="s">
        <v>74</v>
      </c>
      <c r="H538" t="s">
        <v>74</v>
      </c>
      <c r="I538" t="s">
        <v>9923</v>
      </c>
      <c r="J538" t="s">
        <v>1562</v>
      </c>
      <c r="K538" t="s">
        <v>74</v>
      </c>
      <c r="L538" t="s">
        <v>74</v>
      </c>
      <c r="M538" t="s">
        <v>78</v>
      </c>
      <c r="N538" t="s">
        <v>79</v>
      </c>
      <c r="O538" t="s">
        <v>74</v>
      </c>
      <c r="P538" t="s">
        <v>74</v>
      </c>
      <c r="Q538" t="s">
        <v>74</v>
      </c>
      <c r="R538" t="s">
        <v>74</v>
      </c>
      <c r="S538" t="s">
        <v>74</v>
      </c>
      <c r="T538" t="s">
        <v>74</v>
      </c>
      <c r="U538" t="s">
        <v>9924</v>
      </c>
      <c r="V538" t="s">
        <v>9925</v>
      </c>
      <c r="W538" t="s">
        <v>9926</v>
      </c>
      <c r="X538" t="s">
        <v>690</v>
      </c>
      <c r="Y538" t="s">
        <v>9927</v>
      </c>
      <c r="Z538" t="s">
        <v>9928</v>
      </c>
      <c r="AA538" t="s">
        <v>9929</v>
      </c>
      <c r="AB538" t="s">
        <v>9930</v>
      </c>
      <c r="AC538" t="s">
        <v>9931</v>
      </c>
      <c r="AD538" t="s">
        <v>9932</v>
      </c>
      <c r="AE538" t="s">
        <v>9933</v>
      </c>
      <c r="AF538" t="s">
        <v>74</v>
      </c>
      <c r="AG538">
        <v>38</v>
      </c>
      <c r="AH538">
        <v>123</v>
      </c>
      <c r="AI538">
        <v>137</v>
      </c>
      <c r="AJ538">
        <v>0</v>
      </c>
      <c r="AK538">
        <v>40</v>
      </c>
      <c r="AL538" t="s">
        <v>1521</v>
      </c>
      <c r="AM538" t="s">
        <v>1522</v>
      </c>
      <c r="AN538" t="s">
        <v>1523</v>
      </c>
      <c r="AO538" t="s">
        <v>1574</v>
      </c>
      <c r="AP538" t="s">
        <v>1575</v>
      </c>
      <c r="AQ538" t="s">
        <v>74</v>
      </c>
      <c r="AR538" t="s">
        <v>1576</v>
      </c>
      <c r="AS538" t="s">
        <v>1577</v>
      </c>
      <c r="AT538" t="s">
        <v>9934</v>
      </c>
      <c r="AU538">
        <v>2010</v>
      </c>
      <c r="AV538">
        <v>115</v>
      </c>
      <c r="AW538" t="s">
        <v>74</v>
      </c>
      <c r="AX538" t="s">
        <v>74</v>
      </c>
      <c r="AY538" t="s">
        <v>74</v>
      </c>
      <c r="AZ538" t="s">
        <v>74</v>
      </c>
      <c r="BA538" t="s">
        <v>74</v>
      </c>
      <c r="BB538" t="s">
        <v>74</v>
      </c>
      <c r="BC538" t="s">
        <v>74</v>
      </c>
      <c r="BD538" t="s">
        <v>9935</v>
      </c>
      <c r="BE538" t="s">
        <v>9936</v>
      </c>
      <c r="BF538" t="str">
        <f>HYPERLINK("http://dx.doi.org/10.1029/2009JF001306","http://dx.doi.org/10.1029/2009JF001306")</f>
        <v>http://dx.doi.org/10.1029/2009JF001306</v>
      </c>
      <c r="BG538" t="s">
        <v>74</v>
      </c>
      <c r="BH538" t="s">
        <v>74</v>
      </c>
      <c r="BI538">
        <v>12</v>
      </c>
      <c r="BJ538" t="s">
        <v>1194</v>
      </c>
      <c r="BK538" t="s">
        <v>100</v>
      </c>
      <c r="BL538" t="s">
        <v>807</v>
      </c>
      <c r="BM538" t="s">
        <v>9937</v>
      </c>
      <c r="BN538" t="s">
        <v>74</v>
      </c>
      <c r="BO538" t="s">
        <v>1697</v>
      </c>
      <c r="BP538" t="s">
        <v>74</v>
      </c>
      <c r="BQ538" t="s">
        <v>74</v>
      </c>
      <c r="BR538" t="s">
        <v>104</v>
      </c>
      <c r="BS538" t="s">
        <v>9938</v>
      </c>
      <c r="BT538" t="str">
        <f>HYPERLINK("https%3A%2F%2Fwww.webofscience.com%2Fwos%2Fwoscc%2Ffull-record%2FWOS:000280588800001","View Full Record in Web of Science")</f>
        <v>View Full Record in Web of Science</v>
      </c>
    </row>
    <row r="539" spans="1:72" x14ac:dyDescent="0.15">
      <c r="A539" t="s">
        <v>72</v>
      </c>
      <c r="B539" t="s">
        <v>9939</v>
      </c>
      <c r="C539" t="s">
        <v>74</v>
      </c>
      <c r="D539" t="s">
        <v>74</v>
      </c>
      <c r="E539" t="s">
        <v>74</v>
      </c>
      <c r="F539" t="s">
        <v>9940</v>
      </c>
      <c r="G539" t="s">
        <v>74</v>
      </c>
      <c r="H539" t="s">
        <v>74</v>
      </c>
      <c r="I539" t="s">
        <v>9941</v>
      </c>
      <c r="J539" t="s">
        <v>1702</v>
      </c>
      <c r="K539" t="s">
        <v>74</v>
      </c>
      <c r="L539" t="s">
        <v>74</v>
      </c>
      <c r="M539" t="s">
        <v>78</v>
      </c>
      <c r="N539" t="s">
        <v>79</v>
      </c>
      <c r="O539" t="s">
        <v>74</v>
      </c>
      <c r="P539" t="s">
        <v>74</v>
      </c>
      <c r="Q539" t="s">
        <v>74</v>
      </c>
      <c r="R539" t="s">
        <v>74</v>
      </c>
      <c r="S539" t="s">
        <v>74</v>
      </c>
      <c r="T539" t="s">
        <v>74</v>
      </c>
      <c r="U539" t="s">
        <v>9942</v>
      </c>
      <c r="V539" t="s">
        <v>9943</v>
      </c>
      <c r="W539" t="s">
        <v>9944</v>
      </c>
      <c r="X539" t="s">
        <v>9945</v>
      </c>
      <c r="Y539" t="s">
        <v>9946</v>
      </c>
      <c r="Z539" t="s">
        <v>9947</v>
      </c>
      <c r="AA539" t="s">
        <v>9948</v>
      </c>
      <c r="AB539" t="s">
        <v>9949</v>
      </c>
      <c r="AC539" t="s">
        <v>9950</v>
      </c>
      <c r="AD539" t="s">
        <v>9951</v>
      </c>
      <c r="AE539" t="s">
        <v>9952</v>
      </c>
      <c r="AF539" t="s">
        <v>74</v>
      </c>
      <c r="AG539">
        <v>72</v>
      </c>
      <c r="AH539">
        <v>33</v>
      </c>
      <c r="AI539">
        <v>44</v>
      </c>
      <c r="AJ539">
        <v>1</v>
      </c>
      <c r="AK539">
        <v>42</v>
      </c>
      <c r="AL539" t="s">
        <v>1521</v>
      </c>
      <c r="AM539" t="s">
        <v>1522</v>
      </c>
      <c r="AN539" t="s">
        <v>1523</v>
      </c>
      <c r="AO539" t="s">
        <v>1714</v>
      </c>
      <c r="AP539" t="s">
        <v>1715</v>
      </c>
      <c r="AQ539" t="s">
        <v>74</v>
      </c>
      <c r="AR539" t="s">
        <v>1716</v>
      </c>
      <c r="AS539" t="s">
        <v>1717</v>
      </c>
      <c r="AT539" t="s">
        <v>9953</v>
      </c>
      <c r="AU539">
        <v>2010</v>
      </c>
      <c r="AV539">
        <v>115</v>
      </c>
      <c r="AW539" t="s">
        <v>74</v>
      </c>
      <c r="AX539" t="s">
        <v>74</v>
      </c>
      <c r="AY539" t="s">
        <v>74</v>
      </c>
      <c r="AZ539" t="s">
        <v>74</v>
      </c>
      <c r="BA539" t="s">
        <v>74</v>
      </c>
      <c r="BB539" t="s">
        <v>74</v>
      </c>
      <c r="BC539" t="s">
        <v>74</v>
      </c>
      <c r="BD539" t="s">
        <v>9954</v>
      </c>
      <c r="BE539" t="s">
        <v>9955</v>
      </c>
      <c r="BF539" t="str">
        <f>HYPERLINK("http://dx.doi.org/10.1029/2009JD012582","http://dx.doi.org/10.1029/2009JD012582")</f>
        <v>http://dx.doi.org/10.1029/2009JD012582</v>
      </c>
      <c r="BG539" t="s">
        <v>74</v>
      </c>
      <c r="BH539" t="s">
        <v>74</v>
      </c>
      <c r="BI539">
        <v>20</v>
      </c>
      <c r="BJ539" t="s">
        <v>319</v>
      </c>
      <c r="BK539" t="s">
        <v>100</v>
      </c>
      <c r="BL539" t="s">
        <v>319</v>
      </c>
      <c r="BM539" t="s">
        <v>9956</v>
      </c>
      <c r="BN539" t="s">
        <v>74</v>
      </c>
      <c r="BO539" t="s">
        <v>394</v>
      </c>
      <c r="BP539" t="s">
        <v>74</v>
      </c>
      <c r="BQ539" t="s">
        <v>74</v>
      </c>
      <c r="BR539" t="s">
        <v>104</v>
      </c>
      <c r="BS539" t="s">
        <v>9957</v>
      </c>
      <c r="BT539" t="str">
        <f>HYPERLINK("https%3A%2F%2Fwww.webofscience.com%2Fwos%2Fwoscc%2Ffull-record%2FWOS:000280586900001","View Full Record in Web of Science")</f>
        <v>View Full Record in Web of Science</v>
      </c>
    </row>
    <row r="540" spans="1:72" x14ac:dyDescent="0.15">
      <c r="A540" t="s">
        <v>72</v>
      </c>
      <c r="B540" t="s">
        <v>9958</v>
      </c>
      <c r="C540" t="s">
        <v>74</v>
      </c>
      <c r="D540" t="s">
        <v>74</v>
      </c>
      <c r="E540" t="s">
        <v>74</v>
      </c>
      <c r="F540" t="s">
        <v>9959</v>
      </c>
      <c r="G540" t="s">
        <v>74</v>
      </c>
      <c r="H540" t="s">
        <v>74</v>
      </c>
      <c r="I540" t="s">
        <v>9960</v>
      </c>
      <c r="J540" t="s">
        <v>1538</v>
      </c>
      <c r="K540" t="s">
        <v>74</v>
      </c>
      <c r="L540" t="s">
        <v>74</v>
      </c>
      <c r="M540" t="s">
        <v>78</v>
      </c>
      <c r="N540" t="s">
        <v>79</v>
      </c>
      <c r="O540" t="s">
        <v>74</v>
      </c>
      <c r="P540" t="s">
        <v>74</v>
      </c>
      <c r="Q540" t="s">
        <v>74</v>
      </c>
      <c r="R540" t="s">
        <v>74</v>
      </c>
      <c r="S540" t="s">
        <v>74</v>
      </c>
      <c r="T540" t="s">
        <v>74</v>
      </c>
      <c r="U540" t="s">
        <v>9961</v>
      </c>
      <c r="V540" t="s">
        <v>9962</v>
      </c>
      <c r="W540" t="s">
        <v>9963</v>
      </c>
      <c r="X540" t="s">
        <v>9964</v>
      </c>
      <c r="Y540" t="s">
        <v>9965</v>
      </c>
      <c r="Z540" t="s">
        <v>9966</v>
      </c>
      <c r="AA540" t="s">
        <v>9967</v>
      </c>
      <c r="AB540" t="s">
        <v>9968</v>
      </c>
      <c r="AC540" t="s">
        <v>9969</v>
      </c>
      <c r="AD540" t="s">
        <v>9969</v>
      </c>
      <c r="AE540" t="s">
        <v>9970</v>
      </c>
      <c r="AF540" t="s">
        <v>74</v>
      </c>
      <c r="AG540">
        <v>4</v>
      </c>
      <c r="AH540">
        <v>25</v>
      </c>
      <c r="AI540">
        <v>27</v>
      </c>
      <c r="AJ540">
        <v>0</v>
      </c>
      <c r="AK540">
        <v>3</v>
      </c>
      <c r="AL540" t="s">
        <v>1521</v>
      </c>
      <c r="AM540" t="s">
        <v>1522</v>
      </c>
      <c r="AN540" t="s">
        <v>1523</v>
      </c>
      <c r="AO540" t="s">
        <v>1550</v>
      </c>
      <c r="AP540" t="s">
        <v>74</v>
      </c>
      <c r="AQ540" t="s">
        <v>74</v>
      </c>
      <c r="AR540" t="s">
        <v>1552</v>
      </c>
      <c r="AS540" t="s">
        <v>1553</v>
      </c>
      <c r="AT540" t="s">
        <v>9971</v>
      </c>
      <c r="AU540">
        <v>2010</v>
      </c>
      <c r="AV540">
        <v>37</v>
      </c>
      <c r="AW540" t="s">
        <v>74</v>
      </c>
      <c r="AX540" t="s">
        <v>74</v>
      </c>
      <c r="AY540" t="s">
        <v>74</v>
      </c>
      <c r="AZ540" t="s">
        <v>74</v>
      </c>
      <c r="BA540" t="s">
        <v>74</v>
      </c>
      <c r="BB540" t="s">
        <v>74</v>
      </c>
      <c r="BC540" t="s">
        <v>74</v>
      </c>
      <c r="BD540" t="s">
        <v>9972</v>
      </c>
      <c r="BE540" t="s">
        <v>9973</v>
      </c>
      <c r="BF540" t="str">
        <f>HYPERLINK("http://dx.doi.org/10.1029/2010GL043699","http://dx.doi.org/10.1029/2010GL043699")</f>
        <v>http://dx.doi.org/10.1029/2010GL043699</v>
      </c>
      <c r="BG540" t="s">
        <v>74</v>
      </c>
      <c r="BH540" t="s">
        <v>74</v>
      </c>
      <c r="BI540">
        <v>6</v>
      </c>
      <c r="BJ540" t="s">
        <v>1194</v>
      </c>
      <c r="BK540" t="s">
        <v>100</v>
      </c>
      <c r="BL540" t="s">
        <v>807</v>
      </c>
      <c r="BM540" t="s">
        <v>9974</v>
      </c>
      <c r="BN540" t="s">
        <v>74</v>
      </c>
      <c r="BO540" t="s">
        <v>1987</v>
      </c>
      <c r="BP540" t="s">
        <v>74</v>
      </c>
      <c r="BQ540" t="s">
        <v>74</v>
      </c>
      <c r="BR540" t="s">
        <v>104</v>
      </c>
      <c r="BS540" t="s">
        <v>9975</v>
      </c>
      <c r="BT540" t="str">
        <f>HYPERLINK("https%3A%2F%2Fwww.webofscience.com%2Fwos%2Fwoscc%2Ffull-record%2FWOS:000280584700001","View Full Record in Web of Science")</f>
        <v>View Full Record in Web of Science</v>
      </c>
    </row>
    <row r="541" spans="1:72" x14ac:dyDescent="0.15">
      <c r="A541" t="s">
        <v>72</v>
      </c>
      <c r="B541" t="s">
        <v>9976</v>
      </c>
      <c r="C541" t="s">
        <v>74</v>
      </c>
      <c r="D541" t="s">
        <v>74</v>
      </c>
      <c r="E541" t="s">
        <v>74</v>
      </c>
      <c r="F541" t="s">
        <v>9977</v>
      </c>
      <c r="G541" t="s">
        <v>74</v>
      </c>
      <c r="H541" t="s">
        <v>74</v>
      </c>
      <c r="I541" t="s">
        <v>9978</v>
      </c>
      <c r="J541" t="s">
        <v>1538</v>
      </c>
      <c r="K541" t="s">
        <v>74</v>
      </c>
      <c r="L541" t="s">
        <v>74</v>
      </c>
      <c r="M541" t="s">
        <v>78</v>
      </c>
      <c r="N541" t="s">
        <v>79</v>
      </c>
      <c r="O541" t="s">
        <v>74</v>
      </c>
      <c r="P541" t="s">
        <v>74</v>
      </c>
      <c r="Q541" t="s">
        <v>74</v>
      </c>
      <c r="R541" t="s">
        <v>74</v>
      </c>
      <c r="S541" t="s">
        <v>74</v>
      </c>
      <c r="T541" t="s">
        <v>74</v>
      </c>
      <c r="U541" t="s">
        <v>74</v>
      </c>
      <c r="V541" t="s">
        <v>9979</v>
      </c>
      <c r="W541" t="s">
        <v>9980</v>
      </c>
      <c r="X541" t="s">
        <v>9981</v>
      </c>
      <c r="Y541" t="s">
        <v>9982</v>
      </c>
      <c r="Z541" t="s">
        <v>9983</v>
      </c>
      <c r="AA541" t="s">
        <v>9984</v>
      </c>
      <c r="AB541" t="s">
        <v>9985</v>
      </c>
      <c r="AC541" t="s">
        <v>9986</v>
      </c>
      <c r="AD541" t="s">
        <v>9987</v>
      </c>
      <c r="AE541" t="s">
        <v>9988</v>
      </c>
      <c r="AF541" t="s">
        <v>74</v>
      </c>
      <c r="AG541">
        <v>17</v>
      </c>
      <c r="AH541">
        <v>106</v>
      </c>
      <c r="AI541">
        <v>113</v>
      </c>
      <c r="AJ541">
        <v>0</v>
      </c>
      <c r="AK541">
        <v>18</v>
      </c>
      <c r="AL541" t="s">
        <v>1521</v>
      </c>
      <c r="AM541" t="s">
        <v>1522</v>
      </c>
      <c r="AN541" t="s">
        <v>1523</v>
      </c>
      <c r="AO541" t="s">
        <v>1550</v>
      </c>
      <c r="AP541" t="s">
        <v>1551</v>
      </c>
      <c r="AQ541" t="s">
        <v>74</v>
      </c>
      <c r="AR541" t="s">
        <v>1552</v>
      </c>
      <c r="AS541" t="s">
        <v>1553</v>
      </c>
      <c r="AT541" t="s">
        <v>9989</v>
      </c>
      <c r="AU541">
        <v>2010</v>
      </c>
      <c r="AV541">
        <v>37</v>
      </c>
      <c r="AW541" t="s">
        <v>74</v>
      </c>
      <c r="AX541" t="s">
        <v>74</v>
      </c>
      <c r="AY541" t="s">
        <v>74</v>
      </c>
      <c r="AZ541" t="s">
        <v>74</v>
      </c>
      <c r="BA541" t="s">
        <v>74</v>
      </c>
      <c r="BB541" t="s">
        <v>74</v>
      </c>
      <c r="BC541" t="s">
        <v>74</v>
      </c>
      <c r="BD541" t="s">
        <v>9990</v>
      </c>
      <c r="BE541" t="s">
        <v>9991</v>
      </c>
      <c r="BF541" t="str">
        <f>HYPERLINK("http://dx.doi.org/10.1029/2010GL043334","http://dx.doi.org/10.1029/2010GL043334")</f>
        <v>http://dx.doi.org/10.1029/2010GL043334</v>
      </c>
      <c r="BG541" t="s">
        <v>74</v>
      </c>
      <c r="BH541" t="s">
        <v>74</v>
      </c>
      <c r="BI541">
        <v>5</v>
      </c>
      <c r="BJ541" t="s">
        <v>1194</v>
      </c>
      <c r="BK541" t="s">
        <v>100</v>
      </c>
      <c r="BL541" t="s">
        <v>807</v>
      </c>
      <c r="BM541" t="s">
        <v>9992</v>
      </c>
      <c r="BN541" t="s">
        <v>74</v>
      </c>
      <c r="BO541" t="s">
        <v>5408</v>
      </c>
      <c r="BP541" t="s">
        <v>74</v>
      </c>
      <c r="BQ541" t="s">
        <v>74</v>
      </c>
      <c r="BR541" t="s">
        <v>104</v>
      </c>
      <c r="BS541" t="s">
        <v>9993</v>
      </c>
      <c r="BT541" t="str">
        <f>HYPERLINK("https%3A%2F%2Fwww.webofscience.com%2Fwos%2Fwoscc%2Ffull-record%2FWOS:000280326400001","View Full Record in Web of Science")</f>
        <v>View Full Record in Web of Science</v>
      </c>
    </row>
    <row r="542" spans="1:72" x14ac:dyDescent="0.15">
      <c r="A542" t="s">
        <v>72</v>
      </c>
      <c r="B542" t="s">
        <v>9994</v>
      </c>
      <c r="C542" t="s">
        <v>74</v>
      </c>
      <c r="D542" t="s">
        <v>74</v>
      </c>
      <c r="E542" t="s">
        <v>74</v>
      </c>
      <c r="F542" t="s">
        <v>9995</v>
      </c>
      <c r="G542" t="s">
        <v>74</v>
      </c>
      <c r="H542" t="s">
        <v>74</v>
      </c>
      <c r="I542" t="s">
        <v>9996</v>
      </c>
      <c r="J542" t="s">
        <v>1538</v>
      </c>
      <c r="K542" t="s">
        <v>74</v>
      </c>
      <c r="L542" t="s">
        <v>74</v>
      </c>
      <c r="M542" t="s">
        <v>78</v>
      </c>
      <c r="N542" t="s">
        <v>79</v>
      </c>
      <c r="O542" t="s">
        <v>74</v>
      </c>
      <c r="P542" t="s">
        <v>74</v>
      </c>
      <c r="Q542" t="s">
        <v>74</v>
      </c>
      <c r="R542" t="s">
        <v>74</v>
      </c>
      <c r="S542" t="s">
        <v>74</v>
      </c>
      <c r="T542" t="s">
        <v>74</v>
      </c>
      <c r="U542" t="s">
        <v>9997</v>
      </c>
      <c r="V542" t="s">
        <v>9998</v>
      </c>
      <c r="W542" t="s">
        <v>9999</v>
      </c>
      <c r="X542" t="s">
        <v>10000</v>
      </c>
      <c r="Y542" t="s">
        <v>10001</v>
      </c>
      <c r="Z542" t="s">
        <v>10002</v>
      </c>
      <c r="AA542" t="s">
        <v>10003</v>
      </c>
      <c r="AB542" t="s">
        <v>10004</v>
      </c>
      <c r="AC542" t="s">
        <v>10005</v>
      </c>
      <c r="AD542" t="s">
        <v>10006</v>
      </c>
      <c r="AE542" t="s">
        <v>10007</v>
      </c>
      <c r="AF542" t="s">
        <v>74</v>
      </c>
      <c r="AG542">
        <v>27</v>
      </c>
      <c r="AH542">
        <v>10</v>
      </c>
      <c r="AI542">
        <v>10</v>
      </c>
      <c r="AJ542">
        <v>0</v>
      </c>
      <c r="AK542">
        <v>4</v>
      </c>
      <c r="AL542" t="s">
        <v>1521</v>
      </c>
      <c r="AM542" t="s">
        <v>1522</v>
      </c>
      <c r="AN542" t="s">
        <v>1523</v>
      </c>
      <c r="AO542" t="s">
        <v>1550</v>
      </c>
      <c r="AP542" t="s">
        <v>74</v>
      </c>
      <c r="AQ542" t="s">
        <v>74</v>
      </c>
      <c r="AR542" t="s">
        <v>1552</v>
      </c>
      <c r="AS542" t="s">
        <v>1553</v>
      </c>
      <c r="AT542" t="s">
        <v>9989</v>
      </c>
      <c r="AU542">
        <v>2010</v>
      </c>
      <c r="AV542">
        <v>37</v>
      </c>
      <c r="AW542" t="s">
        <v>74</v>
      </c>
      <c r="AX542" t="s">
        <v>74</v>
      </c>
      <c r="AY542" t="s">
        <v>74</v>
      </c>
      <c r="AZ542" t="s">
        <v>74</v>
      </c>
      <c r="BA542" t="s">
        <v>74</v>
      </c>
      <c r="BB542" t="s">
        <v>74</v>
      </c>
      <c r="BC542" t="s">
        <v>74</v>
      </c>
      <c r="BD542" t="s">
        <v>10008</v>
      </c>
      <c r="BE542" t="s">
        <v>10009</v>
      </c>
      <c r="BF542" t="str">
        <f>HYPERLINK("http://dx.doi.org/10.1029/2010GL044015","http://dx.doi.org/10.1029/2010GL044015")</f>
        <v>http://dx.doi.org/10.1029/2010GL044015</v>
      </c>
      <c r="BG542" t="s">
        <v>74</v>
      </c>
      <c r="BH542" t="s">
        <v>74</v>
      </c>
      <c r="BI542">
        <v>5</v>
      </c>
      <c r="BJ542" t="s">
        <v>1194</v>
      </c>
      <c r="BK542" t="s">
        <v>100</v>
      </c>
      <c r="BL542" t="s">
        <v>807</v>
      </c>
      <c r="BM542" t="s">
        <v>9992</v>
      </c>
      <c r="BN542" t="s">
        <v>74</v>
      </c>
      <c r="BO542" t="s">
        <v>1697</v>
      </c>
      <c r="BP542" t="s">
        <v>74</v>
      </c>
      <c r="BQ542" t="s">
        <v>74</v>
      </c>
      <c r="BR542" t="s">
        <v>104</v>
      </c>
      <c r="BS542" t="s">
        <v>10010</v>
      </c>
      <c r="BT542" t="str">
        <f>HYPERLINK("https%3A%2F%2Fwww.webofscience.com%2Fwos%2Fwoscc%2Ffull-record%2FWOS:000280326400006","View Full Record in Web of Science")</f>
        <v>View Full Record in Web of Science</v>
      </c>
    </row>
    <row r="543" spans="1:72" x14ac:dyDescent="0.15">
      <c r="A543" t="s">
        <v>72</v>
      </c>
      <c r="B543" t="s">
        <v>10011</v>
      </c>
      <c r="C543" t="s">
        <v>74</v>
      </c>
      <c r="D543" t="s">
        <v>74</v>
      </c>
      <c r="E543" t="s">
        <v>74</v>
      </c>
      <c r="F543" t="s">
        <v>10012</v>
      </c>
      <c r="G543" t="s">
        <v>74</v>
      </c>
      <c r="H543" t="s">
        <v>74</v>
      </c>
      <c r="I543" t="s">
        <v>10013</v>
      </c>
      <c r="J543" t="s">
        <v>1538</v>
      </c>
      <c r="K543" t="s">
        <v>74</v>
      </c>
      <c r="L543" t="s">
        <v>74</v>
      </c>
      <c r="M543" t="s">
        <v>78</v>
      </c>
      <c r="N543" t="s">
        <v>79</v>
      </c>
      <c r="O543" t="s">
        <v>74</v>
      </c>
      <c r="P543" t="s">
        <v>74</v>
      </c>
      <c r="Q543" t="s">
        <v>74</v>
      </c>
      <c r="R543" t="s">
        <v>74</v>
      </c>
      <c r="S543" t="s">
        <v>74</v>
      </c>
      <c r="T543" t="s">
        <v>74</v>
      </c>
      <c r="U543" t="s">
        <v>10014</v>
      </c>
      <c r="V543" t="s">
        <v>10015</v>
      </c>
      <c r="W543" t="s">
        <v>10016</v>
      </c>
      <c r="X543" t="s">
        <v>5122</v>
      </c>
      <c r="Y543" t="s">
        <v>10017</v>
      </c>
      <c r="Z543" t="s">
        <v>10018</v>
      </c>
      <c r="AA543" t="s">
        <v>74</v>
      </c>
      <c r="AB543" t="s">
        <v>10019</v>
      </c>
      <c r="AC543" t="s">
        <v>10020</v>
      </c>
      <c r="AD543" t="s">
        <v>10020</v>
      </c>
      <c r="AE543" t="s">
        <v>10021</v>
      </c>
      <c r="AF543" t="s">
        <v>74</v>
      </c>
      <c r="AG543">
        <v>16</v>
      </c>
      <c r="AH543">
        <v>10</v>
      </c>
      <c r="AI543">
        <v>10</v>
      </c>
      <c r="AJ543">
        <v>1</v>
      </c>
      <c r="AK543">
        <v>6</v>
      </c>
      <c r="AL543" t="s">
        <v>1521</v>
      </c>
      <c r="AM543" t="s">
        <v>1522</v>
      </c>
      <c r="AN543" t="s">
        <v>1523</v>
      </c>
      <c r="AO543" t="s">
        <v>1550</v>
      </c>
      <c r="AP543" t="s">
        <v>74</v>
      </c>
      <c r="AQ543" t="s">
        <v>74</v>
      </c>
      <c r="AR543" t="s">
        <v>1552</v>
      </c>
      <c r="AS543" t="s">
        <v>1553</v>
      </c>
      <c r="AT543" t="s">
        <v>10022</v>
      </c>
      <c r="AU543">
        <v>2010</v>
      </c>
      <c r="AV543">
        <v>37</v>
      </c>
      <c r="AW543" t="s">
        <v>74</v>
      </c>
      <c r="AX543" t="s">
        <v>74</v>
      </c>
      <c r="AY543" t="s">
        <v>74</v>
      </c>
      <c r="AZ543" t="s">
        <v>74</v>
      </c>
      <c r="BA543" t="s">
        <v>74</v>
      </c>
      <c r="BB543" t="s">
        <v>74</v>
      </c>
      <c r="BC543" t="s">
        <v>74</v>
      </c>
      <c r="BD543" t="s">
        <v>10023</v>
      </c>
      <c r="BE543" t="s">
        <v>10024</v>
      </c>
      <c r="BF543" t="str">
        <f>HYPERLINK("http://dx.doi.org/10.1029/2010GL043760","http://dx.doi.org/10.1029/2010GL043760")</f>
        <v>http://dx.doi.org/10.1029/2010GL043760</v>
      </c>
      <c r="BG543" t="s">
        <v>74</v>
      </c>
      <c r="BH543" t="s">
        <v>74</v>
      </c>
      <c r="BI543">
        <v>5</v>
      </c>
      <c r="BJ543" t="s">
        <v>1194</v>
      </c>
      <c r="BK543" t="s">
        <v>100</v>
      </c>
      <c r="BL543" t="s">
        <v>807</v>
      </c>
      <c r="BM543" t="s">
        <v>10025</v>
      </c>
      <c r="BN543" t="s">
        <v>74</v>
      </c>
      <c r="BO543" t="s">
        <v>394</v>
      </c>
      <c r="BP543" t="s">
        <v>74</v>
      </c>
      <c r="BQ543" t="s">
        <v>74</v>
      </c>
      <c r="BR543" t="s">
        <v>104</v>
      </c>
      <c r="BS543" t="s">
        <v>10026</v>
      </c>
      <c r="BT543" t="str">
        <f>HYPERLINK("https%3A%2F%2Fwww.webofscience.com%2Fwos%2Fwoscc%2Ffull-record%2FWOS:000280326200001","View Full Record in Web of Science")</f>
        <v>View Full Record in Web of Science</v>
      </c>
    </row>
    <row r="544" spans="1:72" x14ac:dyDescent="0.15">
      <c r="A544" t="s">
        <v>72</v>
      </c>
      <c r="B544" t="s">
        <v>10027</v>
      </c>
      <c r="C544" t="s">
        <v>74</v>
      </c>
      <c r="D544" t="s">
        <v>74</v>
      </c>
      <c r="E544" t="s">
        <v>74</v>
      </c>
      <c r="F544" t="s">
        <v>10028</v>
      </c>
      <c r="G544" t="s">
        <v>74</v>
      </c>
      <c r="H544" t="s">
        <v>74</v>
      </c>
      <c r="I544" t="s">
        <v>10029</v>
      </c>
      <c r="J544" t="s">
        <v>1611</v>
      </c>
      <c r="K544" t="s">
        <v>74</v>
      </c>
      <c r="L544" t="s">
        <v>74</v>
      </c>
      <c r="M544" t="s">
        <v>78</v>
      </c>
      <c r="N544" t="s">
        <v>79</v>
      </c>
      <c r="O544" t="s">
        <v>74</v>
      </c>
      <c r="P544" t="s">
        <v>74</v>
      </c>
      <c r="Q544" t="s">
        <v>74</v>
      </c>
      <c r="R544" t="s">
        <v>74</v>
      </c>
      <c r="S544" t="s">
        <v>74</v>
      </c>
      <c r="T544" t="s">
        <v>74</v>
      </c>
      <c r="U544" t="s">
        <v>10030</v>
      </c>
      <c r="V544" t="s">
        <v>10031</v>
      </c>
      <c r="W544" t="s">
        <v>10032</v>
      </c>
      <c r="X544" t="s">
        <v>10033</v>
      </c>
      <c r="Y544" t="s">
        <v>10034</v>
      </c>
      <c r="Z544" t="s">
        <v>10035</v>
      </c>
      <c r="AA544" t="s">
        <v>10036</v>
      </c>
      <c r="AB544" t="s">
        <v>10037</v>
      </c>
      <c r="AC544" t="s">
        <v>10038</v>
      </c>
      <c r="AD544" t="s">
        <v>10039</v>
      </c>
      <c r="AE544" t="s">
        <v>10040</v>
      </c>
      <c r="AF544" t="s">
        <v>74</v>
      </c>
      <c r="AG544">
        <v>83</v>
      </c>
      <c r="AH544">
        <v>22</v>
      </c>
      <c r="AI544">
        <v>25</v>
      </c>
      <c r="AJ544">
        <v>2</v>
      </c>
      <c r="AK544">
        <v>33</v>
      </c>
      <c r="AL544" t="s">
        <v>1521</v>
      </c>
      <c r="AM544" t="s">
        <v>1522</v>
      </c>
      <c r="AN544" t="s">
        <v>1523</v>
      </c>
      <c r="AO544" t="s">
        <v>1623</v>
      </c>
      <c r="AP544" t="s">
        <v>74</v>
      </c>
      <c r="AQ544" t="s">
        <v>74</v>
      </c>
      <c r="AR544" t="s">
        <v>1625</v>
      </c>
      <c r="AS544" t="s">
        <v>1626</v>
      </c>
      <c r="AT544" t="s">
        <v>10041</v>
      </c>
      <c r="AU544">
        <v>2010</v>
      </c>
      <c r="AV544">
        <v>24</v>
      </c>
      <c r="AW544" t="s">
        <v>74</v>
      </c>
      <c r="AX544" t="s">
        <v>74</v>
      </c>
      <c r="AY544" t="s">
        <v>74</v>
      </c>
      <c r="AZ544" t="s">
        <v>74</v>
      </c>
      <c r="BA544" t="s">
        <v>74</v>
      </c>
      <c r="BB544" t="s">
        <v>74</v>
      </c>
      <c r="BC544" t="s">
        <v>74</v>
      </c>
      <c r="BD544" t="s">
        <v>10042</v>
      </c>
      <c r="BE544" t="s">
        <v>10043</v>
      </c>
      <c r="BF544" t="str">
        <f>HYPERLINK("http://dx.doi.org/10.1029/2009GB003657","http://dx.doi.org/10.1029/2009GB003657")</f>
        <v>http://dx.doi.org/10.1029/2009GB003657</v>
      </c>
      <c r="BG544" t="s">
        <v>74</v>
      </c>
      <c r="BH544" t="s">
        <v>74</v>
      </c>
      <c r="BI544">
        <v>15</v>
      </c>
      <c r="BJ544" t="s">
        <v>1629</v>
      </c>
      <c r="BK544" t="s">
        <v>100</v>
      </c>
      <c r="BL544" t="s">
        <v>1630</v>
      </c>
      <c r="BM544" t="s">
        <v>10044</v>
      </c>
      <c r="BN544" t="s">
        <v>74</v>
      </c>
      <c r="BO544" t="s">
        <v>631</v>
      </c>
      <c r="BP544" t="s">
        <v>74</v>
      </c>
      <c r="BQ544" t="s">
        <v>74</v>
      </c>
      <c r="BR544" t="s">
        <v>104</v>
      </c>
      <c r="BS544" t="s">
        <v>10045</v>
      </c>
      <c r="BT544" t="str">
        <f>HYPERLINK("https%3A%2F%2Fwww.webofscience.com%2Fwos%2Fwoscc%2Ffull-record%2FWOS:000280326900001","View Full Record in Web of Science")</f>
        <v>View Full Record in Web of Science</v>
      </c>
    </row>
    <row r="545" spans="1:72" x14ac:dyDescent="0.15">
      <c r="A545" t="s">
        <v>72</v>
      </c>
      <c r="B545" t="s">
        <v>10046</v>
      </c>
      <c r="C545" t="s">
        <v>74</v>
      </c>
      <c r="D545" t="s">
        <v>74</v>
      </c>
      <c r="E545" t="s">
        <v>74</v>
      </c>
      <c r="F545" t="s">
        <v>10047</v>
      </c>
      <c r="G545" t="s">
        <v>74</v>
      </c>
      <c r="H545" t="s">
        <v>74</v>
      </c>
      <c r="I545" t="s">
        <v>10048</v>
      </c>
      <c r="J545" t="s">
        <v>1702</v>
      </c>
      <c r="K545" t="s">
        <v>74</v>
      </c>
      <c r="L545" t="s">
        <v>74</v>
      </c>
      <c r="M545" t="s">
        <v>78</v>
      </c>
      <c r="N545" t="s">
        <v>79</v>
      </c>
      <c r="O545" t="s">
        <v>74</v>
      </c>
      <c r="P545" t="s">
        <v>74</v>
      </c>
      <c r="Q545" t="s">
        <v>74</v>
      </c>
      <c r="R545" t="s">
        <v>74</v>
      </c>
      <c r="S545" t="s">
        <v>74</v>
      </c>
      <c r="T545" t="s">
        <v>74</v>
      </c>
      <c r="U545" t="s">
        <v>10049</v>
      </c>
      <c r="V545" t="s">
        <v>10050</v>
      </c>
      <c r="W545" t="s">
        <v>10051</v>
      </c>
      <c r="X545" t="s">
        <v>10052</v>
      </c>
      <c r="Y545" t="s">
        <v>10053</v>
      </c>
      <c r="Z545" t="s">
        <v>10054</v>
      </c>
      <c r="AA545" t="s">
        <v>10055</v>
      </c>
      <c r="AB545" t="s">
        <v>10056</v>
      </c>
      <c r="AC545" t="s">
        <v>10057</v>
      </c>
      <c r="AD545" t="s">
        <v>10058</v>
      </c>
      <c r="AE545" t="s">
        <v>10059</v>
      </c>
      <c r="AF545" t="s">
        <v>74</v>
      </c>
      <c r="AG545">
        <v>39</v>
      </c>
      <c r="AH545">
        <v>63</v>
      </c>
      <c r="AI545">
        <v>63</v>
      </c>
      <c r="AJ545">
        <v>1</v>
      </c>
      <c r="AK545">
        <v>11</v>
      </c>
      <c r="AL545" t="s">
        <v>1521</v>
      </c>
      <c r="AM545" t="s">
        <v>1522</v>
      </c>
      <c r="AN545" t="s">
        <v>1523</v>
      </c>
      <c r="AO545" t="s">
        <v>1714</v>
      </c>
      <c r="AP545" t="s">
        <v>1715</v>
      </c>
      <c r="AQ545" t="s">
        <v>74</v>
      </c>
      <c r="AR545" t="s">
        <v>1716</v>
      </c>
      <c r="AS545" t="s">
        <v>1717</v>
      </c>
      <c r="AT545" t="s">
        <v>10041</v>
      </c>
      <c r="AU545">
        <v>2010</v>
      </c>
      <c r="AV545">
        <v>115</v>
      </c>
      <c r="AW545" t="s">
        <v>74</v>
      </c>
      <c r="AX545" t="s">
        <v>74</v>
      </c>
      <c r="AY545" t="s">
        <v>74</v>
      </c>
      <c r="AZ545" t="s">
        <v>74</v>
      </c>
      <c r="BA545" t="s">
        <v>74</v>
      </c>
      <c r="BB545" t="s">
        <v>74</v>
      </c>
      <c r="BC545" t="s">
        <v>74</v>
      </c>
      <c r="BD545" t="s">
        <v>10060</v>
      </c>
      <c r="BE545" t="s">
        <v>10061</v>
      </c>
      <c r="BF545" t="str">
        <f>HYPERLINK("http://dx.doi.org/10.1029/2009JD013410","http://dx.doi.org/10.1029/2009JD013410")</f>
        <v>http://dx.doi.org/10.1029/2009JD013410</v>
      </c>
      <c r="BG545" t="s">
        <v>74</v>
      </c>
      <c r="BH545" t="s">
        <v>74</v>
      </c>
      <c r="BI545">
        <v>14</v>
      </c>
      <c r="BJ545" t="s">
        <v>319</v>
      </c>
      <c r="BK545" t="s">
        <v>100</v>
      </c>
      <c r="BL545" t="s">
        <v>319</v>
      </c>
      <c r="BM545" t="s">
        <v>10062</v>
      </c>
      <c r="BN545" t="s">
        <v>74</v>
      </c>
      <c r="BO545" t="s">
        <v>74</v>
      </c>
      <c r="BP545" t="s">
        <v>74</v>
      </c>
      <c r="BQ545" t="s">
        <v>74</v>
      </c>
      <c r="BR545" t="s">
        <v>104</v>
      </c>
      <c r="BS545" t="s">
        <v>10063</v>
      </c>
      <c r="BT545" t="str">
        <f>HYPERLINK("https%3A%2F%2Fwww.webofscience.com%2Fwos%2Fwoscc%2Ffull-record%2FWOS:000280328300011","View Full Record in Web of Science")</f>
        <v>View Full Record in Web of Science</v>
      </c>
    </row>
    <row r="546" spans="1:72" x14ac:dyDescent="0.15">
      <c r="A546" t="s">
        <v>72</v>
      </c>
      <c r="B546" t="s">
        <v>10064</v>
      </c>
      <c r="C546" t="s">
        <v>74</v>
      </c>
      <c r="D546" t="s">
        <v>74</v>
      </c>
      <c r="E546" t="s">
        <v>74</v>
      </c>
      <c r="F546" t="s">
        <v>10065</v>
      </c>
      <c r="G546" t="s">
        <v>74</v>
      </c>
      <c r="H546" t="s">
        <v>74</v>
      </c>
      <c r="I546" t="s">
        <v>10066</v>
      </c>
      <c r="J546" t="s">
        <v>10067</v>
      </c>
      <c r="K546" t="s">
        <v>74</v>
      </c>
      <c r="L546" t="s">
        <v>74</v>
      </c>
      <c r="M546" t="s">
        <v>78</v>
      </c>
      <c r="N546" t="s">
        <v>79</v>
      </c>
      <c r="O546" t="s">
        <v>74</v>
      </c>
      <c r="P546" t="s">
        <v>74</v>
      </c>
      <c r="Q546" t="s">
        <v>74</v>
      </c>
      <c r="R546" t="s">
        <v>74</v>
      </c>
      <c r="S546" t="s">
        <v>74</v>
      </c>
      <c r="T546" t="s">
        <v>74</v>
      </c>
      <c r="U546" t="s">
        <v>10068</v>
      </c>
      <c r="V546" t="s">
        <v>10069</v>
      </c>
      <c r="W546" t="s">
        <v>10070</v>
      </c>
      <c r="X546" t="s">
        <v>10071</v>
      </c>
      <c r="Y546" t="s">
        <v>10072</v>
      </c>
      <c r="Z546" t="s">
        <v>10073</v>
      </c>
      <c r="AA546" t="s">
        <v>10074</v>
      </c>
      <c r="AB546" t="s">
        <v>10075</v>
      </c>
      <c r="AC546" t="s">
        <v>10076</v>
      </c>
      <c r="AD546" t="s">
        <v>10077</v>
      </c>
      <c r="AE546" t="s">
        <v>10078</v>
      </c>
      <c r="AF546" t="s">
        <v>74</v>
      </c>
      <c r="AG546">
        <v>131</v>
      </c>
      <c r="AH546">
        <v>23</v>
      </c>
      <c r="AI546">
        <v>25</v>
      </c>
      <c r="AJ546">
        <v>0</v>
      </c>
      <c r="AK546">
        <v>17</v>
      </c>
      <c r="AL546" t="s">
        <v>1521</v>
      </c>
      <c r="AM546" t="s">
        <v>1522</v>
      </c>
      <c r="AN546" t="s">
        <v>1523</v>
      </c>
      <c r="AO546" t="s">
        <v>10079</v>
      </c>
      <c r="AP546" t="s">
        <v>10080</v>
      </c>
      <c r="AQ546" t="s">
        <v>74</v>
      </c>
      <c r="AR546" t="s">
        <v>10081</v>
      </c>
      <c r="AS546" t="s">
        <v>10082</v>
      </c>
      <c r="AT546" t="s">
        <v>10083</v>
      </c>
      <c r="AU546">
        <v>2010</v>
      </c>
      <c r="AV546">
        <v>115</v>
      </c>
      <c r="AW546" t="s">
        <v>74</v>
      </c>
      <c r="AX546" t="s">
        <v>74</v>
      </c>
      <c r="AY546" t="s">
        <v>74</v>
      </c>
      <c r="AZ546" t="s">
        <v>74</v>
      </c>
      <c r="BA546" t="s">
        <v>74</v>
      </c>
      <c r="BB546" t="s">
        <v>74</v>
      </c>
      <c r="BC546" t="s">
        <v>74</v>
      </c>
      <c r="BD546" t="s">
        <v>10084</v>
      </c>
      <c r="BE546" t="s">
        <v>10085</v>
      </c>
      <c r="BF546" t="str">
        <f>HYPERLINK("http://dx.doi.org/10.1029/2009JE003452","http://dx.doi.org/10.1029/2009JE003452")</f>
        <v>http://dx.doi.org/10.1029/2009JE003452</v>
      </c>
      <c r="BG546" t="s">
        <v>74</v>
      </c>
      <c r="BH546" t="s">
        <v>74</v>
      </c>
      <c r="BI546">
        <v>18</v>
      </c>
      <c r="BJ546" t="s">
        <v>558</v>
      </c>
      <c r="BK546" t="s">
        <v>100</v>
      </c>
      <c r="BL546" t="s">
        <v>558</v>
      </c>
      <c r="BM546" t="s">
        <v>10086</v>
      </c>
      <c r="BN546" t="s">
        <v>74</v>
      </c>
      <c r="BO546" t="s">
        <v>394</v>
      </c>
      <c r="BP546" t="s">
        <v>74</v>
      </c>
      <c r="BQ546" t="s">
        <v>74</v>
      </c>
      <c r="BR546" t="s">
        <v>104</v>
      </c>
      <c r="BS546" t="s">
        <v>10087</v>
      </c>
      <c r="BT546" t="str">
        <f>HYPERLINK("https%3A%2F%2Fwww.webofscience.com%2Fwos%2Fwoscc%2Ffull-record%2FWOS:000280335500002","View Full Record in Web of Science")</f>
        <v>View Full Record in Web of Science</v>
      </c>
    </row>
    <row r="547" spans="1:72" x14ac:dyDescent="0.15">
      <c r="A547" t="s">
        <v>72</v>
      </c>
      <c r="B547" t="s">
        <v>10088</v>
      </c>
      <c r="C547" t="s">
        <v>74</v>
      </c>
      <c r="D547" t="s">
        <v>74</v>
      </c>
      <c r="E547" t="s">
        <v>74</v>
      </c>
      <c r="F547" t="s">
        <v>10089</v>
      </c>
      <c r="G547" t="s">
        <v>74</v>
      </c>
      <c r="H547" t="s">
        <v>74</v>
      </c>
      <c r="I547" t="s">
        <v>10090</v>
      </c>
      <c r="J547" t="s">
        <v>10067</v>
      </c>
      <c r="K547" t="s">
        <v>74</v>
      </c>
      <c r="L547" t="s">
        <v>74</v>
      </c>
      <c r="M547" t="s">
        <v>78</v>
      </c>
      <c r="N547" t="s">
        <v>79</v>
      </c>
      <c r="O547" t="s">
        <v>74</v>
      </c>
      <c r="P547" t="s">
        <v>74</v>
      </c>
      <c r="Q547" t="s">
        <v>74</v>
      </c>
      <c r="R547" t="s">
        <v>74</v>
      </c>
      <c r="S547" t="s">
        <v>74</v>
      </c>
      <c r="T547" t="s">
        <v>74</v>
      </c>
      <c r="U547" t="s">
        <v>10091</v>
      </c>
      <c r="V547" t="s">
        <v>10092</v>
      </c>
      <c r="W547" t="s">
        <v>10093</v>
      </c>
      <c r="X547" t="s">
        <v>10094</v>
      </c>
      <c r="Y547" t="s">
        <v>10095</v>
      </c>
      <c r="Z547" t="s">
        <v>10096</v>
      </c>
      <c r="AA547" t="s">
        <v>10097</v>
      </c>
      <c r="AB547" t="s">
        <v>10098</v>
      </c>
      <c r="AC547" t="s">
        <v>10099</v>
      </c>
      <c r="AD547" t="s">
        <v>10100</v>
      </c>
      <c r="AE547" t="s">
        <v>10101</v>
      </c>
      <c r="AF547" t="s">
        <v>74</v>
      </c>
      <c r="AG547">
        <v>100</v>
      </c>
      <c r="AH547">
        <v>25</v>
      </c>
      <c r="AI547">
        <v>26</v>
      </c>
      <c r="AJ547">
        <v>1</v>
      </c>
      <c r="AK547">
        <v>7</v>
      </c>
      <c r="AL547" t="s">
        <v>1521</v>
      </c>
      <c r="AM547" t="s">
        <v>1522</v>
      </c>
      <c r="AN547" t="s">
        <v>1523</v>
      </c>
      <c r="AO547" t="s">
        <v>10079</v>
      </c>
      <c r="AP547" t="s">
        <v>10080</v>
      </c>
      <c r="AQ547" t="s">
        <v>74</v>
      </c>
      <c r="AR547" t="s">
        <v>10081</v>
      </c>
      <c r="AS547" t="s">
        <v>10082</v>
      </c>
      <c r="AT547" t="s">
        <v>10083</v>
      </c>
      <c r="AU547">
        <v>2010</v>
      </c>
      <c r="AV547">
        <v>115</v>
      </c>
      <c r="AW547" t="s">
        <v>74</v>
      </c>
      <c r="AX547" t="s">
        <v>74</v>
      </c>
      <c r="AY547" t="s">
        <v>74</v>
      </c>
      <c r="AZ547" t="s">
        <v>74</v>
      </c>
      <c r="BA547" t="s">
        <v>74</v>
      </c>
      <c r="BB547" t="s">
        <v>74</v>
      </c>
      <c r="BC547" t="s">
        <v>74</v>
      </c>
      <c r="BD547" t="s">
        <v>10102</v>
      </c>
      <c r="BE547" t="s">
        <v>10103</v>
      </c>
      <c r="BF547" t="str">
        <f>HYPERLINK("http://dx.doi.org/10.1029/2009JE003433","http://dx.doi.org/10.1029/2009JE003433")</f>
        <v>http://dx.doi.org/10.1029/2009JE003433</v>
      </c>
      <c r="BG547" t="s">
        <v>74</v>
      </c>
      <c r="BH547" t="s">
        <v>74</v>
      </c>
      <c r="BI547">
        <v>22</v>
      </c>
      <c r="BJ547" t="s">
        <v>558</v>
      </c>
      <c r="BK547" t="s">
        <v>100</v>
      </c>
      <c r="BL547" t="s">
        <v>558</v>
      </c>
      <c r="BM547" t="s">
        <v>10086</v>
      </c>
      <c r="BN547" t="s">
        <v>74</v>
      </c>
      <c r="BO547" t="s">
        <v>74</v>
      </c>
      <c r="BP547" t="s">
        <v>74</v>
      </c>
      <c r="BQ547" t="s">
        <v>74</v>
      </c>
      <c r="BR547" t="s">
        <v>104</v>
      </c>
      <c r="BS547" t="s">
        <v>10104</v>
      </c>
      <c r="BT547" t="str">
        <f>HYPERLINK("https%3A%2F%2Fwww.webofscience.com%2Fwos%2Fwoscc%2Ffull-record%2FWOS:000280335500001","View Full Record in Web of Science")</f>
        <v>View Full Record in Web of Science</v>
      </c>
    </row>
    <row r="548" spans="1:72" x14ac:dyDescent="0.15">
      <c r="A548" t="s">
        <v>72</v>
      </c>
      <c r="B548" t="s">
        <v>10105</v>
      </c>
      <c r="C548" t="s">
        <v>74</v>
      </c>
      <c r="D548" t="s">
        <v>74</v>
      </c>
      <c r="E548" t="s">
        <v>74</v>
      </c>
      <c r="F548" t="s">
        <v>10106</v>
      </c>
      <c r="G548" t="s">
        <v>74</v>
      </c>
      <c r="H548" t="s">
        <v>74</v>
      </c>
      <c r="I548" t="s">
        <v>10107</v>
      </c>
      <c r="J548" t="s">
        <v>4817</v>
      </c>
      <c r="K548" t="s">
        <v>74</v>
      </c>
      <c r="L548" t="s">
        <v>74</v>
      </c>
      <c r="M548" t="s">
        <v>78</v>
      </c>
      <c r="N548" t="s">
        <v>79</v>
      </c>
      <c r="O548" t="s">
        <v>74</v>
      </c>
      <c r="P548" t="s">
        <v>74</v>
      </c>
      <c r="Q548" t="s">
        <v>74</v>
      </c>
      <c r="R548" t="s">
        <v>74</v>
      </c>
      <c r="S548" t="s">
        <v>74</v>
      </c>
      <c r="T548" t="s">
        <v>74</v>
      </c>
      <c r="U548" t="s">
        <v>10108</v>
      </c>
      <c r="V548" t="s">
        <v>10109</v>
      </c>
      <c r="W548" t="s">
        <v>10110</v>
      </c>
      <c r="X548" t="s">
        <v>10111</v>
      </c>
      <c r="Y548" t="s">
        <v>10112</v>
      </c>
      <c r="Z548" t="s">
        <v>10113</v>
      </c>
      <c r="AA548" t="s">
        <v>10114</v>
      </c>
      <c r="AB548" t="s">
        <v>10115</v>
      </c>
      <c r="AC548" t="s">
        <v>10116</v>
      </c>
      <c r="AD548" t="s">
        <v>10117</v>
      </c>
      <c r="AE548" t="s">
        <v>10118</v>
      </c>
      <c r="AF548" t="s">
        <v>74</v>
      </c>
      <c r="AG548">
        <v>55</v>
      </c>
      <c r="AH548">
        <v>6</v>
      </c>
      <c r="AI548">
        <v>8</v>
      </c>
      <c r="AJ548">
        <v>1</v>
      </c>
      <c r="AK548">
        <v>9</v>
      </c>
      <c r="AL548" t="s">
        <v>1521</v>
      </c>
      <c r="AM548" t="s">
        <v>1522</v>
      </c>
      <c r="AN548" t="s">
        <v>1523</v>
      </c>
      <c r="AO548" t="s">
        <v>4829</v>
      </c>
      <c r="AP548" t="s">
        <v>4830</v>
      </c>
      <c r="AQ548" t="s">
        <v>74</v>
      </c>
      <c r="AR548" t="s">
        <v>4831</v>
      </c>
      <c r="AS548" t="s">
        <v>4832</v>
      </c>
      <c r="AT548" t="s">
        <v>10083</v>
      </c>
      <c r="AU548">
        <v>2010</v>
      </c>
      <c r="AV548">
        <v>115</v>
      </c>
      <c r="AW548" t="s">
        <v>74</v>
      </c>
      <c r="AX548" t="s">
        <v>74</v>
      </c>
      <c r="AY548" t="s">
        <v>74</v>
      </c>
      <c r="AZ548" t="s">
        <v>74</v>
      </c>
      <c r="BA548" t="s">
        <v>74</v>
      </c>
      <c r="BB548" t="s">
        <v>74</v>
      </c>
      <c r="BC548" t="s">
        <v>74</v>
      </c>
      <c r="BD548" t="s">
        <v>10119</v>
      </c>
      <c r="BE548" t="s">
        <v>10120</v>
      </c>
      <c r="BF548" t="str">
        <f>HYPERLINK("http://dx.doi.org/10.1029/2009JB006434","http://dx.doi.org/10.1029/2009JB006434")</f>
        <v>http://dx.doi.org/10.1029/2009JB006434</v>
      </c>
      <c r="BG548" t="s">
        <v>74</v>
      </c>
      <c r="BH548" t="s">
        <v>74</v>
      </c>
      <c r="BI548">
        <v>29</v>
      </c>
      <c r="BJ548" t="s">
        <v>558</v>
      </c>
      <c r="BK548" t="s">
        <v>100</v>
      </c>
      <c r="BL548" t="s">
        <v>558</v>
      </c>
      <c r="BM548" t="s">
        <v>10121</v>
      </c>
      <c r="BN548" t="s">
        <v>74</v>
      </c>
      <c r="BO548" t="s">
        <v>394</v>
      </c>
      <c r="BP548" t="s">
        <v>74</v>
      </c>
      <c r="BQ548" t="s">
        <v>74</v>
      </c>
      <c r="BR548" t="s">
        <v>104</v>
      </c>
      <c r="BS548" t="s">
        <v>10122</v>
      </c>
      <c r="BT548" t="str">
        <f>HYPERLINK("https%3A%2F%2Fwww.webofscience.com%2Fwos%2Fwoscc%2Ffull-record%2FWOS:000280336500001","View Full Record in Web of Science")</f>
        <v>View Full Record in Web of Science</v>
      </c>
    </row>
    <row r="549" spans="1:72" x14ac:dyDescent="0.15">
      <c r="A549" t="s">
        <v>72</v>
      </c>
      <c r="B549" t="s">
        <v>10123</v>
      </c>
      <c r="C549" t="s">
        <v>74</v>
      </c>
      <c r="D549" t="s">
        <v>74</v>
      </c>
      <c r="E549" t="s">
        <v>74</v>
      </c>
      <c r="F549" t="s">
        <v>10124</v>
      </c>
      <c r="G549" t="s">
        <v>74</v>
      </c>
      <c r="H549" t="s">
        <v>74</v>
      </c>
      <c r="I549" t="s">
        <v>10125</v>
      </c>
      <c r="J549" t="s">
        <v>4560</v>
      </c>
      <c r="K549" t="s">
        <v>74</v>
      </c>
      <c r="L549" t="s">
        <v>74</v>
      </c>
      <c r="M549" t="s">
        <v>78</v>
      </c>
      <c r="N549" t="s">
        <v>79</v>
      </c>
      <c r="O549" t="s">
        <v>74</v>
      </c>
      <c r="P549" t="s">
        <v>74</v>
      </c>
      <c r="Q549" t="s">
        <v>74</v>
      </c>
      <c r="R549" t="s">
        <v>74</v>
      </c>
      <c r="S549" t="s">
        <v>74</v>
      </c>
      <c r="T549" t="s">
        <v>74</v>
      </c>
      <c r="U549" t="s">
        <v>10126</v>
      </c>
      <c r="V549" t="s">
        <v>10127</v>
      </c>
      <c r="W549" t="s">
        <v>10128</v>
      </c>
      <c r="X549" t="s">
        <v>10129</v>
      </c>
      <c r="Y549" t="s">
        <v>10130</v>
      </c>
      <c r="Z549" t="s">
        <v>10131</v>
      </c>
      <c r="AA549" t="s">
        <v>10132</v>
      </c>
      <c r="AB549" t="s">
        <v>10133</v>
      </c>
      <c r="AC549" t="s">
        <v>10134</v>
      </c>
      <c r="AD549" t="s">
        <v>10135</v>
      </c>
      <c r="AE549" t="s">
        <v>10136</v>
      </c>
      <c r="AF549" t="s">
        <v>74</v>
      </c>
      <c r="AG549">
        <v>71</v>
      </c>
      <c r="AH549">
        <v>27</v>
      </c>
      <c r="AI549">
        <v>27</v>
      </c>
      <c r="AJ549">
        <v>0</v>
      </c>
      <c r="AK549">
        <v>14</v>
      </c>
      <c r="AL549" t="s">
        <v>1521</v>
      </c>
      <c r="AM549" t="s">
        <v>1522</v>
      </c>
      <c r="AN549" t="s">
        <v>1523</v>
      </c>
      <c r="AO549" t="s">
        <v>4571</v>
      </c>
      <c r="AP549" t="s">
        <v>4572</v>
      </c>
      <c r="AQ549" t="s">
        <v>74</v>
      </c>
      <c r="AR549" t="s">
        <v>4560</v>
      </c>
      <c r="AS549" t="s">
        <v>4573</v>
      </c>
      <c r="AT549" t="s">
        <v>10083</v>
      </c>
      <c r="AU549">
        <v>2010</v>
      </c>
      <c r="AV549">
        <v>25</v>
      </c>
      <c r="AW549" t="s">
        <v>74</v>
      </c>
      <c r="AX549" t="s">
        <v>74</v>
      </c>
      <c r="AY549" t="s">
        <v>74</v>
      </c>
      <c r="AZ549" t="s">
        <v>74</v>
      </c>
      <c r="BA549" t="s">
        <v>74</v>
      </c>
      <c r="BB549" t="s">
        <v>74</v>
      </c>
      <c r="BC549" t="s">
        <v>74</v>
      </c>
      <c r="BD549" t="s">
        <v>10137</v>
      </c>
      <c r="BE549" t="s">
        <v>10138</v>
      </c>
      <c r="BF549" t="str">
        <f>HYPERLINK("http://dx.doi.org/10.1029/2009PA001854","http://dx.doi.org/10.1029/2009PA001854")</f>
        <v>http://dx.doi.org/10.1029/2009PA001854</v>
      </c>
      <c r="BG549" t="s">
        <v>74</v>
      </c>
      <c r="BH549" t="s">
        <v>74</v>
      </c>
      <c r="BI549">
        <v>15</v>
      </c>
      <c r="BJ549" t="s">
        <v>4576</v>
      </c>
      <c r="BK549" t="s">
        <v>100</v>
      </c>
      <c r="BL549" t="s">
        <v>4577</v>
      </c>
      <c r="BM549" t="s">
        <v>10139</v>
      </c>
      <c r="BN549" t="s">
        <v>74</v>
      </c>
      <c r="BO549" t="s">
        <v>1533</v>
      </c>
      <c r="BP549" t="s">
        <v>74</v>
      </c>
      <c r="BQ549" t="s">
        <v>74</v>
      </c>
      <c r="BR549" t="s">
        <v>104</v>
      </c>
      <c r="BS549" t="s">
        <v>10140</v>
      </c>
      <c r="BT549" t="str">
        <f>HYPERLINK("https%3A%2F%2Fwww.webofscience.com%2Fwos%2Fwoscc%2Ffull-record%2FWOS:000280338500001","View Full Record in Web of Science")</f>
        <v>View Full Record in Web of Science</v>
      </c>
    </row>
    <row r="550" spans="1:72" x14ac:dyDescent="0.15">
      <c r="A550" t="s">
        <v>72</v>
      </c>
      <c r="B550" t="s">
        <v>10141</v>
      </c>
      <c r="C550" t="s">
        <v>74</v>
      </c>
      <c r="D550" t="s">
        <v>74</v>
      </c>
      <c r="E550" t="s">
        <v>74</v>
      </c>
      <c r="F550" t="s">
        <v>10142</v>
      </c>
      <c r="G550" t="s">
        <v>74</v>
      </c>
      <c r="H550" t="s">
        <v>74</v>
      </c>
      <c r="I550" t="s">
        <v>10143</v>
      </c>
      <c r="J550" t="s">
        <v>10144</v>
      </c>
      <c r="K550" t="s">
        <v>74</v>
      </c>
      <c r="L550" t="s">
        <v>74</v>
      </c>
      <c r="M550" t="s">
        <v>78</v>
      </c>
      <c r="N550" t="s">
        <v>79</v>
      </c>
      <c r="O550" t="s">
        <v>74</v>
      </c>
      <c r="P550" t="s">
        <v>74</v>
      </c>
      <c r="Q550" t="s">
        <v>74</v>
      </c>
      <c r="R550" t="s">
        <v>74</v>
      </c>
      <c r="S550" t="s">
        <v>74</v>
      </c>
      <c r="T550" t="s">
        <v>74</v>
      </c>
      <c r="U550" t="s">
        <v>10145</v>
      </c>
      <c r="V550" t="s">
        <v>10146</v>
      </c>
      <c r="W550" t="s">
        <v>10147</v>
      </c>
      <c r="X550" t="s">
        <v>10148</v>
      </c>
      <c r="Y550" t="s">
        <v>10149</v>
      </c>
      <c r="Z550" t="s">
        <v>10150</v>
      </c>
      <c r="AA550" t="s">
        <v>10151</v>
      </c>
      <c r="AB550" t="s">
        <v>10152</v>
      </c>
      <c r="AC550" t="s">
        <v>74</v>
      </c>
      <c r="AD550" t="s">
        <v>74</v>
      </c>
      <c r="AE550" t="s">
        <v>74</v>
      </c>
      <c r="AF550" t="s">
        <v>74</v>
      </c>
      <c r="AG550">
        <v>66</v>
      </c>
      <c r="AH550">
        <v>45</v>
      </c>
      <c r="AI550">
        <v>51</v>
      </c>
      <c r="AJ550">
        <v>2</v>
      </c>
      <c r="AK550">
        <v>31</v>
      </c>
      <c r="AL550" t="s">
        <v>1521</v>
      </c>
      <c r="AM550" t="s">
        <v>1522</v>
      </c>
      <c r="AN550" t="s">
        <v>1523</v>
      </c>
      <c r="AO550" t="s">
        <v>10153</v>
      </c>
      <c r="AP550" t="s">
        <v>10154</v>
      </c>
      <c r="AQ550" t="s">
        <v>74</v>
      </c>
      <c r="AR550" t="s">
        <v>10155</v>
      </c>
      <c r="AS550" t="s">
        <v>10156</v>
      </c>
      <c r="AT550" t="s">
        <v>10083</v>
      </c>
      <c r="AU550">
        <v>2010</v>
      </c>
      <c r="AV550">
        <v>46</v>
      </c>
      <c r="AW550" t="s">
        <v>74</v>
      </c>
      <c r="AX550" t="s">
        <v>74</v>
      </c>
      <c r="AY550" t="s">
        <v>74</v>
      </c>
      <c r="AZ550" t="s">
        <v>74</v>
      </c>
      <c r="BA550" t="s">
        <v>74</v>
      </c>
      <c r="BB550" t="s">
        <v>74</v>
      </c>
      <c r="BC550" t="s">
        <v>74</v>
      </c>
      <c r="BD550" t="s">
        <v>10157</v>
      </c>
      <c r="BE550" t="s">
        <v>10158</v>
      </c>
      <c r="BF550" t="str">
        <f>HYPERLINK("http://dx.doi.org/10.1029/2009WR008558","http://dx.doi.org/10.1029/2009WR008558")</f>
        <v>http://dx.doi.org/10.1029/2009WR008558</v>
      </c>
      <c r="BG550" t="s">
        <v>74</v>
      </c>
      <c r="BH550" t="s">
        <v>74</v>
      </c>
      <c r="BI550">
        <v>14</v>
      </c>
      <c r="BJ550" t="s">
        <v>10159</v>
      </c>
      <c r="BK550" t="s">
        <v>100</v>
      </c>
      <c r="BL550" t="s">
        <v>5444</v>
      </c>
      <c r="BM550" t="s">
        <v>10160</v>
      </c>
      <c r="BN550" t="s">
        <v>74</v>
      </c>
      <c r="BO550" t="s">
        <v>394</v>
      </c>
      <c r="BP550" t="s">
        <v>74</v>
      </c>
      <c r="BQ550" t="s">
        <v>74</v>
      </c>
      <c r="BR550" t="s">
        <v>104</v>
      </c>
      <c r="BS550" t="s">
        <v>10161</v>
      </c>
      <c r="BT550" t="str">
        <f>HYPERLINK("https%3A%2F%2Fwww.webofscience.com%2Fwos%2Fwoscc%2Ffull-record%2FWOS:000280339700002","View Full Record in Web of Science")</f>
        <v>View Full Record in Web of Science</v>
      </c>
    </row>
    <row r="551" spans="1:72" x14ac:dyDescent="0.15">
      <c r="A551" t="s">
        <v>72</v>
      </c>
      <c r="B551" t="s">
        <v>10162</v>
      </c>
      <c r="C551" t="s">
        <v>74</v>
      </c>
      <c r="D551" t="s">
        <v>74</v>
      </c>
      <c r="E551" t="s">
        <v>74</v>
      </c>
      <c r="F551" t="s">
        <v>10163</v>
      </c>
      <c r="G551" t="s">
        <v>74</v>
      </c>
      <c r="H551" t="s">
        <v>74</v>
      </c>
      <c r="I551" t="s">
        <v>10164</v>
      </c>
      <c r="J551" t="s">
        <v>10165</v>
      </c>
      <c r="K551" t="s">
        <v>74</v>
      </c>
      <c r="L551" t="s">
        <v>74</v>
      </c>
      <c r="M551" t="s">
        <v>78</v>
      </c>
      <c r="N551" t="s">
        <v>79</v>
      </c>
      <c r="O551" t="s">
        <v>74</v>
      </c>
      <c r="P551" t="s">
        <v>74</v>
      </c>
      <c r="Q551" t="s">
        <v>74</v>
      </c>
      <c r="R551" t="s">
        <v>74</v>
      </c>
      <c r="S551" t="s">
        <v>74</v>
      </c>
      <c r="T551" t="s">
        <v>10166</v>
      </c>
      <c r="U551" t="s">
        <v>10167</v>
      </c>
      <c r="V551" t="s">
        <v>10168</v>
      </c>
      <c r="W551" t="s">
        <v>10169</v>
      </c>
      <c r="X551" t="s">
        <v>10170</v>
      </c>
      <c r="Y551" t="s">
        <v>10171</v>
      </c>
      <c r="Z551" t="s">
        <v>10172</v>
      </c>
      <c r="AA551" t="s">
        <v>10173</v>
      </c>
      <c r="AB551" t="s">
        <v>10174</v>
      </c>
      <c r="AC551" t="s">
        <v>10175</v>
      </c>
      <c r="AD551" t="s">
        <v>10176</v>
      </c>
      <c r="AE551" t="s">
        <v>10177</v>
      </c>
      <c r="AF551" t="s">
        <v>74</v>
      </c>
      <c r="AG551">
        <v>25</v>
      </c>
      <c r="AH551">
        <v>15</v>
      </c>
      <c r="AI551">
        <v>18</v>
      </c>
      <c r="AJ551">
        <v>0</v>
      </c>
      <c r="AK551">
        <v>16</v>
      </c>
      <c r="AL551" t="s">
        <v>1136</v>
      </c>
      <c r="AM551" t="s">
        <v>1137</v>
      </c>
      <c r="AN551" t="s">
        <v>1138</v>
      </c>
      <c r="AO551" t="s">
        <v>10178</v>
      </c>
      <c r="AP551" t="s">
        <v>10179</v>
      </c>
      <c r="AQ551" t="s">
        <v>74</v>
      </c>
      <c r="AR551" t="s">
        <v>10180</v>
      </c>
      <c r="AS551" t="s">
        <v>10181</v>
      </c>
      <c r="AT551" t="s">
        <v>10182</v>
      </c>
      <c r="AU551">
        <v>2010</v>
      </c>
      <c r="AV551">
        <v>398</v>
      </c>
      <c r="AW551">
        <v>1</v>
      </c>
      <c r="AX551" t="s">
        <v>74</v>
      </c>
      <c r="AY551" t="s">
        <v>74</v>
      </c>
      <c r="AZ551" t="s">
        <v>74</v>
      </c>
      <c r="BA551" t="s">
        <v>74</v>
      </c>
      <c r="BB551">
        <v>13</v>
      </c>
      <c r="BC551">
        <v>18</v>
      </c>
      <c r="BD551" t="s">
        <v>74</v>
      </c>
      <c r="BE551" t="s">
        <v>10183</v>
      </c>
      <c r="BF551" t="str">
        <f>HYPERLINK("http://dx.doi.org/10.1016/j.bbrc.2010.06.002","http://dx.doi.org/10.1016/j.bbrc.2010.06.002")</f>
        <v>http://dx.doi.org/10.1016/j.bbrc.2010.06.002</v>
      </c>
      <c r="BG551" t="s">
        <v>74</v>
      </c>
      <c r="BH551" t="s">
        <v>74</v>
      </c>
      <c r="BI551">
        <v>6</v>
      </c>
      <c r="BJ551" t="s">
        <v>6744</v>
      </c>
      <c r="BK551" t="s">
        <v>100</v>
      </c>
      <c r="BL551" t="s">
        <v>6744</v>
      </c>
      <c r="BM551" t="s">
        <v>10184</v>
      </c>
      <c r="BN551">
        <v>20547139</v>
      </c>
      <c r="BO551" t="s">
        <v>74</v>
      </c>
      <c r="BP551" t="s">
        <v>74</v>
      </c>
      <c r="BQ551" t="s">
        <v>74</v>
      </c>
      <c r="BR551" t="s">
        <v>104</v>
      </c>
      <c r="BS551" t="s">
        <v>10185</v>
      </c>
      <c r="BT551" t="str">
        <f>HYPERLINK("https%3A%2F%2Fwww.webofscience.com%2Fwos%2Fwoscc%2Ffull-record%2FWOS:000280377300003","View Full Record in Web of Science")</f>
        <v>View Full Record in Web of Science</v>
      </c>
    </row>
    <row r="552" spans="1:72" x14ac:dyDescent="0.15">
      <c r="A552" t="s">
        <v>72</v>
      </c>
      <c r="B552" t="s">
        <v>10186</v>
      </c>
      <c r="C552" t="s">
        <v>74</v>
      </c>
      <c r="D552" t="s">
        <v>74</v>
      </c>
      <c r="E552" t="s">
        <v>74</v>
      </c>
      <c r="F552" t="s">
        <v>10187</v>
      </c>
      <c r="G552" t="s">
        <v>74</v>
      </c>
      <c r="H552" t="s">
        <v>74</v>
      </c>
      <c r="I552" t="s">
        <v>10188</v>
      </c>
      <c r="J552" t="s">
        <v>10189</v>
      </c>
      <c r="K552" t="s">
        <v>74</v>
      </c>
      <c r="L552" t="s">
        <v>74</v>
      </c>
      <c r="M552" t="s">
        <v>78</v>
      </c>
      <c r="N552" t="s">
        <v>79</v>
      </c>
      <c r="O552" t="s">
        <v>74</v>
      </c>
      <c r="P552" t="s">
        <v>74</v>
      </c>
      <c r="Q552" t="s">
        <v>74</v>
      </c>
      <c r="R552" t="s">
        <v>74</v>
      </c>
      <c r="S552" t="s">
        <v>74</v>
      </c>
      <c r="T552" t="s">
        <v>74</v>
      </c>
      <c r="U552" t="s">
        <v>10190</v>
      </c>
      <c r="V552" t="s">
        <v>10191</v>
      </c>
      <c r="W552" t="s">
        <v>10192</v>
      </c>
      <c r="X552" t="s">
        <v>10193</v>
      </c>
      <c r="Y552" t="s">
        <v>10194</v>
      </c>
      <c r="Z552" t="s">
        <v>74</v>
      </c>
      <c r="AA552" t="s">
        <v>10195</v>
      </c>
      <c r="AB552" t="s">
        <v>10196</v>
      </c>
      <c r="AC552" t="s">
        <v>2115</v>
      </c>
      <c r="AD552" t="s">
        <v>2116</v>
      </c>
      <c r="AE552" t="s">
        <v>74</v>
      </c>
      <c r="AF552" t="s">
        <v>74</v>
      </c>
      <c r="AG552">
        <v>35</v>
      </c>
      <c r="AH552">
        <v>171</v>
      </c>
      <c r="AI552">
        <v>195</v>
      </c>
      <c r="AJ552">
        <v>0</v>
      </c>
      <c r="AK552">
        <v>13</v>
      </c>
      <c r="AL552" t="s">
        <v>2117</v>
      </c>
      <c r="AM552" t="s">
        <v>2118</v>
      </c>
      <c r="AN552" t="s">
        <v>2119</v>
      </c>
      <c r="AO552" t="s">
        <v>10197</v>
      </c>
      <c r="AP552" t="s">
        <v>10198</v>
      </c>
      <c r="AQ552" t="s">
        <v>74</v>
      </c>
      <c r="AR552" t="s">
        <v>10199</v>
      </c>
      <c r="AS552" t="s">
        <v>10200</v>
      </c>
      <c r="AT552" t="s">
        <v>10182</v>
      </c>
      <c r="AU552">
        <v>2010</v>
      </c>
      <c r="AV552">
        <v>82</v>
      </c>
      <c r="AW552">
        <v>2</v>
      </c>
      <c r="AX552" t="s">
        <v>74</v>
      </c>
      <c r="AY552" t="s">
        <v>74</v>
      </c>
      <c r="AZ552" t="s">
        <v>74</v>
      </c>
      <c r="BA552" t="s">
        <v>74</v>
      </c>
      <c r="BB552" t="s">
        <v>74</v>
      </c>
      <c r="BC552" t="s">
        <v>74</v>
      </c>
      <c r="BD552">
        <v>22004</v>
      </c>
      <c r="BE552" t="s">
        <v>10201</v>
      </c>
      <c r="BF552" t="str">
        <f>HYPERLINK("http://dx.doi.org/10.1103/PhysRevD.82.022004","http://dx.doi.org/10.1103/PhysRevD.82.022004")</f>
        <v>http://dx.doi.org/10.1103/PhysRevD.82.022004</v>
      </c>
      <c r="BG552" t="s">
        <v>74</v>
      </c>
      <c r="BH552" t="s">
        <v>74</v>
      </c>
      <c r="BI552">
        <v>7</v>
      </c>
      <c r="BJ552" t="s">
        <v>10202</v>
      </c>
      <c r="BK552" t="s">
        <v>100</v>
      </c>
      <c r="BL552" t="s">
        <v>10203</v>
      </c>
      <c r="BM552" t="s">
        <v>10204</v>
      </c>
      <c r="BN552" t="s">
        <v>74</v>
      </c>
      <c r="BO552" t="s">
        <v>134</v>
      </c>
      <c r="BP552" t="s">
        <v>74</v>
      </c>
      <c r="BQ552" t="s">
        <v>74</v>
      </c>
      <c r="BR552" t="s">
        <v>104</v>
      </c>
      <c r="BS552" t="s">
        <v>10205</v>
      </c>
      <c r="BT552" t="str">
        <f>HYPERLINK("https%3A%2F%2Fwww.webofscience.com%2Fwos%2Fwoscc%2Ffull-record%2FWOS:000280007500001","View Full Record in Web of Science")</f>
        <v>View Full Record in Web of Science</v>
      </c>
    </row>
    <row r="553" spans="1:72" x14ac:dyDescent="0.15">
      <c r="A553" t="s">
        <v>72</v>
      </c>
      <c r="B553" t="s">
        <v>10206</v>
      </c>
      <c r="C553" t="s">
        <v>74</v>
      </c>
      <c r="D553" t="s">
        <v>74</v>
      </c>
      <c r="E553" t="s">
        <v>74</v>
      </c>
      <c r="F553" t="s">
        <v>10207</v>
      </c>
      <c r="G553" t="s">
        <v>74</v>
      </c>
      <c r="H553" t="s">
        <v>74</v>
      </c>
      <c r="I553" t="s">
        <v>10208</v>
      </c>
      <c r="J553" t="s">
        <v>536</v>
      </c>
      <c r="K553" t="s">
        <v>74</v>
      </c>
      <c r="L553" t="s">
        <v>74</v>
      </c>
      <c r="M553" t="s">
        <v>78</v>
      </c>
      <c r="N553" t="s">
        <v>79</v>
      </c>
      <c r="O553" t="s">
        <v>74</v>
      </c>
      <c r="P553" t="s">
        <v>74</v>
      </c>
      <c r="Q553" t="s">
        <v>74</v>
      </c>
      <c r="R553" t="s">
        <v>74</v>
      </c>
      <c r="S553" t="s">
        <v>74</v>
      </c>
      <c r="T553" t="s">
        <v>10209</v>
      </c>
      <c r="U553" t="s">
        <v>10210</v>
      </c>
      <c r="V553" t="s">
        <v>10211</v>
      </c>
      <c r="W553" t="s">
        <v>10212</v>
      </c>
      <c r="X553" t="s">
        <v>10213</v>
      </c>
      <c r="Y553" t="s">
        <v>10214</v>
      </c>
      <c r="Z553" t="s">
        <v>10215</v>
      </c>
      <c r="AA553" t="s">
        <v>10216</v>
      </c>
      <c r="AB553" t="s">
        <v>10217</v>
      </c>
      <c r="AC553" t="s">
        <v>10218</v>
      </c>
      <c r="AD553" t="s">
        <v>10219</v>
      </c>
      <c r="AE553" t="s">
        <v>10220</v>
      </c>
      <c r="AF553" t="s">
        <v>74</v>
      </c>
      <c r="AG553">
        <v>40</v>
      </c>
      <c r="AH553">
        <v>83</v>
      </c>
      <c r="AI553">
        <v>89</v>
      </c>
      <c r="AJ553">
        <v>2</v>
      </c>
      <c r="AK553">
        <v>19</v>
      </c>
      <c r="AL553" t="s">
        <v>1038</v>
      </c>
      <c r="AM553" t="s">
        <v>550</v>
      </c>
      <c r="AN553" t="s">
        <v>1039</v>
      </c>
      <c r="AO553" t="s">
        <v>552</v>
      </c>
      <c r="AP553" t="s">
        <v>2999</v>
      </c>
      <c r="AQ553" t="s">
        <v>74</v>
      </c>
      <c r="AR553" t="s">
        <v>553</v>
      </c>
      <c r="AS553" t="s">
        <v>554</v>
      </c>
      <c r="AT553" t="s">
        <v>10221</v>
      </c>
      <c r="AU553">
        <v>2010</v>
      </c>
      <c r="AV553">
        <v>296</v>
      </c>
      <c r="AW553" t="s">
        <v>4513</v>
      </c>
      <c r="AX553" t="s">
        <v>74</v>
      </c>
      <c r="AY553" t="s">
        <v>74</v>
      </c>
      <c r="AZ553" t="s">
        <v>74</v>
      </c>
      <c r="BA553" t="s">
        <v>74</v>
      </c>
      <c r="BB553">
        <v>115</v>
      </c>
      <c r="BC553">
        <v>123</v>
      </c>
      <c r="BD553" t="s">
        <v>74</v>
      </c>
      <c r="BE553" t="s">
        <v>10222</v>
      </c>
      <c r="BF553" t="str">
        <f>HYPERLINK("http://dx.doi.org/10.1016/j.epsl.2010.04.054","http://dx.doi.org/10.1016/j.epsl.2010.04.054")</f>
        <v>http://dx.doi.org/10.1016/j.epsl.2010.04.054</v>
      </c>
      <c r="BG553" t="s">
        <v>74</v>
      </c>
      <c r="BH553" t="s">
        <v>74</v>
      </c>
      <c r="BI553">
        <v>9</v>
      </c>
      <c r="BJ553" t="s">
        <v>558</v>
      </c>
      <c r="BK553" t="s">
        <v>100</v>
      </c>
      <c r="BL553" t="s">
        <v>558</v>
      </c>
      <c r="BM553" t="s">
        <v>10223</v>
      </c>
      <c r="BN553" t="s">
        <v>74</v>
      </c>
      <c r="BO553" t="s">
        <v>74</v>
      </c>
      <c r="BP553" t="s">
        <v>74</v>
      </c>
      <c r="BQ553" t="s">
        <v>74</v>
      </c>
      <c r="BR553" t="s">
        <v>104</v>
      </c>
      <c r="BS553" t="s">
        <v>10224</v>
      </c>
      <c r="BT553" t="str">
        <f>HYPERLINK("https%3A%2F%2Fwww.webofscience.com%2Fwos%2Fwoscc%2Ffull-record%2FWOS:000279905800011","View Full Record in Web of Science")</f>
        <v>View Full Record in Web of Science</v>
      </c>
    </row>
    <row r="554" spans="1:72" x14ac:dyDescent="0.15">
      <c r="A554" t="s">
        <v>72</v>
      </c>
      <c r="B554" t="s">
        <v>10225</v>
      </c>
      <c r="C554" t="s">
        <v>74</v>
      </c>
      <c r="D554" t="s">
        <v>74</v>
      </c>
      <c r="E554" t="s">
        <v>74</v>
      </c>
      <c r="F554" t="s">
        <v>10226</v>
      </c>
      <c r="G554" t="s">
        <v>74</v>
      </c>
      <c r="H554" t="s">
        <v>74</v>
      </c>
      <c r="I554" t="s">
        <v>10227</v>
      </c>
      <c r="J554" t="s">
        <v>1538</v>
      </c>
      <c r="K554" t="s">
        <v>74</v>
      </c>
      <c r="L554" t="s">
        <v>74</v>
      </c>
      <c r="M554" t="s">
        <v>78</v>
      </c>
      <c r="N554" t="s">
        <v>79</v>
      </c>
      <c r="O554" t="s">
        <v>74</v>
      </c>
      <c r="P554" t="s">
        <v>74</v>
      </c>
      <c r="Q554" t="s">
        <v>74</v>
      </c>
      <c r="R554" t="s">
        <v>74</v>
      </c>
      <c r="S554" t="s">
        <v>74</v>
      </c>
      <c r="T554" t="s">
        <v>74</v>
      </c>
      <c r="U554" t="s">
        <v>10228</v>
      </c>
      <c r="V554" t="s">
        <v>10229</v>
      </c>
      <c r="W554" t="s">
        <v>10230</v>
      </c>
      <c r="X554" t="s">
        <v>1460</v>
      </c>
      <c r="Y554" t="s">
        <v>10231</v>
      </c>
      <c r="Z554" t="s">
        <v>10232</v>
      </c>
      <c r="AA554" t="s">
        <v>1618</v>
      </c>
      <c r="AB554" t="s">
        <v>1619</v>
      </c>
      <c r="AC554" t="s">
        <v>10233</v>
      </c>
      <c r="AD554" t="s">
        <v>10234</v>
      </c>
      <c r="AE554" t="s">
        <v>10235</v>
      </c>
      <c r="AF554" t="s">
        <v>74</v>
      </c>
      <c r="AG554">
        <v>29</v>
      </c>
      <c r="AH554">
        <v>22</v>
      </c>
      <c r="AI554">
        <v>27</v>
      </c>
      <c r="AJ554">
        <v>0</v>
      </c>
      <c r="AK554">
        <v>23</v>
      </c>
      <c r="AL554" t="s">
        <v>1521</v>
      </c>
      <c r="AM554" t="s">
        <v>1522</v>
      </c>
      <c r="AN554" t="s">
        <v>1523</v>
      </c>
      <c r="AO554" t="s">
        <v>1550</v>
      </c>
      <c r="AP554" t="s">
        <v>1551</v>
      </c>
      <c r="AQ554" t="s">
        <v>74</v>
      </c>
      <c r="AR554" t="s">
        <v>1552</v>
      </c>
      <c r="AS554" t="s">
        <v>1553</v>
      </c>
      <c r="AT554" t="s">
        <v>10221</v>
      </c>
      <c r="AU554">
        <v>2010</v>
      </c>
      <c r="AV554">
        <v>37</v>
      </c>
      <c r="AW554" t="s">
        <v>74</v>
      </c>
      <c r="AX554" t="s">
        <v>74</v>
      </c>
      <c r="AY554" t="s">
        <v>74</v>
      </c>
      <c r="AZ554" t="s">
        <v>74</v>
      </c>
      <c r="BA554" t="s">
        <v>74</v>
      </c>
      <c r="BB554" t="s">
        <v>74</v>
      </c>
      <c r="BC554" t="s">
        <v>74</v>
      </c>
      <c r="BD554" t="s">
        <v>10236</v>
      </c>
      <c r="BE554" t="s">
        <v>10237</v>
      </c>
      <c r="BF554" t="str">
        <f>HYPERLINK("http://dx.doi.org/10.1029/2010GL043360","http://dx.doi.org/10.1029/2010GL043360")</f>
        <v>http://dx.doi.org/10.1029/2010GL043360</v>
      </c>
      <c r="BG554" t="s">
        <v>74</v>
      </c>
      <c r="BH554" t="s">
        <v>74</v>
      </c>
      <c r="BI554">
        <v>5</v>
      </c>
      <c r="BJ554" t="s">
        <v>1194</v>
      </c>
      <c r="BK554" t="s">
        <v>100</v>
      </c>
      <c r="BL554" t="s">
        <v>807</v>
      </c>
      <c r="BM554" t="s">
        <v>10238</v>
      </c>
      <c r="BN554" t="s">
        <v>74</v>
      </c>
      <c r="BO554" t="s">
        <v>10239</v>
      </c>
      <c r="BP554" t="s">
        <v>74</v>
      </c>
      <c r="BQ554" t="s">
        <v>74</v>
      </c>
      <c r="BR554" t="s">
        <v>104</v>
      </c>
      <c r="BS554" t="s">
        <v>10240</v>
      </c>
      <c r="BT554" t="str">
        <f>HYPERLINK("https%3A%2F%2Fwww.webofscience.com%2Fwos%2Fwoscc%2Ffull-record%2FWOS:000280043900002","View Full Record in Web of Science")</f>
        <v>View Full Record in Web of Science</v>
      </c>
    </row>
    <row r="555" spans="1:72" x14ac:dyDescent="0.15">
      <c r="A555" t="s">
        <v>72</v>
      </c>
      <c r="B555" t="s">
        <v>10241</v>
      </c>
      <c r="C555" t="s">
        <v>74</v>
      </c>
      <c r="D555" t="s">
        <v>74</v>
      </c>
      <c r="E555" t="s">
        <v>74</v>
      </c>
      <c r="F555" t="s">
        <v>10242</v>
      </c>
      <c r="G555" t="s">
        <v>74</v>
      </c>
      <c r="H555" t="s">
        <v>74</v>
      </c>
      <c r="I555" t="s">
        <v>10243</v>
      </c>
      <c r="J555" t="s">
        <v>762</v>
      </c>
      <c r="K555" t="s">
        <v>74</v>
      </c>
      <c r="L555" t="s">
        <v>74</v>
      </c>
      <c r="M555" t="s">
        <v>78</v>
      </c>
      <c r="N555" t="s">
        <v>79</v>
      </c>
      <c r="O555" t="s">
        <v>74</v>
      </c>
      <c r="P555" t="s">
        <v>74</v>
      </c>
      <c r="Q555" t="s">
        <v>74</v>
      </c>
      <c r="R555" t="s">
        <v>74</v>
      </c>
      <c r="S555" t="s">
        <v>74</v>
      </c>
      <c r="T555" t="s">
        <v>10244</v>
      </c>
      <c r="U555" t="s">
        <v>10245</v>
      </c>
      <c r="V555" t="s">
        <v>10246</v>
      </c>
      <c r="W555" t="s">
        <v>10247</v>
      </c>
      <c r="X555" t="s">
        <v>10248</v>
      </c>
      <c r="Y555" t="s">
        <v>10249</v>
      </c>
      <c r="Z555" t="s">
        <v>10250</v>
      </c>
      <c r="AA555" t="s">
        <v>10251</v>
      </c>
      <c r="AB555" t="s">
        <v>10252</v>
      </c>
      <c r="AC555" t="s">
        <v>10253</v>
      </c>
      <c r="AD555" t="s">
        <v>10254</v>
      </c>
      <c r="AE555" t="s">
        <v>10255</v>
      </c>
      <c r="AF555" t="s">
        <v>74</v>
      </c>
      <c r="AG555">
        <v>40</v>
      </c>
      <c r="AH555">
        <v>41</v>
      </c>
      <c r="AI555">
        <v>44</v>
      </c>
      <c r="AJ555">
        <v>0</v>
      </c>
      <c r="AK555">
        <v>42</v>
      </c>
      <c r="AL555" t="s">
        <v>10256</v>
      </c>
      <c r="AM555" t="s">
        <v>412</v>
      </c>
      <c r="AN555" t="s">
        <v>10257</v>
      </c>
      <c r="AO555" t="s">
        <v>777</v>
      </c>
      <c r="AP555" t="s">
        <v>74</v>
      </c>
      <c r="AQ555" t="s">
        <v>74</v>
      </c>
      <c r="AR555" t="s">
        <v>779</v>
      </c>
      <c r="AS555" t="s">
        <v>780</v>
      </c>
      <c r="AT555" t="s">
        <v>10221</v>
      </c>
      <c r="AU555">
        <v>2010</v>
      </c>
      <c r="AV555">
        <v>213</v>
      </c>
      <c r="AW555">
        <v>14</v>
      </c>
      <c r="AX555" t="s">
        <v>74</v>
      </c>
      <c r="AY555" t="s">
        <v>74</v>
      </c>
      <c r="AZ555" t="s">
        <v>74</v>
      </c>
      <c r="BA555" t="s">
        <v>74</v>
      </c>
      <c r="BB555">
        <v>2365</v>
      </c>
      <c r="BC555">
        <v>2371</v>
      </c>
      <c r="BD555" t="s">
        <v>74</v>
      </c>
      <c r="BE555" t="s">
        <v>10258</v>
      </c>
      <c r="BF555" t="str">
        <f>HYPERLINK("http://dx.doi.org/10.1242/jeb.042267","http://dx.doi.org/10.1242/jeb.042267")</f>
        <v>http://dx.doi.org/10.1242/jeb.042267</v>
      </c>
      <c r="BG555" t="s">
        <v>74</v>
      </c>
      <c r="BH555" t="s">
        <v>74</v>
      </c>
      <c r="BI555">
        <v>7</v>
      </c>
      <c r="BJ555" t="s">
        <v>346</v>
      </c>
      <c r="BK555" t="s">
        <v>100</v>
      </c>
      <c r="BL555" t="s">
        <v>347</v>
      </c>
      <c r="BM555" t="s">
        <v>10259</v>
      </c>
      <c r="BN555">
        <v>20581265</v>
      </c>
      <c r="BO555" t="s">
        <v>394</v>
      </c>
      <c r="BP555" t="s">
        <v>74</v>
      </c>
      <c r="BQ555" t="s">
        <v>74</v>
      </c>
      <c r="BR555" t="s">
        <v>104</v>
      </c>
      <c r="BS555" t="s">
        <v>10260</v>
      </c>
      <c r="BT555" t="str">
        <f>HYPERLINK("https%3A%2F%2Fwww.webofscience.com%2Fwos%2Fwoscc%2Ffull-record%2FWOS:000279180700007","View Full Record in Web of Science")</f>
        <v>View Full Record in Web of Science</v>
      </c>
    </row>
    <row r="556" spans="1:72" x14ac:dyDescent="0.15">
      <c r="A556" t="s">
        <v>72</v>
      </c>
      <c r="B556" t="s">
        <v>10261</v>
      </c>
      <c r="C556" t="s">
        <v>74</v>
      </c>
      <c r="D556" t="s">
        <v>74</v>
      </c>
      <c r="E556" t="s">
        <v>74</v>
      </c>
      <c r="F556" t="s">
        <v>10262</v>
      </c>
      <c r="G556" t="s">
        <v>74</v>
      </c>
      <c r="H556" t="s">
        <v>74</v>
      </c>
      <c r="I556" t="s">
        <v>10263</v>
      </c>
      <c r="J556" t="s">
        <v>4495</v>
      </c>
      <c r="K556" t="s">
        <v>74</v>
      </c>
      <c r="L556" t="s">
        <v>74</v>
      </c>
      <c r="M556" t="s">
        <v>78</v>
      </c>
      <c r="N556" t="s">
        <v>79</v>
      </c>
      <c r="O556" t="s">
        <v>74</v>
      </c>
      <c r="P556" t="s">
        <v>74</v>
      </c>
      <c r="Q556" t="s">
        <v>74</v>
      </c>
      <c r="R556" t="s">
        <v>74</v>
      </c>
      <c r="S556" t="s">
        <v>74</v>
      </c>
      <c r="T556" t="s">
        <v>10264</v>
      </c>
      <c r="U556" t="s">
        <v>10265</v>
      </c>
      <c r="V556" t="s">
        <v>10266</v>
      </c>
      <c r="W556" t="s">
        <v>10267</v>
      </c>
      <c r="X556" t="s">
        <v>690</v>
      </c>
      <c r="Y556" t="s">
        <v>10268</v>
      </c>
      <c r="Z556" t="s">
        <v>10269</v>
      </c>
      <c r="AA556" t="s">
        <v>6491</v>
      </c>
      <c r="AB556" t="s">
        <v>6492</v>
      </c>
      <c r="AC556" t="s">
        <v>10270</v>
      </c>
      <c r="AD556" t="s">
        <v>10271</v>
      </c>
      <c r="AE556" t="s">
        <v>10272</v>
      </c>
      <c r="AF556" t="s">
        <v>74</v>
      </c>
      <c r="AG556">
        <v>38</v>
      </c>
      <c r="AH556">
        <v>20</v>
      </c>
      <c r="AI556">
        <v>23</v>
      </c>
      <c r="AJ556">
        <v>3</v>
      </c>
      <c r="AK556">
        <v>26</v>
      </c>
      <c r="AL556" t="s">
        <v>549</v>
      </c>
      <c r="AM556" t="s">
        <v>550</v>
      </c>
      <c r="AN556" t="s">
        <v>551</v>
      </c>
      <c r="AO556" t="s">
        <v>4508</v>
      </c>
      <c r="AP556" t="s">
        <v>74</v>
      </c>
      <c r="AQ556" t="s">
        <v>74</v>
      </c>
      <c r="AR556" t="s">
        <v>4510</v>
      </c>
      <c r="AS556" t="s">
        <v>4511</v>
      </c>
      <c r="AT556" t="s">
        <v>10221</v>
      </c>
      <c r="AU556">
        <v>2010</v>
      </c>
      <c r="AV556">
        <v>390</v>
      </c>
      <c r="AW556">
        <v>1</v>
      </c>
      <c r="AX556" t="s">
        <v>74</v>
      </c>
      <c r="AY556" t="s">
        <v>74</v>
      </c>
      <c r="AZ556" t="s">
        <v>74</v>
      </c>
      <c r="BA556" t="s">
        <v>74</v>
      </c>
      <c r="BB556">
        <v>1</v>
      </c>
      <c r="BC556">
        <v>5</v>
      </c>
      <c r="BD556" t="s">
        <v>74</v>
      </c>
      <c r="BE556" t="s">
        <v>10273</v>
      </c>
      <c r="BF556" t="str">
        <f>HYPERLINK("http://dx.doi.org/10.1016/j.jembe.2010.04.040","http://dx.doi.org/10.1016/j.jembe.2010.04.040")</f>
        <v>http://dx.doi.org/10.1016/j.jembe.2010.04.040</v>
      </c>
      <c r="BG556" t="s">
        <v>74</v>
      </c>
      <c r="BH556" t="s">
        <v>74</v>
      </c>
      <c r="BI556">
        <v>5</v>
      </c>
      <c r="BJ556" t="s">
        <v>4515</v>
      </c>
      <c r="BK556" t="s">
        <v>100</v>
      </c>
      <c r="BL556" t="s">
        <v>4516</v>
      </c>
      <c r="BM556" t="s">
        <v>10274</v>
      </c>
      <c r="BN556" t="s">
        <v>74</v>
      </c>
      <c r="BO556" t="s">
        <v>74</v>
      </c>
      <c r="BP556" t="s">
        <v>74</v>
      </c>
      <c r="BQ556" t="s">
        <v>74</v>
      </c>
      <c r="BR556" t="s">
        <v>104</v>
      </c>
      <c r="BS556" t="s">
        <v>10275</v>
      </c>
      <c r="BT556" t="str">
        <f>HYPERLINK("https%3A%2F%2Fwww.webofscience.com%2Fwos%2Fwoscc%2Ffull-record%2FWOS:000279482400001","View Full Record in Web of Science")</f>
        <v>View Full Record in Web of Science</v>
      </c>
    </row>
    <row r="557" spans="1:72" x14ac:dyDescent="0.15">
      <c r="A557" t="s">
        <v>72</v>
      </c>
      <c r="B557" t="s">
        <v>10276</v>
      </c>
      <c r="C557" t="s">
        <v>74</v>
      </c>
      <c r="D557" t="s">
        <v>74</v>
      </c>
      <c r="E557" t="s">
        <v>74</v>
      </c>
      <c r="F557" t="s">
        <v>10277</v>
      </c>
      <c r="G557" t="s">
        <v>74</v>
      </c>
      <c r="H557" t="s">
        <v>74</v>
      </c>
      <c r="I557" t="s">
        <v>10278</v>
      </c>
      <c r="J557" t="s">
        <v>10279</v>
      </c>
      <c r="K557" t="s">
        <v>74</v>
      </c>
      <c r="L557" t="s">
        <v>74</v>
      </c>
      <c r="M557" t="s">
        <v>78</v>
      </c>
      <c r="N557" t="s">
        <v>79</v>
      </c>
      <c r="O557" t="s">
        <v>74</v>
      </c>
      <c r="P557" t="s">
        <v>74</v>
      </c>
      <c r="Q557" t="s">
        <v>74</v>
      </c>
      <c r="R557" t="s">
        <v>74</v>
      </c>
      <c r="S557" t="s">
        <v>74</v>
      </c>
      <c r="T557" t="s">
        <v>74</v>
      </c>
      <c r="U557" t="s">
        <v>10280</v>
      </c>
      <c r="V557" t="s">
        <v>10281</v>
      </c>
      <c r="W557" t="s">
        <v>10282</v>
      </c>
      <c r="X557" t="s">
        <v>10283</v>
      </c>
      <c r="Y557" t="s">
        <v>10284</v>
      </c>
      <c r="Z557" t="s">
        <v>10285</v>
      </c>
      <c r="AA557" t="s">
        <v>74</v>
      </c>
      <c r="AB557" t="s">
        <v>74</v>
      </c>
      <c r="AC557" t="s">
        <v>10286</v>
      </c>
      <c r="AD557" t="s">
        <v>10287</v>
      </c>
      <c r="AE557" t="s">
        <v>10288</v>
      </c>
      <c r="AF557" t="s">
        <v>74</v>
      </c>
      <c r="AG557">
        <v>91</v>
      </c>
      <c r="AH557">
        <v>23</v>
      </c>
      <c r="AI557">
        <v>24</v>
      </c>
      <c r="AJ557">
        <v>0</v>
      </c>
      <c r="AK557">
        <v>6</v>
      </c>
      <c r="AL557" t="s">
        <v>923</v>
      </c>
      <c r="AM557" t="s">
        <v>339</v>
      </c>
      <c r="AN557" t="s">
        <v>340</v>
      </c>
      <c r="AO557" t="s">
        <v>10289</v>
      </c>
      <c r="AP557" t="s">
        <v>10290</v>
      </c>
      <c r="AQ557" t="s">
        <v>74</v>
      </c>
      <c r="AR557" t="s">
        <v>10291</v>
      </c>
      <c r="AS557" t="s">
        <v>10292</v>
      </c>
      <c r="AT557" t="s">
        <v>10221</v>
      </c>
      <c r="AU557">
        <v>2010</v>
      </c>
      <c r="AV557" t="s">
        <v>10293</v>
      </c>
      <c r="AW557">
        <v>5</v>
      </c>
      <c r="AX557" t="s">
        <v>74</v>
      </c>
      <c r="AY557" t="s">
        <v>74</v>
      </c>
      <c r="AZ557" t="s">
        <v>74</v>
      </c>
      <c r="BA557" t="s">
        <v>74</v>
      </c>
      <c r="BB557">
        <v>369</v>
      </c>
      <c r="BC557">
        <v>381</v>
      </c>
      <c r="BD557" t="s">
        <v>74</v>
      </c>
      <c r="BE557" t="s">
        <v>10294</v>
      </c>
      <c r="BF557" t="str">
        <f>HYPERLINK("http://dx.doi.org/10.1002/jez.b.21341","http://dx.doi.org/10.1002/jez.b.21341")</f>
        <v>http://dx.doi.org/10.1002/jez.b.21341</v>
      </c>
      <c r="BG557" t="s">
        <v>74</v>
      </c>
      <c r="BH557" t="s">
        <v>74</v>
      </c>
      <c r="BI557">
        <v>13</v>
      </c>
      <c r="BJ557" t="s">
        <v>10295</v>
      </c>
      <c r="BK557" t="s">
        <v>100</v>
      </c>
      <c r="BL557" t="s">
        <v>10295</v>
      </c>
      <c r="BM557" t="s">
        <v>10296</v>
      </c>
      <c r="BN557">
        <v>20235119</v>
      </c>
      <c r="BO557" t="s">
        <v>1025</v>
      </c>
      <c r="BP557" t="s">
        <v>74</v>
      </c>
      <c r="BQ557" t="s">
        <v>74</v>
      </c>
      <c r="BR557" t="s">
        <v>104</v>
      </c>
      <c r="BS557" t="s">
        <v>10297</v>
      </c>
      <c r="BT557" t="str">
        <f>HYPERLINK("https%3A%2F%2Fwww.webofscience.com%2Fwos%2Fwoscc%2Ffull-record%2FWOS:000279024100004","View Full Record in Web of Science")</f>
        <v>View Full Record in Web of Science</v>
      </c>
    </row>
    <row r="558" spans="1:72" x14ac:dyDescent="0.15">
      <c r="A558" t="s">
        <v>72</v>
      </c>
      <c r="B558" t="s">
        <v>10298</v>
      </c>
      <c r="C558" t="s">
        <v>74</v>
      </c>
      <c r="D558" t="s">
        <v>74</v>
      </c>
      <c r="E558" t="s">
        <v>74</v>
      </c>
      <c r="F558" t="s">
        <v>10299</v>
      </c>
      <c r="G558" t="s">
        <v>74</v>
      </c>
      <c r="H558" t="s">
        <v>74</v>
      </c>
      <c r="I558" t="s">
        <v>10300</v>
      </c>
      <c r="J558" t="s">
        <v>4634</v>
      </c>
      <c r="K558" t="s">
        <v>74</v>
      </c>
      <c r="L558" t="s">
        <v>74</v>
      </c>
      <c r="M558" t="s">
        <v>78</v>
      </c>
      <c r="N558" t="s">
        <v>79</v>
      </c>
      <c r="O558" t="s">
        <v>74</v>
      </c>
      <c r="P558" t="s">
        <v>74</v>
      </c>
      <c r="Q558" t="s">
        <v>74</v>
      </c>
      <c r="R558" t="s">
        <v>74</v>
      </c>
      <c r="S558" t="s">
        <v>74</v>
      </c>
      <c r="T558" t="s">
        <v>74</v>
      </c>
      <c r="U558" t="s">
        <v>10301</v>
      </c>
      <c r="V558" t="s">
        <v>10302</v>
      </c>
      <c r="W558" t="s">
        <v>10303</v>
      </c>
      <c r="X558" t="s">
        <v>10304</v>
      </c>
      <c r="Y558" t="s">
        <v>10305</v>
      </c>
      <c r="Z558" t="s">
        <v>10306</v>
      </c>
      <c r="AA558" t="s">
        <v>10307</v>
      </c>
      <c r="AB558" t="s">
        <v>10308</v>
      </c>
      <c r="AC558" t="s">
        <v>10309</v>
      </c>
      <c r="AD558" t="s">
        <v>10310</v>
      </c>
      <c r="AE558" t="s">
        <v>10311</v>
      </c>
      <c r="AF558" t="s">
        <v>74</v>
      </c>
      <c r="AG558">
        <v>48</v>
      </c>
      <c r="AH558">
        <v>129</v>
      </c>
      <c r="AI558">
        <v>139</v>
      </c>
      <c r="AJ558">
        <v>0</v>
      </c>
      <c r="AK558">
        <v>7</v>
      </c>
      <c r="AL558" t="s">
        <v>1521</v>
      </c>
      <c r="AM558" t="s">
        <v>1522</v>
      </c>
      <c r="AN558" t="s">
        <v>1523</v>
      </c>
      <c r="AO558" t="s">
        <v>4646</v>
      </c>
      <c r="AP558" t="s">
        <v>4647</v>
      </c>
      <c r="AQ558" t="s">
        <v>74</v>
      </c>
      <c r="AR558" t="s">
        <v>4648</v>
      </c>
      <c r="AS558" t="s">
        <v>4649</v>
      </c>
      <c r="AT558" t="s">
        <v>10221</v>
      </c>
      <c r="AU558">
        <v>2010</v>
      </c>
      <c r="AV558">
        <v>115</v>
      </c>
      <c r="AW558" t="s">
        <v>74</v>
      </c>
      <c r="AX558" t="s">
        <v>74</v>
      </c>
      <c r="AY558" t="s">
        <v>74</v>
      </c>
      <c r="AZ558" t="s">
        <v>74</v>
      </c>
      <c r="BA558" t="s">
        <v>74</v>
      </c>
      <c r="BB558" t="s">
        <v>74</v>
      </c>
      <c r="BC558" t="s">
        <v>74</v>
      </c>
      <c r="BD558" t="s">
        <v>10312</v>
      </c>
      <c r="BE558" t="s">
        <v>10313</v>
      </c>
      <c r="BF558" t="str">
        <f>HYPERLINK("http://dx.doi.org/10.1029/2009JA015075","http://dx.doi.org/10.1029/2009JA015075")</f>
        <v>http://dx.doi.org/10.1029/2009JA015075</v>
      </c>
      <c r="BG558" t="s">
        <v>74</v>
      </c>
      <c r="BH558" t="s">
        <v>74</v>
      </c>
      <c r="BI558">
        <v>13</v>
      </c>
      <c r="BJ558" t="s">
        <v>1805</v>
      </c>
      <c r="BK558" t="s">
        <v>100</v>
      </c>
      <c r="BL558" t="s">
        <v>1805</v>
      </c>
      <c r="BM558" t="s">
        <v>10314</v>
      </c>
      <c r="BN558" t="s">
        <v>74</v>
      </c>
      <c r="BO558" t="s">
        <v>7523</v>
      </c>
      <c r="BP558" t="s">
        <v>74</v>
      </c>
      <c r="BQ558" t="s">
        <v>74</v>
      </c>
      <c r="BR558" t="s">
        <v>104</v>
      </c>
      <c r="BS558" t="s">
        <v>10315</v>
      </c>
      <c r="BT558" t="str">
        <f>HYPERLINK("https%3A%2F%2Fwww.webofscience.com%2Fwos%2Fwoscc%2Ffull-record%2FWOS:000280051200009","View Full Record in Web of Science")</f>
        <v>View Full Record in Web of Science</v>
      </c>
    </row>
    <row r="559" spans="1:72" x14ac:dyDescent="0.15">
      <c r="A559" t="s">
        <v>72</v>
      </c>
      <c r="B559" t="s">
        <v>10316</v>
      </c>
      <c r="C559" t="s">
        <v>74</v>
      </c>
      <c r="D559" t="s">
        <v>74</v>
      </c>
      <c r="E559" t="s">
        <v>74</v>
      </c>
      <c r="F559" t="s">
        <v>10317</v>
      </c>
      <c r="G559" t="s">
        <v>74</v>
      </c>
      <c r="H559" t="s">
        <v>74</v>
      </c>
      <c r="I559" t="s">
        <v>10318</v>
      </c>
      <c r="J559" t="s">
        <v>10319</v>
      </c>
      <c r="K559" t="s">
        <v>74</v>
      </c>
      <c r="L559" t="s">
        <v>74</v>
      </c>
      <c r="M559" t="s">
        <v>78</v>
      </c>
      <c r="N559" t="s">
        <v>79</v>
      </c>
      <c r="O559" t="s">
        <v>74</v>
      </c>
      <c r="P559" t="s">
        <v>74</v>
      </c>
      <c r="Q559" t="s">
        <v>74</v>
      </c>
      <c r="R559" t="s">
        <v>74</v>
      </c>
      <c r="S559" t="s">
        <v>74</v>
      </c>
      <c r="T559" t="s">
        <v>10320</v>
      </c>
      <c r="U559" t="s">
        <v>10321</v>
      </c>
      <c r="V559" t="s">
        <v>10322</v>
      </c>
      <c r="W559" t="s">
        <v>10323</v>
      </c>
      <c r="X559" t="s">
        <v>10324</v>
      </c>
      <c r="Y559" t="s">
        <v>10325</v>
      </c>
      <c r="Z559" t="s">
        <v>74</v>
      </c>
      <c r="AA559" t="s">
        <v>10326</v>
      </c>
      <c r="AB559" t="s">
        <v>74</v>
      </c>
      <c r="AC559" t="s">
        <v>10327</v>
      </c>
      <c r="AD559" t="s">
        <v>10328</v>
      </c>
      <c r="AE559" t="s">
        <v>10329</v>
      </c>
      <c r="AF559" t="s">
        <v>74</v>
      </c>
      <c r="AG559">
        <v>96</v>
      </c>
      <c r="AH559">
        <v>11</v>
      </c>
      <c r="AI559">
        <v>13</v>
      </c>
      <c r="AJ559">
        <v>0</v>
      </c>
      <c r="AK559">
        <v>11</v>
      </c>
      <c r="AL559" t="s">
        <v>1038</v>
      </c>
      <c r="AM559" t="s">
        <v>550</v>
      </c>
      <c r="AN559" t="s">
        <v>1039</v>
      </c>
      <c r="AO559" t="s">
        <v>10330</v>
      </c>
      <c r="AP559" t="s">
        <v>10331</v>
      </c>
      <c r="AQ559" t="s">
        <v>74</v>
      </c>
      <c r="AR559" t="s">
        <v>10332</v>
      </c>
      <c r="AS559" t="s">
        <v>10333</v>
      </c>
      <c r="AT559" t="s">
        <v>10221</v>
      </c>
      <c r="AU559">
        <v>2010</v>
      </c>
      <c r="AV559">
        <v>229</v>
      </c>
      <c r="AW559" t="s">
        <v>4513</v>
      </c>
      <c r="AX559" t="s">
        <v>74</v>
      </c>
      <c r="AY559" t="s">
        <v>74</v>
      </c>
      <c r="AZ559" t="s">
        <v>74</v>
      </c>
      <c r="BA559" t="s">
        <v>74</v>
      </c>
      <c r="BB559">
        <v>64</v>
      </c>
      <c r="BC559">
        <v>74</v>
      </c>
      <c r="BD559" t="s">
        <v>74</v>
      </c>
      <c r="BE559" t="s">
        <v>10334</v>
      </c>
      <c r="BF559" t="str">
        <f>HYPERLINK("http://dx.doi.org/10.1016/j.sedgeo.2010.06.006","http://dx.doi.org/10.1016/j.sedgeo.2010.06.006")</f>
        <v>http://dx.doi.org/10.1016/j.sedgeo.2010.06.006</v>
      </c>
      <c r="BG559" t="s">
        <v>74</v>
      </c>
      <c r="BH559" t="s">
        <v>74</v>
      </c>
      <c r="BI559">
        <v>11</v>
      </c>
      <c r="BJ559" t="s">
        <v>807</v>
      </c>
      <c r="BK559" t="s">
        <v>100</v>
      </c>
      <c r="BL559" t="s">
        <v>807</v>
      </c>
      <c r="BM559" t="s">
        <v>10335</v>
      </c>
      <c r="BN559" t="s">
        <v>74</v>
      </c>
      <c r="BO559" t="s">
        <v>74</v>
      </c>
      <c r="BP559" t="s">
        <v>74</v>
      </c>
      <c r="BQ559" t="s">
        <v>74</v>
      </c>
      <c r="BR559" t="s">
        <v>104</v>
      </c>
      <c r="BS559" t="s">
        <v>10336</v>
      </c>
      <c r="BT559" t="str">
        <f>HYPERLINK("https%3A%2F%2Fwww.webofscience.com%2Fwos%2Fwoscc%2Ffull-record%2FWOS:000280987900005","View Full Record in Web of Science")</f>
        <v>View Full Record in Web of Science</v>
      </c>
    </row>
    <row r="560" spans="1:72" x14ac:dyDescent="0.15">
      <c r="A560" t="s">
        <v>72</v>
      </c>
      <c r="B560" t="s">
        <v>10337</v>
      </c>
      <c r="C560" t="s">
        <v>74</v>
      </c>
      <c r="D560" t="s">
        <v>74</v>
      </c>
      <c r="E560" t="s">
        <v>74</v>
      </c>
      <c r="F560" t="s">
        <v>10338</v>
      </c>
      <c r="G560" t="s">
        <v>74</v>
      </c>
      <c r="H560" t="s">
        <v>74</v>
      </c>
      <c r="I560" t="s">
        <v>10339</v>
      </c>
      <c r="J560" t="s">
        <v>1538</v>
      </c>
      <c r="K560" t="s">
        <v>74</v>
      </c>
      <c r="L560" t="s">
        <v>74</v>
      </c>
      <c r="M560" t="s">
        <v>78</v>
      </c>
      <c r="N560" t="s">
        <v>79</v>
      </c>
      <c r="O560" t="s">
        <v>74</v>
      </c>
      <c r="P560" t="s">
        <v>74</v>
      </c>
      <c r="Q560" t="s">
        <v>74</v>
      </c>
      <c r="R560" t="s">
        <v>74</v>
      </c>
      <c r="S560" t="s">
        <v>74</v>
      </c>
      <c r="T560" t="s">
        <v>74</v>
      </c>
      <c r="U560" t="s">
        <v>10340</v>
      </c>
      <c r="V560" t="s">
        <v>10341</v>
      </c>
      <c r="W560" t="s">
        <v>10342</v>
      </c>
      <c r="X560" t="s">
        <v>10343</v>
      </c>
      <c r="Y560" t="s">
        <v>10344</v>
      </c>
      <c r="Z560" t="s">
        <v>10345</v>
      </c>
      <c r="AA560" t="s">
        <v>10346</v>
      </c>
      <c r="AB560" t="s">
        <v>10347</v>
      </c>
      <c r="AC560" t="s">
        <v>10348</v>
      </c>
      <c r="AD560" t="s">
        <v>10349</v>
      </c>
      <c r="AE560" t="s">
        <v>10350</v>
      </c>
      <c r="AF560" t="s">
        <v>74</v>
      </c>
      <c r="AG560">
        <v>31</v>
      </c>
      <c r="AH560">
        <v>76</v>
      </c>
      <c r="AI560">
        <v>85</v>
      </c>
      <c r="AJ560">
        <v>0</v>
      </c>
      <c r="AK560">
        <v>33</v>
      </c>
      <c r="AL560" t="s">
        <v>1521</v>
      </c>
      <c r="AM560" t="s">
        <v>1522</v>
      </c>
      <c r="AN560" t="s">
        <v>1523</v>
      </c>
      <c r="AO560" t="s">
        <v>1550</v>
      </c>
      <c r="AP560" t="s">
        <v>1551</v>
      </c>
      <c r="AQ560" t="s">
        <v>74</v>
      </c>
      <c r="AR560" t="s">
        <v>1552</v>
      </c>
      <c r="AS560" t="s">
        <v>1553</v>
      </c>
      <c r="AT560" t="s">
        <v>10351</v>
      </c>
      <c r="AU560">
        <v>2010</v>
      </c>
      <c r="AV560">
        <v>37</v>
      </c>
      <c r="AW560" t="s">
        <v>74</v>
      </c>
      <c r="AX560" t="s">
        <v>74</v>
      </c>
      <c r="AY560" t="s">
        <v>74</v>
      </c>
      <c r="AZ560" t="s">
        <v>74</v>
      </c>
      <c r="BA560" t="s">
        <v>74</v>
      </c>
      <c r="BB560" t="s">
        <v>74</v>
      </c>
      <c r="BC560" t="s">
        <v>74</v>
      </c>
      <c r="BD560" t="s">
        <v>10352</v>
      </c>
      <c r="BE560" t="s">
        <v>10353</v>
      </c>
      <c r="BF560" t="str">
        <f>HYPERLINK("http://dx.doi.org/10.1029/2010GL042496","http://dx.doi.org/10.1029/2010GL042496")</f>
        <v>http://dx.doi.org/10.1029/2010GL042496</v>
      </c>
      <c r="BG560" t="s">
        <v>74</v>
      </c>
      <c r="BH560" t="s">
        <v>74</v>
      </c>
      <c r="BI560">
        <v>5</v>
      </c>
      <c r="BJ560" t="s">
        <v>1194</v>
      </c>
      <c r="BK560" t="s">
        <v>100</v>
      </c>
      <c r="BL560" t="s">
        <v>807</v>
      </c>
      <c r="BM560" t="s">
        <v>10354</v>
      </c>
      <c r="BN560" t="s">
        <v>74</v>
      </c>
      <c r="BO560" t="s">
        <v>1533</v>
      </c>
      <c r="BP560" t="s">
        <v>74</v>
      </c>
      <c r="BQ560" t="s">
        <v>74</v>
      </c>
      <c r="BR560" t="s">
        <v>104</v>
      </c>
      <c r="BS560" t="s">
        <v>10355</v>
      </c>
      <c r="BT560" t="str">
        <f>HYPERLINK("https%3A%2F%2Fwww.webofscience.com%2Fwos%2Fwoscc%2Ffull-record%2FWOS:000280043700001","View Full Record in Web of Science")</f>
        <v>View Full Record in Web of Science</v>
      </c>
    </row>
    <row r="561" spans="1:72" x14ac:dyDescent="0.15">
      <c r="A561" t="s">
        <v>72</v>
      </c>
      <c r="B561" t="s">
        <v>10356</v>
      </c>
      <c r="C561" t="s">
        <v>74</v>
      </c>
      <c r="D561" t="s">
        <v>74</v>
      </c>
      <c r="E561" t="s">
        <v>74</v>
      </c>
      <c r="F561" t="s">
        <v>10357</v>
      </c>
      <c r="G561" t="s">
        <v>74</v>
      </c>
      <c r="H561" t="s">
        <v>74</v>
      </c>
      <c r="I561" t="s">
        <v>10358</v>
      </c>
      <c r="J561" t="s">
        <v>10359</v>
      </c>
      <c r="K561" t="s">
        <v>74</v>
      </c>
      <c r="L561" t="s">
        <v>74</v>
      </c>
      <c r="M561" t="s">
        <v>78</v>
      </c>
      <c r="N561" t="s">
        <v>79</v>
      </c>
      <c r="O561" t="s">
        <v>74</v>
      </c>
      <c r="P561" t="s">
        <v>74</v>
      </c>
      <c r="Q561" t="s">
        <v>74</v>
      </c>
      <c r="R561" t="s">
        <v>74</v>
      </c>
      <c r="S561" t="s">
        <v>74</v>
      </c>
      <c r="T561" t="s">
        <v>74</v>
      </c>
      <c r="U561" t="s">
        <v>10360</v>
      </c>
      <c r="V561" t="s">
        <v>74</v>
      </c>
      <c r="W561" t="s">
        <v>10361</v>
      </c>
      <c r="X561" t="s">
        <v>10362</v>
      </c>
      <c r="Y561" t="s">
        <v>10363</v>
      </c>
      <c r="Z561" t="s">
        <v>10364</v>
      </c>
      <c r="AA561" t="s">
        <v>74</v>
      </c>
      <c r="AB561" t="s">
        <v>74</v>
      </c>
      <c r="AC561" t="s">
        <v>74</v>
      </c>
      <c r="AD561" t="s">
        <v>74</v>
      </c>
      <c r="AE561" t="s">
        <v>74</v>
      </c>
      <c r="AF561" t="s">
        <v>74</v>
      </c>
      <c r="AG561">
        <v>23</v>
      </c>
      <c r="AH561">
        <v>18</v>
      </c>
      <c r="AI561">
        <v>20</v>
      </c>
      <c r="AJ561">
        <v>0</v>
      </c>
      <c r="AK561">
        <v>10</v>
      </c>
      <c r="AL561" t="s">
        <v>1670</v>
      </c>
      <c r="AM561" t="s">
        <v>1598</v>
      </c>
      <c r="AN561" t="s">
        <v>1671</v>
      </c>
      <c r="AO561" t="s">
        <v>10365</v>
      </c>
      <c r="AP561" t="s">
        <v>74</v>
      </c>
      <c r="AQ561" t="s">
        <v>74</v>
      </c>
      <c r="AR561" t="s">
        <v>10366</v>
      </c>
      <c r="AS561" t="s">
        <v>10367</v>
      </c>
      <c r="AT561" t="s">
        <v>10351</v>
      </c>
      <c r="AU561">
        <v>2010</v>
      </c>
      <c r="AV561">
        <v>368</v>
      </c>
      <c r="AW561">
        <v>1922</v>
      </c>
      <c r="AX561" t="s">
        <v>74</v>
      </c>
      <c r="AY561" t="s">
        <v>74</v>
      </c>
      <c r="AZ561" t="s">
        <v>74</v>
      </c>
      <c r="BA561" t="s">
        <v>74</v>
      </c>
      <c r="BB561">
        <v>3059</v>
      </c>
      <c r="BC561">
        <v>3065</v>
      </c>
      <c r="BD561" t="s">
        <v>74</v>
      </c>
      <c r="BE561" t="s">
        <v>10368</v>
      </c>
      <c r="BF561" t="str">
        <f>HYPERLINK("http://dx.doi.org/10.1098/rsta.2010.0100","http://dx.doi.org/10.1098/rsta.2010.0100")</f>
        <v>http://dx.doi.org/10.1098/rsta.2010.0100</v>
      </c>
      <c r="BG561" t="s">
        <v>74</v>
      </c>
      <c r="BH561" t="s">
        <v>74</v>
      </c>
      <c r="BI561">
        <v>7</v>
      </c>
      <c r="BJ561" t="s">
        <v>444</v>
      </c>
      <c r="BK561" t="s">
        <v>100</v>
      </c>
      <c r="BL561" t="s">
        <v>445</v>
      </c>
      <c r="BM561" t="s">
        <v>10369</v>
      </c>
      <c r="BN561">
        <v>20529944</v>
      </c>
      <c r="BO561" t="s">
        <v>74</v>
      </c>
      <c r="BP561" t="s">
        <v>74</v>
      </c>
      <c r="BQ561" t="s">
        <v>74</v>
      </c>
      <c r="BR561" t="s">
        <v>104</v>
      </c>
      <c r="BS561" t="s">
        <v>10370</v>
      </c>
      <c r="BT561" t="str">
        <f>HYPERLINK("https%3A%2F%2Fwww.webofscience.com%2Fwos%2Fwoscc%2Ffull-record%2FWOS:000278390500001","View Full Record in Web of Science")</f>
        <v>View Full Record in Web of Science</v>
      </c>
    </row>
    <row r="562" spans="1:72" x14ac:dyDescent="0.15">
      <c r="A562" t="s">
        <v>72</v>
      </c>
      <c r="B562" t="s">
        <v>10371</v>
      </c>
      <c r="C562" t="s">
        <v>74</v>
      </c>
      <c r="D562" t="s">
        <v>74</v>
      </c>
      <c r="E562" t="s">
        <v>74</v>
      </c>
      <c r="F562" t="s">
        <v>10372</v>
      </c>
      <c r="G562" t="s">
        <v>74</v>
      </c>
      <c r="H562" t="s">
        <v>74</v>
      </c>
      <c r="I562" t="s">
        <v>10373</v>
      </c>
      <c r="J562" t="s">
        <v>10359</v>
      </c>
      <c r="K562" t="s">
        <v>74</v>
      </c>
      <c r="L562" t="s">
        <v>74</v>
      </c>
      <c r="M562" t="s">
        <v>78</v>
      </c>
      <c r="N562" t="s">
        <v>79</v>
      </c>
      <c r="O562" t="s">
        <v>74</v>
      </c>
      <c r="P562" t="s">
        <v>74</v>
      </c>
      <c r="Q562" t="s">
        <v>74</v>
      </c>
      <c r="R562" t="s">
        <v>74</v>
      </c>
      <c r="S562" t="s">
        <v>74</v>
      </c>
      <c r="T562" t="s">
        <v>10374</v>
      </c>
      <c r="U562" t="s">
        <v>10375</v>
      </c>
      <c r="V562" t="s">
        <v>10376</v>
      </c>
      <c r="W562" t="s">
        <v>10377</v>
      </c>
      <c r="X562" t="s">
        <v>10378</v>
      </c>
      <c r="Y562" t="s">
        <v>10379</v>
      </c>
      <c r="Z562" t="s">
        <v>10380</v>
      </c>
      <c r="AA562" t="s">
        <v>10381</v>
      </c>
      <c r="AB562" t="s">
        <v>10382</v>
      </c>
      <c r="AC562" t="s">
        <v>10383</v>
      </c>
      <c r="AD562" t="s">
        <v>10384</v>
      </c>
      <c r="AE562" t="s">
        <v>10385</v>
      </c>
      <c r="AF562" t="s">
        <v>74</v>
      </c>
      <c r="AG562">
        <v>69</v>
      </c>
      <c r="AH562">
        <v>48</v>
      </c>
      <c r="AI562">
        <v>52</v>
      </c>
      <c r="AJ562">
        <v>0</v>
      </c>
      <c r="AK562">
        <v>25</v>
      </c>
      <c r="AL562" t="s">
        <v>1670</v>
      </c>
      <c r="AM562" t="s">
        <v>1598</v>
      </c>
      <c r="AN562" t="s">
        <v>1671</v>
      </c>
      <c r="AO562" t="s">
        <v>10365</v>
      </c>
      <c r="AP562" t="s">
        <v>10386</v>
      </c>
      <c r="AQ562" t="s">
        <v>74</v>
      </c>
      <c r="AR562" t="s">
        <v>10366</v>
      </c>
      <c r="AS562" t="s">
        <v>10367</v>
      </c>
      <c r="AT562" t="s">
        <v>10351</v>
      </c>
      <c r="AU562">
        <v>2010</v>
      </c>
      <c r="AV562">
        <v>368</v>
      </c>
      <c r="AW562">
        <v>1922</v>
      </c>
      <c r="AX562" t="s">
        <v>74</v>
      </c>
      <c r="AY562" t="s">
        <v>74</v>
      </c>
      <c r="AZ562" t="s">
        <v>74</v>
      </c>
      <c r="BA562" t="s">
        <v>74</v>
      </c>
      <c r="BB562">
        <v>3109</v>
      </c>
      <c r="BC562">
        <v>3125</v>
      </c>
      <c r="BD562" t="s">
        <v>74</v>
      </c>
      <c r="BE562" t="s">
        <v>10387</v>
      </c>
      <c r="BF562" t="str">
        <f>HYPERLINK("http://dx.doi.org/10.1098/rsta.2010.0075","http://dx.doi.org/10.1098/rsta.2010.0075")</f>
        <v>http://dx.doi.org/10.1098/rsta.2010.0075</v>
      </c>
      <c r="BG562" t="s">
        <v>74</v>
      </c>
      <c r="BH562" t="s">
        <v>74</v>
      </c>
      <c r="BI562">
        <v>17</v>
      </c>
      <c r="BJ562" t="s">
        <v>444</v>
      </c>
      <c r="BK562" t="s">
        <v>100</v>
      </c>
      <c r="BL562" t="s">
        <v>445</v>
      </c>
      <c r="BM562" t="s">
        <v>10369</v>
      </c>
      <c r="BN562">
        <v>20529948</v>
      </c>
      <c r="BO562" t="s">
        <v>74</v>
      </c>
      <c r="BP562" t="s">
        <v>74</v>
      </c>
      <c r="BQ562" t="s">
        <v>74</v>
      </c>
      <c r="BR562" t="s">
        <v>104</v>
      </c>
      <c r="BS562" t="s">
        <v>10388</v>
      </c>
      <c r="BT562" t="str">
        <f>HYPERLINK("https%3A%2F%2Fwww.webofscience.com%2Fwos%2Fwoscc%2Ffull-record%2FWOS:000278390500005","View Full Record in Web of Science")</f>
        <v>View Full Record in Web of Science</v>
      </c>
    </row>
    <row r="563" spans="1:72" x14ac:dyDescent="0.15">
      <c r="A563" t="s">
        <v>72</v>
      </c>
      <c r="B563" t="s">
        <v>10389</v>
      </c>
      <c r="C563" t="s">
        <v>74</v>
      </c>
      <c r="D563" t="s">
        <v>74</v>
      </c>
      <c r="E563" t="s">
        <v>74</v>
      </c>
      <c r="F563" t="s">
        <v>10390</v>
      </c>
      <c r="G563" t="s">
        <v>74</v>
      </c>
      <c r="H563" t="s">
        <v>74</v>
      </c>
      <c r="I563" t="s">
        <v>10391</v>
      </c>
      <c r="J563" t="s">
        <v>10359</v>
      </c>
      <c r="K563" t="s">
        <v>74</v>
      </c>
      <c r="L563" t="s">
        <v>74</v>
      </c>
      <c r="M563" t="s">
        <v>78</v>
      </c>
      <c r="N563" t="s">
        <v>79</v>
      </c>
      <c r="O563" t="s">
        <v>74</v>
      </c>
      <c r="P563" t="s">
        <v>74</v>
      </c>
      <c r="Q563" t="s">
        <v>74</v>
      </c>
      <c r="R563" t="s">
        <v>74</v>
      </c>
      <c r="S563" t="s">
        <v>74</v>
      </c>
      <c r="T563" t="s">
        <v>10392</v>
      </c>
      <c r="U563" t="s">
        <v>10393</v>
      </c>
      <c r="V563" t="s">
        <v>10394</v>
      </c>
      <c r="W563" t="s">
        <v>10395</v>
      </c>
      <c r="X563" t="s">
        <v>10396</v>
      </c>
      <c r="Y563" t="s">
        <v>10397</v>
      </c>
      <c r="Z563" t="s">
        <v>10398</v>
      </c>
      <c r="AA563" t="s">
        <v>10399</v>
      </c>
      <c r="AB563" t="s">
        <v>74</v>
      </c>
      <c r="AC563" t="s">
        <v>10400</v>
      </c>
      <c r="AD563" t="s">
        <v>10401</v>
      </c>
      <c r="AE563" t="s">
        <v>10402</v>
      </c>
      <c r="AF563" t="s">
        <v>74</v>
      </c>
      <c r="AG563">
        <v>18</v>
      </c>
      <c r="AH563">
        <v>69</v>
      </c>
      <c r="AI563">
        <v>71</v>
      </c>
      <c r="AJ563">
        <v>2</v>
      </c>
      <c r="AK563">
        <v>18</v>
      </c>
      <c r="AL563" t="s">
        <v>1670</v>
      </c>
      <c r="AM563" t="s">
        <v>1598</v>
      </c>
      <c r="AN563" t="s">
        <v>1671</v>
      </c>
      <c r="AO563" t="s">
        <v>10365</v>
      </c>
      <c r="AP563" t="s">
        <v>74</v>
      </c>
      <c r="AQ563" t="s">
        <v>74</v>
      </c>
      <c r="AR563" t="s">
        <v>10366</v>
      </c>
      <c r="AS563" t="s">
        <v>10367</v>
      </c>
      <c r="AT563" t="s">
        <v>10351</v>
      </c>
      <c r="AU563">
        <v>2010</v>
      </c>
      <c r="AV563">
        <v>368</v>
      </c>
      <c r="AW563">
        <v>1922</v>
      </c>
      <c r="AX563" t="s">
        <v>74</v>
      </c>
      <c r="AY563" t="s">
        <v>74</v>
      </c>
      <c r="AZ563" t="s">
        <v>74</v>
      </c>
      <c r="BA563" t="s">
        <v>74</v>
      </c>
      <c r="BB563">
        <v>3137</v>
      </c>
      <c r="BC563">
        <v>3144</v>
      </c>
      <c r="BD563" t="s">
        <v>74</v>
      </c>
      <c r="BE563" t="s">
        <v>10403</v>
      </c>
      <c r="BF563" t="str">
        <f>HYPERLINK("http://dx.doi.org/10.1098/rsta.2010.0016","http://dx.doi.org/10.1098/rsta.2010.0016")</f>
        <v>http://dx.doi.org/10.1098/rsta.2010.0016</v>
      </c>
      <c r="BG563" t="s">
        <v>74</v>
      </c>
      <c r="BH563" t="s">
        <v>74</v>
      </c>
      <c r="BI563">
        <v>8</v>
      </c>
      <c r="BJ563" t="s">
        <v>444</v>
      </c>
      <c r="BK563" t="s">
        <v>100</v>
      </c>
      <c r="BL563" t="s">
        <v>445</v>
      </c>
      <c r="BM563" t="s">
        <v>10369</v>
      </c>
      <c r="BN563">
        <v>20529950</v>
      </c>
      <c r="BO563" t="s">
        <v>74</v>
      </c>
      <c r="BP563" t="s">
        <v>74</v>
      </c>
      <c r="BQ563" t="s">
        <v>74</v>
      </c>
      <c r="BR563" t="s">
        <v>104</v>
      </c>
      <c r="BS563" t="s">
        <v>10404</v>
      </c>
      <c r="BT563" t="str">
        <f>HYPERLINK("https%3A%2F%2Fwww.webofscience.com%2Fwos%2Fwoscc%2Ffull-record%2FWOS:000278390500007","View Full Record in Web of Science")</f>
        <v>View Full Record in Web of Science</v>
      </c>
    </row>
    <row r="564" spans="1:72" x14ac:dyDescent="0.15">
      <c r="A564" t="s">
        <v>72</v>
      </c>
      <c r="B564" t="s">
        <v>10405</v>
      </c>
      <c r="C564" t="s">
        <v>74</v>
      </c>
      <c r="D564" t="s">
        <v>74</v>
      </c>
      <c r="E564" t="s">
        <v>74</v>
      </c>
      <c r="F564" t="s">
        <v>10406</v>
      </c>
      <c r="G564" t="s">
        <v>74</v>
      </c>
      <c r="H564" t="s">
        <v>74</v>
      </c>
      <c r="I564" t="s">
        <v>10407</v>
      </c>
      <c r="J564" t="s">
        <v>10359</v>
      </c>
      <c r="K564" t="s">
        <v>74</v>
      </c>
      <c r="L564" t="s">
        <v>74</v>
      </c>
      <c r="M564" t="s">
        <v>78</v>
      </c>
      <c r="N564" t="s">
        <v>79</v>
      </c>
      <c r="O564" t="s">
        <v>74</v>
      </c>
      <c r="P564" t="s">
        <v>74</v>
      </c>
      <c r="Q564" t="s">
        <v>74</v>
      </c>
      <c r="R564" t="s">
        <v>74</v>
      </c>
      <c r="S564" t="s">
        <v>74</v>
      </c>
      <c r="T564" t="s">
        <v>10408</v>
      </c>
      <c r="U564" t="s">
        <v>10409</v>
      </c>
      <c r="V564" t="s">
        <v>10410</v>
      </c>
      <c r="W564" t="s">
        <v>10411</v>
      </c>
      <c r="X564" t="s">
        <v>10412</v>
      </c>
      <c r="Y564" t="s">
        <v>10413</v>
      </c>
      <c r="Z564" t="s">
        <v>10414</v>
      </c>
      <c r="AA564" t="s">
        <v>10415</v>
      </c>
      <c r="AB564" t="s">
        <v>10416</v>
      </c>
      <c r="AC564" t="s">
        <v>10417</v>
      </c>
      <c r="AD564" t="s">
        <v>10418</v>
      </c>
      <c r="AE564" t="s">
        <v>10419</v>
      </c>
      <c r="AF564" t="s">
        <v>74</v>
      </c>
      <c r="AG564">
        <v>39</v>
      </c>
      <c r="AH564">
        <v>81</v>
      </c>
      <c r="AI564">
        <v>86</v>
      </c>
      <c r="AJ564">
        <v>2</v>
      </c>
      <c r="AK564">
        <v>51</v>
      </c>
      <c r="AL564" t="s">
        <v>1670</v>
      </c>
      <c r="AM564" t="s">
        <v>1598</v>
      </c>
      <c r="AN564" t="s">
        <v>1671</v>
      </c>
      <c r="AO564" t="s">
        <v>10365</v>
      </c>
      <c r="AP564" t="s">
        <v>74</v>
      </c>
      <c r="AQ564" t="s">
        <v>74</v>
      </c>
      <c r="AR564" t="s">
        <v>10366</v>
      </c>
      <c r="AS564" t="s">
        <v>10367</v>
      </c>
      <c r="AT564" t="s">
        <v>10351</v>
      </c>
      <c r="AU564">
        <v>2010</v>
      </c>
      <c r="AV564">
        <v>368</v>
      </c>
      <c r="AW564">
        <v>1922</v>
      </c>
      <c r="AX564" t="s">
        <v>74</v>
      </c>
      <c r="AY564" t="s">
        <v>74</v>
      </c>
      <c r="AZ564" t="s">
        <v>74</v>
      </c>
      <c r="BA564" t="s">
        <v>74</v>
      </c>
      <c r="BB564">
        <v>3205</v>
      </c>
      <c r="BC564">
        <v>3221</v>
      </c>
      <c r="BD564" t="s">
        <v>74</v>
      </c>
      <c r="BE564" t="s">
        <v>10420</v>
      </c>
      <c r="BF564" t="str">
        <f>HYPERLINK("http://dx.doi.org/10.1098/rsta.2010.0059","http://dx.doi.org/10.1098/rsta.2010.0059")</f>
        <v>http://dx.doi.org/10.1098/rsta.2010.0059</v>
      </c>
      <c r="BG564" t="s">
        <v>74</v>
      </c>
      <c r="BH564" t="s">
        <v>74</v>
      </c>
      <c r="BI564">
        <v>17</v>
      </c>
      <c r="BJ564" t="s">
        <v>444</v>
      </c>
      <c r="BK564" t="s">
        <v>100</v>
      </c>
      <c r="BL564" t="s">
        <v>445</v>
      </c>
      <c r="BM564" t="s">
        <v>10369</v>
      </c>
      <c r="BN564">
        <v>20529955</v>
      </c>
      <c r="BO564" t="s">
        <v>134</v>
      </c>
      <c r="BP564" t="s">
        <v>74</v>
      </c>
      <c r="BQ564" t="s">
        <v>74</v>
      </c>
      <c r="BR564" t="s">
        <v>104</v>
      </c>
      <c r="BS564" t="s">
        <v>10421</v>
      </c>
      <c r="BT564" t="str">
        <f>HYPERLINK("https%3A%2F%2Fwww.webofscience.com%2Fwos%2Fwoscc%2Ffull-record%2FWOS:000278390500012","View Full Record in Web of Science")</f>
        <v>View Full Record in Web of Science</v>
      </c>
    </row>
    <row r="565" spans="1:72" x14ac:dyDescent="0.15">
      <c r="A565" t="s">
        <v>72</v>
      </c>
      <c r="B565" t="s">
        <v>10422</v>
      </c>
      <c r="C565" t="s">
        <v>74</v>
      </c>
      <c r="D565" t="s">
        <v>74</v>
      </c>
      <c r="E565" t="s">
        <v>74</v>
      </c>
      <c r="F565" t="s">
        <v>10423</v>
      </c>
      <c r="G565" t="s">
        <v>74</v>
      </c>
      <c r="H565" t="s">
        <v>74</v>
      </c>
      <c r="I565" t="s">
        <v>10424</v>
      </c>
      <c r="J565" t="s">
        <v>10425</v>
      </c>
      <c r="K565" t="s">
        <v>74</v>
      </c>
      <c r="L565" t="s">
        <v>74</v>
      </c>
      <c r="M565" t="s">
        <v>78</v>
      </c>
      <c r="N565" t="s">
        <v>79</v>
      </c>
      <c r="O565" t="s">
        <v>74</v>
      </c>
      <c r="P565" t="s">
        <v>74</v>
      </c>
      <c r="Q565" t="s">
        <v>74</v>
      </c>
      <c r="R565" t="s">
        <v>74</v>
      </c>
      <c r="S565" t="s">
        <v>74</v>
      </c>
      <c r="T565" t="s">
        <v>10426</v>
      </c>
      <c r="U565" t="s">
        <v>10427</v>
      </c>
      <c r="V565" t="s">
        <v>10428</v>
      </c>
      <c r="W565" t="s">
        <v>10429</v>
      </c>
      <c r="X565" t="s">
        <v>10430</v>
      </c>
      <c r="Y565" t="s">
        <v>10431</v>
      </c>
      <c r="Z565" t="s">
        <v>10432</v>
      </c>
      <c r="AA565" t="s">
        <v>10433</v>
      </c>
      <c r="AB565" t="s">
        <v>74</v>
      </c>
      <c r="AC565" t="s">
        <v>10434</v>
      </c>
      <c r="AD565" t="s">
        <v>10435</v>
      </c>
      <c r="AE565" t="s">
        <v>10436</v>
      </c>
      <c r="AF565" t="s">
        <v>74</v>
      </c>
      <c r="AG565">
        <v>81</v>
      </c>
      <c r="AH565">
        <v>36</v>
      </c>
      <c r="AI565">
        <v>41</v>
      </c>
      <c r="AJ565">
        <v>1</v>
      </c>
      <c r="AK565">
        <v>37</v>
      </c>
      <c r="AL565" t="s">
        <v>3555</v>
      </c>
      <c r="AM565" t="s">
        <v>1598</v>
      </c>
      <c r="AN565" t="s">
        <v>3556</v>
      </c>
      <c r="AO565" t="s">
        <v>10437</v>
      </c>
      <c r="AP565" t="s">
        <v>10438</v>
      </c>
      <c r="AQ565" t="s">
        <v>74</v>
      </c>
      <c r="AR565" t="s">
        <v>10439</v>
      </c>
      <c r="AS565" t="s">
        <v>10440</v>
      </c>
      <c r="AT565" t="s">
        <v>10441</v>
      </c>
      <c r="AU565">
        <v>2010</v>
      </c>
      <c r="AV565">
        <v>88</v>
      </c>
      <c r="AW565">
        <v>3</v>
      </c>
      <c r="AX565" t="s">
        <v>74</v>
      </c>
      <c r="AY565" t="s">
        <v>74</v>
      </c>
      <c r="AZ565" t="s">
        <v>74</v>
      </c>
      <c r="BA565" t="s">
        <v>74</v>
      </c>
      <c r="BB565">
        <v>303</v>
      </c>
      <c r="BC565">
        <v>310</v>
      </c>
      <c r="BD565" t="s">
        <v>74</v>
      </c>
      <c r="BE565" t="s">
        <v>10442</v>
      </c>
      <c r="BF565" t="str">
        <f>HYPERLINK("http://dx.doi.org/10.1016/j.ecss.2010.04.008","http://dx.doi.org/10.1016/j.ecss.2010.04.008")</f>
        <v>http://dx.doi.org/10.1016/j.ecss.2010.04.008</v>
      </c>
      <c r="BG565" t="s">
        <v>74</v>
      </c>
      <c r="BH565" t="s">
        <v>74</v>
      </c>
      <c r="BI565">
        <v>8</v>
      </c>
      <c r="BJ565" t="s">
        <v>930</v>
      </c>
      <c r="BK565" t="s">
        <v>100</v>
      </c>
      <c r="BL565" t="s">
        <v>930</v>
      </c>
      <c r="BM565" t="s">
        <v>10443</v>
      </c>
      <c r="BN565" t="s">
        <v>74</v>
      </c>
      <c r="BO565" t="s">
        <v>74</v>
      </c>
      <c r="BP565" t="s">
        <v>74</v>
      </c>
      <c r="BQ565" t="s">
        <v>74</v>
      </c>
      <c r="BR565" t="s">
        <v>104</v>
      </c>
      <c r="BS565" t="s">
        <v>10444</v>
      </c>
      <c r="BT565" t="str">
        <f>HYPERLINK("https%3A%2F%2Fwww.webofscience.com%2Fwos%2Fwoscc%2Ffull-record%2FWOS:000279537500001","View Full Record in Web of Science")</f>
        <v>View Full Record in Web of Science</v>
      </c>
    </row>
    <row r="566" spans="1:72" x14ac:dyDescent="0.15">
      <c r="A566" t="s">
        <v>72</v>
      </c>
      <c r="B566" t="s">
        <v>10445</v>
      </c>
      <c r="C566" t="s">
        <v>74</v>
      </c>
      <c r="D566" t="s">
        <v>74</v>
      </c>
      <c r="E566" t="s">
        <v>74</v>
      </c>
      <c r="F566" t="s">
        <v>10446</v>
      </c>
      <c r="G566" t="s">
        <v>74</v>
      </c>
      <c r="H566" t="s">
        <v>74</v>
      </c>
      <c r="I566" t="s">
        <v>10447</v>
      </c>
      <c r="J566" t="s">
        <v>1702</v>
      </c>
      <c r="K566" t="s">
        <v>74</v>
      </c>
      <c r="L566" t="s">
        <v>74</v>
      </c>
      <c r="M566" t="s">
        <v>78</v>
      </c>
      <c r="N566" t="s">
        <v>79</v>
      </c>
      <c r="O566" t="s">
        <v>74</v>
      </c>
      <c r="P566" t="s">
        <v>74</v>
      </c>
      <c r="Q566" t="s">
        <v>74</v>
      </c>
      <c r="R566" t="s">
        <v>74</v>
      </c>
      <c r="S566" t="s">
        <v>74</v>
      </c>
      <c r="T566" t="s">
        <v>74</v>
      </c>
      <c r="U566" t="s">
        <v>10448</v>
      </c>
      <c r="V566" t="s">
        <v>10449</v>
      </c>
      <c r="W566" t="s">
        <v>10450</v>
      </c>
      <c r="X566" t="s">
        <v>10451</v>
      </c>
      <c r="Y566" t="s">
        <v>10452</v>
      </c>
      <c r="Z566" t="s">
        <v>10453</v>
      </c>
      <c r="AA566" t="s">
        <v>10454</v>
      </c>
      <c r="AB566" t="s">
        <v>10455</v>
      </c>
      <c r="AC566" t="s">
        <v>10456</v>
      </c>
      <c r="AD566" t="s">
        <v>10457</v>
      </c>
      <c r="AE566" t="s">
        <v>10458</v>
      </c>
      <c r="AF566" t="s">
        <v>74</v>
      </c>
      <c r="AG566">
        <v>77</v>
      </c>
      <c r="AH566">
        <v>54</v>
      </c>
      <c r="AI566">
        <v>58</v>
      </c>
      <c r="AJ566">
        <v>0</v>
      </c>
      <c r="AK566">
        <v>24</v>
      </c>
      <c r="AL566" t="s">
        <v>1521</v>
      </c>
      <c r="AM566" t="s">
        <v>1522</v>
      </c>
      <c r="AN566" t="s">
        <v>1523</v>
      </c>
      <c r="AO566" t="s">
        <v>1714</v>
      </c>
      <c r="AP566" t="s">
        <v>1715</v>
      </c>
      <c r="AQ566" t="s">
        <v>74</v>
      </c>
      <c r="AR566" t="s">
        <v>1716</v>
      </c>
      <c r="AS566" t="s">
        <v>1717</v>
      </c>
      <c r="AT566" t="s">
        <v>10441</v>
      </c>
      <c r="AU566">
        <v>2010</v>
      </c>
      <c r="AV566">
        <v>115</v>
      </c>
      <c r="AW566" t="s">
        <v>74</v>
      </c>
      <c r="AX566" t="s">
        <v>74</v>
      </c>
      <c r="AY566" t="s">
        <v>74</v>
      </c>
      <c r="AZ566" t="s">
        <v>74</v>
      </c>
      <c r="BA566" t="s">
        <v>74</v>
      </c>
      <c r="BB566" t="s">
        <v>74</v>
      </c>
      <c r="BC566" t="s">
        <v>74</v>
      </c>
      <c r="BD566" t="s">
        <v>10459</v>
      </c>
      <c r="BE566" t="s">
        <v>10460</v>
      </c>
      <c r="BF566" t="str">
        <f>HYPERLINK("http://dx.doi.org/10.1029/2009JD013605","http://dx.doi.org/10.1029/2009JD013605")</f>
        <v>http://dx.doi.org/10.1029/2009JD013605</v>
      </c>
      <c r="BG566" t="s">
        <v>74</v>
      </c>
      <c r="BH566" t="s">
        <v>74</v>
      </c>
      <c r="BI566">
        <v>18</v>
      </c>
      <c r="BJ566" t="s">
        <v>319</v>
      </c>
      <c r="BK566" t="s">
        <v>100</v>
      </c>
      <c r="BL566" t="s">
        <v>319</v>
      </c>
      <c r="BM566" t="s">
        <v>10461</v>
      </c>
      <c r="BN566" t="s">
        <v>74</v>
      </c>
      <c r="BO566" t="s">
        <v>1533</v>
      </c>
      <c r="BP566" t="s">
        <v>74</v>
      </c>
      <c r="BQ566" t="s">
        <v>74</v>
      </c>
      <c r="BR566" t="s">
        <v>104</v>
      </c>
      <c r="BS566" t="s">
        <v>10462</v>
      </c>
      <c r="BT566" t="str">
        <f>HYPERLINK("https%3A%2F%2Fwww.webofscience.com%2Fwos%2Fwoscc%2Ffull-record%2FWOS:000279824800004","View Full Record in Web of Science")</f>
        <v>View Full Record in Web of Science</v>
      </c>
    </row>
    <row r="567" spans="1:72" x14ac:dyDescent="0.15">
      <c r="A567" t="s">
        <v>72</v>
      </c>
      <c r="B567" t="s">
        <v>10463</v>
      </c>
      <c r="C567" t="s">
        <v>74</v>
      </c>
      <c r="D567" t="s">
        <v>74</v>
      </c>
      <c r="E567" t="s">
        <v>74</v>
      </c>
      <c r="F567" t="s">
        <v>10464</v>
      </c>
      <c r="G567" t="s">
        <v>74</v>
      </c>
      <c r="H567" t="s">
        <v>74</v>
      </c>
      <c r="I567" t="s">
        <v>10465</v>
      </c>
      <c r="J567" t="s">
        <v>1538</v>
      </c>
      <c r="K567" t="s">
        <v>74</v>
      </c>
      <c r="L567" t="s">
        <v>74</v>
      </c>
      <c r="M567" t="s">
        <v>78</v>
      </c>
      <c r="N567" t="s">
        <v>79</v>
      </c>
      <c r="O567" t="s">
        <v>74</v>
      </c>
      <c r="P567" t="s">
        <v>74</v>
      </c>
      <c r="Q567" t="s">
        <v>74</v>
      </c>
      <c r="R567" t="s">
        <v>74</v>
      </c>
      <c r="S567" t="s">
        <v>74</v>
      </c>
      <c r="T567" t="s">
        <v>74</v>
      </c>
      <c r="U567" t="s">
        <v>10466</v>
      </c>
      <c r="V567" t="s">
        <v>10467</v>
      </c>
      <c r="W567" t="s">
        <v>10468</v>
      </c>
      <c r="X567" t="s">
        <v>10469</v>
      </c>
      <c r="Y567" t="s">
        <v>10470</v>
      </c>
      <c r="Z567" t="s">
        <v>10471</v>
      </c>
      <c r="AA567" t="s">
        <v>10472</v>
      </c>
      <c r="AB567" t="s">
        <v>10473</v>
      </c>
      <c r="AC567" t="s">
        <v>10474</v>
      </c>
      <c r="AD567" t="s">
        <v>1402</v>
      </c>
      <c r="AE567" t="s">
        <v>10475</v>
      </c>
      <c r="AF567" t="s">
        <v>74</v>
      </c>
      <c r="AG567">
        <v>28</v>
      </c>
      <c r="AH567">
        <v>320</v>
      </c>
      <c r="AI567">
        <v>431</v>
      </c>
      <c r="AJ567">
        <v>41</v>
      </c>
      <c r="AK567">
        <v>127</v>
      </c>
      <c r="AL567" t="s">
        <v>1521</v>
      </c>
      <c r="AM567" t="s">
        <v>1522</v>
      </c>
      <c r="AN567" t="s">
        <v>1523</v>
      </c>
      <c r="AO567" t="s">
        <v>1550</v>
      </c>
      <c r="AP567" t="s">
        <v>1551</v>
      </c>
      <c r="AQ567" t="s">
        <v>74</v>
      </c>
      <c r="AR567" t="s">
        <v>1552</v>
      </c>
      <c r="AS567" t="s">
        <v>1553</v>
      </c>
      <c r="AT567" t="s">
        <v>10476</v>
      </c>
      <c r="AU567">
        <v>2010</v>
      </c>
      <c r="AV567">
        <v>37</v>
      </c>
      <c r="AW567" t="s">
        <v>74</v>
      </c>
      <c r="AX567" t="s">
        <v>74</v>
      </c>
      <c r="AY567" t="s">
        <v>74</v>
      </c>
      <c r="AZ567" t="s">
        <v>74</v>
      </c>
      <c r="BA567" t="s">
        <v>74</v>
      </c>
      <c r="BB567" t="s">
        <v>74</v>
      </c>
      <c r="BC567" t="s">
        <v>74</v>
      </c>
      <c r="BD567" t="s">
        <v>10477</v>
      </c>
      <c r="BE567" t="s">
        <v>10478</v>
      </c>
      <c r="BF567" t="str">
        <f>HYPERLINK("http://dx.doi.org/10.1029/2010GL043584","http://dx.doi.org/10.1029/2010GL043584")</f>
        <v>http://dx.doi.org/10.1029/2010GL043584</v>
      </c>
      <c r="BG567" t="s">
        <v>74</v>
      </c>
      <c r="BH567" t="s">
        <v>74</v>
      </c>
      <c r="BI567">
        <v>5</v>
      </c>
      <c r="BJ567" t="s">
        <v>1194</v>
      </c>
      <c r="BK567" t="s">
        <v>100</v>
      </c>
      <c r="BL567" t="s">
        <v>807</v>
      </c>
      <c r="BM567" t="s">
        <v>10479</v>
      </c>
      <c r="BN567" t="s">
        <v>74</v>
      </c>
      <c r="BO567" t="s">
        <v>394</v>
      </c>
      <c r="BP567" t="s">
        <v>74</v>
      </c>
      <c r="BQ567" t="s">
        <v>74</v>
      </c>
      <c r="BR567" t="s">
        <v>104</v>
      </c>
      <c r="BS567" t="s">
        <v>10480</v>
      </c>
      <c r="BT567" t="str">
        <f>HYPERLINK("https%3A%2F%2Fwww.webofscience.com%2Fwos%2Fwoscc%2Ffull-record%2FWOS:000279823900003","View Full Record in Web of Science")</f>
        <v>View Full Record in Web of Science</v>
      </c>
    </row>
    <row r="568" spans="1:72" x14ac:dyDescent="0.15">
      <c r="A568" t="s">
        <v>72</v>
      </c>
      <c r="B568" t="s">
        <v>10481</v>
      </c>
      <c r="C568" t="s">
        <v>74</v>
      </c>
      <c r="D568" t="s">
        <v>74</v>
      </c>
      <c r="E568" t="s">
        <v>74</v>
      </c>
      <c r="F568" t="s">
        <v>10482</v>
      </c>
      <c r="G568" t="s">
        <v>74</v>
      </c>
      <c r="H568" t="s">
        <v>74</v>
      </c>
      <c r="I568" t="s">
        <v>10483</v>
      </c>
      <c r="J568" t="s">
        <v>10484</v>
      </c>
      <c r="K568" t="s">
        <v>74</v>
      </c>
      <c r="L568" t="s">
        <v>74</v>
      </c>
      <c r="M568" t="s">
        <v>78</v>
      </c>
      <c r="N568" t="s">
        <v>79</v>
      </c>
      <c r="O568" t="s">
        <v>74</v>
      </c>
      <c r="P568" t="s">
        <v>74</v>
      </c>
      <c r="Q568" t="s">
        <v>74</v>
      </c>
      <c r="R568" t="s">
        <v>74</v>
      </c>
      <c r="S568" t="s">
        <v>74</v>
      </c>
      <c r="T568" t="s">
        <v>10485</v>
      </c>
      <c r="U568" t="s">
        <v>10486</v>
      </c>
      <c r="V568" t="s">
        <v>10487</v>
      </c>
      <c r="W568" t="s">
        <v>10488</v>
      </c>
      <c r="X568" t="s">
        <v>10489</v>
      </c>
      <c r="Y568" t="s">
        <v>10490</v>
      </c>
      <c r="Z568" t="s">
        <v>10491</v>
      </c>
      <c r="AA568" t="s">
        <v>10492</v>
      </c>
      <c r="AB568" t="s">
        <v>10493</v>
      </c>
      <c r="AC568" t="s">
        <v>10494</v>
      </c>
      <c r="AD568" t="s">
        <v>10495</v>
      </c>
      <c r="AE568" t="s">
        <v>10496</v>
      </c>
      <c r="AF568" t="s">
        <v>74</v>
      </c>
      <c r="AG568">
        <v>11</v>
      </c>
      <c r="AH568">
        <v>8</v>
      </c>
      <c r="AI568">
        <v>8</v>
      </c>
      <c r="AJ568">
        <v>0</v>
      </c>
      <c r="AK568">
        <v>5</v>
      </c>
      <c r="AL568" t="s">
        <v>10497</v>
      </c>
      <c r="AM568" t="s">
        <v>10498</v>
      </c>
      <c r="AN568" t="s">
        <v>10499</v>
      </c>
      <c r="AO568" t="s">
        <v>10500</v>
      </c>
      <c r="AP568" t="s">
        <v>74</v>
      </c>
      <c r="AQ568" t="s">
        <v>74</v>
      </c>
      <c r="AR568" t="s">
        <v>10484</v>
      </c>
      <c r="AS568" t="s">
        <v>10501</v>
      </c>
      <c r="AT568" t="s">
        <v>10502</v>
      </c>
      <c r="AU568">
        <v>2010</v>
      </c>
      <c r="AV568">
        <v>124</v>
      </c>
      <c r="AW568">
        <v>2</v>
      </c>
      <c r="AX568" t="s">
        <v>74</v>
      </c>
      <c r="AY568" t="s">
        <v>74</v>
      </c>
      <c r="AZ568" t="s">
        <v>74</v>
      </c>
      <c r="BA568" t="s">
        <v>74</v>
      </c>
      <c r="BB568">
        <v>107</v>
      </c>
      <c r="BC568">
        <v>111</v>
      </c>
      <c r="BD568" t="s">
        <v>74</v>
      </c>
      <c r="BE568" t="s">
        <v>74</v>
      </c>
      <c r="BF568" t="s">
        <v>74</v>
      </c>
      <c r="BG568" t="s">
        <v>74</v>
      </c>
      <c r="BH568" t="s">
        <v>74</v>
      </c>
      <c r="BI568">
        <v>5</v>
      </c>
      <c r="BJ568" t="s">
        <v>10503</v>
      </c>
      <c r="BK568" t="s">
        <v>100</v>
      </c>
      <c r="BL568" t="s">
        <v>10503</v>
      </c>
      <c r="BM568" t="s">
        <v>10504</v>
      </c>
      <c r="BN568" t="s">
        <v>74</v>
      </c>
      <c r="BO568" t="s">
        <v>74</v>
      </c>
      <c r="BP568" t="s">
        <v>74</v>
      </c>
      <c r="BQ568" t="s">
        <v>74</v>
      </c>
      <c r="BR568" t="s">
        <v>104</v>
      </c>
      <c r="BS568" t="s">
        <v>10505</v>
      </c>
      <c r="BT568" t="str">
        <f>HYPERLINK("https%3A%2F%2Fwww.webofscience.com%2Fwos%2Fwoscc%2Ffull-record%2FWOS:000280086200005","View Full Record in Web of Science")</f>
        <v>View Full Record in Web of Science</v>
      </c>
    </row>
    <row r="569" spans="1:72" x14ac:dyDescent="0.15">
      <c r="A569" t="s">
        <v>72</v>
      </c>
      <c r="B569" t="s">
        <v>10506</v>
      </c>
      <c r="C569" t="s">
        <v>74</v>
      </c>
      <c r="D569" t="s">
        <v>74</v>
      </c>
      <c r="E569" t="s">
        <v>74</v>
      </c>
      <c r="F569" t="s">
        <v>10507</v>
      </c>
      <c r="G569" t="s">
        <v>74</v>
      </c>
      <c r="H569" t="s">
        <v>74</v>
      </c>
      <c r="I569" t="s">
        <v>10508</v>
      </c>
      <c r="J569" t="s">
        <v>2132</v>
      </c>
      <c r="K569" t="s">
        <v>74</v>
      </c>
      <c r="L569" t="s">
        <v>74</v>
      </c>
      <c r="M569" t="s">
        <v>78</v>
      </c>
      <c r="N569" t="s">
        <v>79</v>
      </c>
      <c r="O569" t="s">
        <v>74</v>
      </c>
      <c r="P569" t="s">
        <v>74</v>
      </c>
      <c r="Q569" t="s">
        <v>74</v>
      </c>
      <c r="R569" t="s">
        <v>74</v>
      </c>
      <c r="S569" t="s">
        <v>74</v>
      </c>
      <c r="T569" t="s">
        <v>10509</v>
      </c>
      <c r="U569" t="s">
        <v>10510</v>
      </c>
      <c r="V569" t="s">
        <v>10511</v>
      </c>
      <c r="W569" t="s">
        <v>10512</v>
      </c>
      <c r="X569" t="s">
        <v>10513</v>
      </c>
      <c r="Y569" t="s">
        <v>10514</v>
      </c>
      <c r="Z569" t="s">
        <v>10515</v>
      </c>
      <c r="AA569" t="s">
        <v>10516</v>
      </c>
      <c r="AB569" t="s">
        <v>10517</v>
      </c>
      <c r="AC569" t="s">
        <v>10518</v>
      </c>
      <c r="AD569" t="s">
        <v>10519</v>
      </c>
      <c r="AE569" t="s">
        <v>10520</v>
      </c>
      <c r="AF569" t="s">
        <v>74</v>
      </c>
      <c r="AG569">
        <v>40</v>
      </c>
      <c r="AH569">
        <v>57</v>
      </c>
      <c r="AI569">
        <v>59</v>
      </c>
      <c r="AJ569">
        <v>1</v>
      </c>
      <c r="AK569">
        <v>37</v>
      </c>
      <c r="AL569" t="s">
        <v>2143</v>
      </c>
      <c r="AM569" t="s">
        <v>1522</v>
      </c>
      <c r="AN569" t="s">
        <v>2144</v>
      </c>
      <c r="AO569" t="s">
        <v>2145</v>
      </c>
      <c r="AP569" t="s">
        <v>74</v>
      </c>
      <c r="AQ569" t="s">
        <v>74</v>
      </c>
      <c r="AR569" t="s">
        <v>2147</v>
      </c>
      <c r="AS569" t="s">
        <v>2148</v>
      </c>
      <c r="AT569" t="s">
        <v>10521</v>
      </c>
      <c r="AU569">
        <v>2010</v>
      </c>
      <c r="AV569">
        <v>107</v>
      </c>
      <c r="AW569">
        <v>27</v>
      </c>
      <c r="AX569" t="s">
        <v>74</v>
      </c>
      <c r="AY569" t="s">
        <v>74</v>
      </c>
      <c r="AZ569" t="s">
        <v>74</v>
      </c>
      <c r="BA569" t="s">
        <v>74</v>
      </c>
      <c r="BB569">
        <v>12091</v>
      </c>
      <c r="BC569">
        <v>12094</v>
      </c>
      <c r="BD569" t="s">
        <v>74</v>
      </c>
      <c r="BE569" t="s">
        <v>10522</v>
      </c>
      <c r="BF569" t="str">
        <f>HYPERLINK("http://dx.doi.org/10.1073/pnas.0914536107","http://dx.doi.org/10.1073/pnas.0914536107")</f>
        <v>http://dx.doi.org/10.1073/pnas.0914536107</v>
      </c>
      <c r="BG569" t="s">
        <v>74</v>
      </c>
      <c r="BH569" t="s">
        <v>74</v>
      </c>
      <c r="BI569">
        <v>4</v>
      </c>
      <c r="BJ569" t="s">
        <v>444</v>
      </c>
      <c r="BK569" t="s">
        <v>100</v>
      </c>
      <c r="BL569" t="s">
        <v>445</v>
      </c>
      <c r="BM569" t="s">
        <v>10523</v>
      </c>
      <c r="BN569">
        <v>20566887</v>
      </c>
      <c r="BO569" t="s">
        <v>3827</v>
      </c>
      <c r="BP569" t="s">
        <v>74</v>
      </c>
      <c r="BQ569" t="s">
        <v>74</v>
      </c>
      <c r="BR569" t="s">
        <v>104</v>
      </c>
      <c r="BS569" t="s">
        <v>10524</v>
      </c>
      <c r="BT569" t="str">
        <f>HYPERLINK("https%3A%2F%2Fwww.webofscience.com%2Fwos%2Fwoscc%2Ffull-record%2FWOS:000279572100011","View Full Record in Web of Science")</f>
        <v>View Full Record in Web of Science</v>
      </c>
    </row>
    <row r="570" spans="1:72" x14ac:dyDescent="0.15">
      <c r="A570" t="s">
        <v>72</v>
      </c>
      <c r="B570" t="s">
        <v>10525</v>
      </c>
      <c r="C570" t="s">
        <v>74</v>
      </c>
      <c r="D570" t="s">
        <v>74</v>
      </c>
      <c r="E570" t="s">
        <v>74</v>
      </c>
      <c r="F570" t="s">
        <v>10526</v>
      </c>
      <c r="G570" t="s">
        <v>74</v>
      </c>
      <c r="H570" t="s">
        <v>74</v>
      </c>
      <c r="I570" t="s">
        <v>10527</v>
      </c>
      <c r="J570" t="s">
        <v>2132</v>
      </c>
      <c r="K570" t="s">
        <v>74</v>
      </c>
      <c r="L570" t="s">
        <v>74</v>
      </c>
      <c r="M570" t="s">
        <v>78</v>
      </c>
      <c r="N570" t="s">
        <v>79</v>
      </c>
      <c r="O570" t="s">
        <v>74</v>
      </c>
      <c r="P570" t="s">
        <v>74</v>
      </c>
      <c r="Q570" t="s">
        <v>74</v>
      </c>
      <c r="R570" t="s">
        <v>74</v>
      </c>
      <c r="S570" t="s">
        <v>74</v>
      </c>
      <c r="T570" t="s">
        <v>10528</v>
      </c>
      <c r="U570" t="s">
        <v>10529</v>
      </c>
      <c r="V570" t="s">
        <v>10530</v>
      </c>
      <c r="W570" t="s">
        <v>10531</v>
      </c>
      <c r="X570" t="s">
        <v>10532</v>
      </c>
      <c r="Y570" t="s">
        <v>10533</v>
      </c>
      <c r="Z570" t="s">
        <v>10534</v>
      </c>
      <c r="AA570" t="s">
        <v>74</v>
      </c>
      <c r="AB570" t="s">
        <v>74</v>
      </c>
      <c r="AC570" t="s">
        <v>10535</v>
      </c>
      <c r="AD570" t="s">
        <v>10536</v>
      </c>
      <c r="AE570" t="s">
        <v>10537</v>
      </c>
      <c r="AF570" t="s">
        <v>74</v>
      </c>
      <c r="AG570">
        <v>41</v>
      </c>
      <c r="AH570">
        <v>85</v>
      </c>
      <c r="AI570">
        <v>92</v>
      </c>
      <c r="AJ570">
        <v>1</v>
      </c>
      <c r="AK570">
        <v>73</v>
      </c>
      <c r="AL570" t="s">
        <v>2143</v>
      </c>
      <c r="AM570" t="s">
        <v>1522</v>
      </c>
      <c r="AN570" t="s">
        <v>2144</v>
      </c>
      <c r="AO570" t="s">
        <v>2145</v>
      </c>
      <c r="AP570" t="s">
        <v>74</v>
      </c>
      <c r="AQ570" t="s">
        <v>74</v>
      </c>
      <c r="AR570" t="s">
        <v>2147</v>
      </c>
      <c r="AS570" t="s">
        <v>2148</v>
      </c>
      <c r="AT570" t="s">
        <v>10521</v>
      </c>
      <c r="AU570">
        <v>2010</v>
      </c>
      <c r="AV570">
        <v>107</v>
      </c>
      <c r="AW570">
        <v>27</v>
      </c>
      <c r="AX570" t="s">
        <v>74</v>
      </c>
      <c r="AY570" t="s">
        <v>74</v>
      </c>
      <c r="AZ570" t="s">
        <v>74</v>
      </c>
      <c r="BA570" t="s">
        <v>74</v>
      </c>
      <c r="BB570">
        <v>12375</v>
      </c>
      <c r="BC570">
        <v>12380</v>
      </c>
      <c r="BD570" t="s">
        <v>74</v>
      </c>
      <c r="BE570" t="s">
        <v>10538</v>
      </c>
      <c r="BF570" t="str">
        <f>HYPERLINK("http://dx.doi.org/10.1073/pnas.1000623107","http://dx.doi.org/10.1073/pnas.1000623107")</f>
        <v>http://dx.doi.org/10.1073/pnas.1000623107</v>
      </c>
      <c r="BG570" t="s">
        <v>74</v>
      </c>
      <c r="BH570" t="s">
        <v>74</v>
      </c>
      <c r="BI570">
        <v>6</v>
      </c>
      <c r="BJ570" t="s">
        <v>444</v>
      </c>
      <c r="BK570" t="s">
        <v>100</v>
      </c>
      <c r="BL570" t="s">
        <v>445</v>
      </c>
      <c r="BM570" t="s">
        <v>10523</v>
      </c>
      <c r="BN570">
        <v>20566874</v>
      </c>
      <c r="BO570" t="s">
        <v>631</v>
      </c>
      <c r="BP570" t="s">
        <v>74</v>
      </c>
      <c r="BQ570" t="s">
        <v>74</v>
      </c>
      <c r="BR570" t="s">
        <v>104</v>
      </c>
      <c r="BS570" t="s">
        <v>10539</v>
      </c>
      <c r="BT570" t="str">
        <f>HYPERLINK("https%3A%2F%2Fwww.webofscience.com%2Fwos%2Fwoscc%2Ffull-record%2FWOS:000279572100060","View Full Record in Web of Science")</f>
        <v>View Full Record in Web of Science</v>
      </c>
    </row>
    <row r="571" spans="1:72" x14ac:dyDescent="0.15">
      <c r="A571" t="s">
        <v>72</v>
      </c>
      <c r="B571" t="s">
        <v>10540</v>
      </c>
      <c r="C571" t="s">
        <v>74</v>
      </c>
      <c r="D571" t="s">
        <v>74</v>
      </c>
      <c r="E571" t="s">
        <v>74</v>
      </c>
      <c r="F571" t="s">
        <v>10541</v>
      </c>
      <c r="G571" t="s">
        <v>74</v>
      </c>
      <c r="H571" t="s">
        <v>74</v>
      </c>
      <c r="I571" t="s">
        <v>10542</v>
      </c>
      <c r="J571" t="s">
        <v>4882</v>
      </c>
      <c r="K571" t="s">
        <v>74</v>
      </c>
      <c r="L571" t="s">
        <v>74</v>
      </c>
      <c r="M571" t="s">
        <v>78</v>
      </c>
      <c r="N571" t="s">
        <v>79</v>
      </c>
      <c r="O571" t="s">
        <v>74</v>
      </c>
      <c r="P571" t="s">
        <v>74</v>
      </c>
      <c r="Q571" t="s">
        <v>74</v>
      </c>
      <c r="R571" t="s">
        <v>74</v>
      </c>
      <c r="S571" t="s">
        <v>74</v>
      </c>
      <c r="T571" t="s">
        <v>10543</v>
      </c>
      <c r="U571" t="s">
        <v>74</v>
      </c>
      <c r="V571" t="s">
        <v>10544</v>
      </c>
      <c r="W571" t="s">
        <v>10545</v>
      </c>
      <c r="X571" t="s">
        <v>10546</v>
      </c>
      <c r="Y571" t="s">
        <v>10547</v>
      </c>
      <c r="Z571" t="s">
        <v>10548</v>
      </c>
      <c r="AA571" t="s">
        <v>74</v>
      </c>
      <c r="AB571" t="s">
        <v>74</v>
      </c>
      <c r="AC571" t="s">
        <v>10549</v>
      </c>
      <c r="AD571" t="s">
        <v>10549</v>
      </c>
      <c r="AE571" t="s">
        <v>10550</v>
      </c>
      <c r="AF571" t="s">
        <v>74</v>
      </c>
      <c r="AG571">
        <v>11</v>
      </c>
      <c r="AH571">
        <v>9</v>
      </c>
      <c r="AI571">
        <v>13</v>
      </c>
      <c r="AJ571">
        <v>0</v>
      </c>
      <c r="AK571">
        <v>2</v>
      </c>
      <c r="AL571" t="s">
        <v>4895</v>
      </c>
      <c r="AM571" t="s">
        <v>4896</v>
      </c>
      <c r="AN571" t="s">
        <v>4897</v>
      </c>
      <c r="AO571" t="s">
        <v>4898</v>
      </c>
      <c r="AP571" t="s">
        <v>4899</v>
      </c>
      <c r="AQ571" t="s">
        <v>74</v>
      </c>
      <c r="AR571" t="s">
        <v>4882</v>
      </c>
      <c r="AS571" t="s">
        <v>4900</v>
      </c>
      <c r="AT571" t="s">
        <v>10521</v>
      </c>
      <c r="AU571">
        <v>2010</v>
      </c>
      <c r="AV571" t="s">
        <v>74</v>
      </c>
      <c r="AW571">
        <v>2528</v>
      </c>
      <c r="AX571" t="s">
        <v>74</v>
      </c>
      <c r="AY571" t="s">
        <v>74</v>
      </c>
      <c r="AZ571" t="s">
        <v>74</v>
      </c>
      <c r="BA571" t="s">
        <v>74</v>
      </c>
      <c r="BB571">
        <v>61</v>
      </c>
      <c r="BC571">
        <v>68</v>
      </c>
      <c r="BD571" t="s">
        <v>74</v>
      </c>
      <c r="BE571" t="s">
        <v>74</v>
      </c>
      <c r="BF571" t="s">
        <v>74</v>
      </c>
      <c r="BG571" t="s">
        <v>74</v>
      </c>
      <c r="BH571" t="s">
        <v>74</v>
      </c>
      <c r="BI571">
        <v>8</v>
      </c>
      <c r="BJ571" t="s">
        <v>492</v>
      </c>
      <c r="BK571" t="s">
        <v>100</v>
      </c>
      <c r="BL571" t="s">
        <v>492</v>
      </c>
      <c r="BM571" t="s">
        <v>10551</v>
      </c>
      <c r="BN571" t="s">
        <v>74</v>
      </c>
      <c r="BO571" t="s">
        <v>74</v>
      </c>
      <c r="BP571" t="s">
        <v>74</v>
      </c>
      <c r="BQ571" t="s">
        <v>74</v>
      </c>
      <c r="BR571" t="s">
        <v>104</v>
      </c>
      <c r="BS571" t="s">
        <v>10552</v>
      </c>
      <c r="BT571" t="str">
        <f>HYPERLINK("https%3A%2F%2Fwww.webofscience.com%2Fwos%2Fwoscc%2Ffull-record%2FWOS:000279516700004","View Full Record in Web of Science")</f>
        <v>View Full Record in Web of Science</v>
      </c>
    </row>
    <row r="572" spans="1:72" x14ac:dyDescent="0.15">
      <c r="A572" t="s">
        <v>72</v>
      </c>
      <c r="B572" t="s">
        <v>10553</v>
      </c>
      <c r="C572" t="s">
        <v>74</v>
      </c>
      <c r="D572" t="s">
        <v>74</v>
      </c>
      <c r="E572" t="s">
        <v>74</v>
      </c>
      <c r="F572" t="s">
        <v>10554</v>
      </c>
      <c r="G572" t="s">
        <v>74</v>
      </c>
      <c r="H572" t="s">
        <v>74</v>
      </c>
      <c r="I572" t="s">
        <v>10555</v>
      </c>
      <c r="J572" t="s">
        <v>1562</v>
      </c>
      <c r="K572" t="s">
        <v>74</v>
      </c>
      <c r="L572" t="s">
        <v>74</v>
      </c>
      <c r="M572" t="s">
        <v>78</v>
      </c>
      <c r="N572" t="s">
        <v>79</v>
      </c>
      <c r="O572" t="s">
        <v>74</v>
      </c>
      <c r="P572" t="s">
        <v>74</v>
      </c>
      <c r="Q572" t="s">
        <v>74</v>
      </c>
      <c r="R572" t="s">
        <v>74</v>
      </c>
      <c r="S572" t="s">
        <v>74</v>
      </c>
      <c r="T572" t="s">
        <v>74</v>
      </c>
      <c r="U572" t="s">
        <v>10556</v>
      </c>
      <c r="V572" t="s">
        <v>10557</v>
      </c>
      <c r="W572" t="s">
        <v>10558</v>
      </c>
      <c r="X572" t="s">
        <v>10559</v>
      </c>
      <c r="Y572" t="s">
        <v>10560</v>
      </c>
      <c r="Z572" t="s">
        <v>74</v>
      </c>
      <c r="AA572" t="s">
        <v>10561</v>
      </c>
      <c r="AB572" t="s">
        <v>10562</v>
      </c>
      <c r="AC572" t="s">
        <v>10563</v>
      </c>
      <c r="AD572" t="s">
        <v>10564</v>
      </c>
      <c r="AE572" t="s">
        <v>10565</v>
      </c>
      <c r="AF572" t="s">
        <v>74</v>
      </c>
      <c r="AG572">
        <v>106</v>
      </c>
      <c r="AH572">
        <v>6</v>
      </c>
      <c r="AI572">
        <v>7</v>
      </c>
      <c r="AJ572">
        <v>0</v>
      </c>
      <c r="AK572">
        <v>6</v>
      </c>
      <c r="AL572" t="s">
        <v>1521</v>
      </c>
      <c r="AM572" t="s">
        <v>1522</v>
      </c>
      <c r="AN572" t="s">
        <v>1523</v>
      </c>
      <c r="AO572" t="s">
        <v>1574</v>
      </c>
      <c r="AP572" t="s">
        <v>1575</v>
      </c>
      <c r="AQ572" t="s">
        <v>74</v>
      </c>
      <c r="AR572" t="s">
        <v>1576</v>
      </c>
      <c r="AS572" t="s">
        <v>1577</v>
      </c>
      <c r="AT572" t="s">
        <v>10566</v>
      </c>
      <c r="AU572">
        <v>2010</v>
      </c>
      <c r="AV572">
        <v>115</v>
      </c>
      <c r="AW572" t="s">
        <v>74</v>
      </c>
      <c r="AX572" t="s">
        <v>74</v>
      </c>
      <c r="AY572" t="s">
        <v>74</v>
      </c>
      <c r="AZ572" t="s">
        <v>74</v>
      </c>
      <c r="BA572" t="s">
        <v>74</v>
      </c>
      <c r="BB572" t="s">
        <v>74</v>
      </c>
      <c r="BC572" t="s">
        <v>74</v>
      </c>
      <c r="BD572" t="s">
        <v>10567</v>
      </c>
      <c r="BE572" t="s">
        <v>10568</v>
      </c>
      <c r="BF572" t="str">
        <f>HYPERLINK("http://dx.doi.org/10.1029/2009JF001415","http://dx.doi.org/10.1029/2009JF001415")</f>
        <v>http://dx.doi.org/10.1029/2009JF001415</v>
      </c>
      <c r="BG572" t="s">
        <v>74</v>
      </c>
      <c r="BH572" t="s">
        <v>74</v>
      </c>
      <c r="BI572">
        <v>22</v>
      </c>
      <c r="BJ572" t="s">
        <v>1194</v>
      </c>
      <c r="BK572" t="s">
        <v>100</v>
      </c>
      <c r="BL572" t="s">
        <v>807</v>
      </c>
      <c r="BM572" t="s">
        <v>10569</v>
      </c>
      <c r="BN572" t="s">
        <v>74</v>
      </c>
      <c r="BO572" t="s">
        <v>394</v>
      </c>
      <c r="BP572" t="s">
        <v>74</v>
      </c>
      <c r="BQ572" t="s">
        <v>74</v>
      </c>
      <c r="BR572" t="s">
        <v>104</v>
      </c>
      <c r="BS572" t="s">
        <v>10570</v>
      </c>
      <c r="BT572" t="str">
        <f>HYPERLINK("https%3A%2F%2Fwww.webofscience.com%2Fwos%2Fwoscc%2Ffull-record%2FWOS:000279524200001","View Full Record in Web of Science")</f>
        <v>View Full Record in Web of Science</v>
      </c>
    </row>
    <row r="573" spans="1:72" x14ac:dyDescent="0.15">
      <c r="A573" t="s">
        <v>72</v>
      </c>
      <c r="B573" t="s">
        <v>10571</v>
      </c>
      <c r="C573" t="s">
        <v>74</v>
      </c>
      <c r="D573" t="s">
        <v>74</v>
      </c>
      <c r="E573" t="s">
        <v>74</v>
      </c>
      <c r="F573" t="s">
        <v>10572</v>
      </c>
      <c r="G573" t="s">
        <v>74</v>
      </c>
      <c r="H573" t="s">
        <v>74</v>
      </c>
      <c r="I573" t="s">
        <v>10573</v>
      </c>
      <c r="J573" t="s">
        <v>1538</v>
      </c>
      <c r="K573" t="s">
        <v>74</v>
      </c>
      <c r="L573" t="s">
        <v>74</v>
      </c>
      <c r="M573" t="s">
        <v>78</v>
      </c>
      <c r="N573" t="s">
        <v>79</v>
      </c>
      <c r="O573" t="s">
        <v>74</v>
      </c>
      <c r="P573" t="s">
        <v>74</v>
      </c>
      <c r="Q573" t="s">
        <v>74</v>
      </c>
      <c r="R573" t="s">
        <v>74</v>
      </c>
      <c r="S573" t="s">
        <v>74</v>
      </c>
      <c r="T573" t="s">
        <v>74</v>
      </c>
      <c r="U573" t="s">
        <v>10574</v>
      </c>
      <c r="V573" t="s">
        <v>10575</v>
      </c>
      <c r="W573" t="s">
        <v>10576</v>
      </c>
      <c r="X573" t="s">
        <v>10577</v>
      </c>
      <c r="Y573" t="s">
        <v>10578</v>
      </c>
      <c r="Z573" t="s">
        <v>10579</v>
      </c>
      <c r="AA573" t="s">
        <v>10580</v>
      </c>
      <c r="AB573" t="s">
        <v>10581</v>
      </c>
      <c r="AC573" t="s">
        <v>10582</v>
      </c>
      <c r="AD573" t="s">
        <v>10583</v>
      </c>
      <c r="AE573" t="s">
        <v>10584</v>
      </c>
      <c r="AF573" t="s">
        <v>74</v>
      </c>
      <c r="AG573">
        <v>26</v>
      </c>
      <c r="AH573">
        <v>43</v>
      </c>
      <c r="AI573">
        <v>43</v>
      </c>
      <c r="AJ573">
        <v>0</v>
      </c>
      <c r="AK573">
        <v>6</v>
      </c>
      <c r="AL573" t="s">
        <v>1521</v>
      </c>
      <c r="AM573" t="s">
        <v>1522</v>
      </c>
      <c r="AN573" t="s">
        <v>1523</v>
      </c>
      <c r="AO573" t="s">
        <v>1550</v>
      </c>
      <c r="AP573" t="s">
        <v>1551</v>
      </c>
      <c r="AQ573" t="s">
        <v>74</v>
      </c>
      <c r="AR573" t="s">
        <v>1552</v>
      </c>
      <c r="AS573" t="s">
        <v>1553</v>
      </c>
      <c r="AT573" t="s">
        <v>10585</v>
      </c>
      <c r="AU573">
        <v>2010</v>
      </c>
      <c r="AV573">
        <v>37</v>
      </c>
      <c r="AW573" t="s">
        <v>74</v>
      </c>
      <c r="AX573" t="s">
        <v>74</v>
      </c>
      <c r="AY573" t="s">
        <v>74</v>
      </c>
      <c r="AZ573" t="s">
        <v>74</v>
      </c>
      <c r="BA573" t="s">
        <v>74</v>
      </c>
      <c r="BB573" t="s">
        <v>74</v>
      </c>
      <c r="BC573" t="s">
        <v>74</v>
      </c>
      <c r="BD573" t="s">
        <v>10586</v>
      </c>
      <c r="BE573" t="s">
        <v>10587</v>
      </c>
      <c r="BF573" t="str">
        <f>HYPERLINK("http://dx.doi.org/10.1029/2010GL043603","http://dx.doi.org/10.1029/2010GL043603")</f>
        <v>http://dx.doi.org/10.1029/2010GL043603</v>
      </c>
      <c r="BG573" t="s">
        <v>74</v>
      </c>
      <c r="BH573" t="s">
        <v>74</v>
      </c>
      <c r="BI573">
        <v>5</v>
      </c>
      <c r="BJ573" t="s">
        <v>1194</v>
      </c>
      <c r="BK573" t="s">
        <v>100</v>
      </c>
      <c r="BL573" t="s">
        <v>807</v>
      </c>
      <c r="BM573" t="s">
        <v>10588</v>
      </c>
      <c r="BN573" t="s">
        <v>74</v>
      </c>
      <c r="BO573" t="s">
        <v>74</v>
      </c>
      <c r="BP573" t="s">
        <v>74</v>
      </c>
      <c r="BQ573" t="s">
        <v>74</v>
      </c>
      <c r="BR573" t="s">
        <v>104</v>
      </c>
      <c r="BS573" t="s">
        <v>10589</v>
      </c>
      <c r="BT573" t="str">
        <f>HYPERLINK("https%3A%2F%2Fwww.webofscience.com%2Fwos%2Fwoscc%2Ffull-record%2FWOS:000279498700004","View Full Record in Web of Science")</f>
        <v>View Full Record in Web of Science</v>
      </c>
    </row>
    <row r="574" spans="1:72" x14ac:dyDescent="0.15">
      <c r="A574" t="s">
        <v>72</v>
      </c>
      <c r="B574" t="s">
        <v>10590</v>
      </c>
      <c r="C574" t="s">
        <v>74</v>
      </c>
      <c r="D574" t="s">
        <v>74</v>
      </c>
      <c r="E574" t="s">
        <v>74</v>
      </c>
      <c r="F574" t="s">
        <v>10591</v>
      </c>
      <c r="G574" t="s">
        <v>74</v>
      </c>
      <c r="H574" t="s">
        <v>74</v>
      </c>
      <c r="I574" t="s">
        <v>10592</v>
      </c>
      <c r="J574" t="s">
        <v>10593</v>
      </c>
      <c r="K574" t="s">
        <v>74</v>
      </c>
      <c r="L574" t="s">
        <v>74</v>
      </c>
      <c r="M574" t="s">
        <v>78</v>
      </c>
      <c r="N574" t="s">
        <v>79</v>
      </c>
      <c r="O574" t="s">
        <v>74</v>
      </c>
      <c r="P574" t="s">
        <v>74</v>
      </c>
      <c r="Q574" t="s">
        <v>74</v>
      </c>
      <c r="R574" t="s">
        <v>74</v>
      </c>
      <c r="S574" t="s">
        <v>74</v>
      </c>
      <c r="T574" t="s">
        <v>10594</v>
      </c>
      <c r="U574" t="s">
        <v>10595</v>
      </c>
      <c r="V574" t="s">
        <v>10596</v>
      </c>
      <c r="W574" t="s">
        <v>10597</v>
      </c>
      <c r="X574" t="s">
        <v>10598</v>
      </c>
      <c r="Y574" t="s">
        <v>10599</v>
      </c>
      <c r="Z574" t="s">
        <v>10600</v>
      </c>
      <c r="AA574" t="s">
        <v>10601</v>
      </c>
      <c r="AB574" t="s">
        <v>74</v>
      </c>
      <c r="AC574" t="s">
        <v>10602</v>
      </c>
      <c r="AD574" t="s">
        <v>10603</v>
      </c>
      <c r="AE574" t="s">
        <v>10604</v>
      </c>
      <c r="AF574" t="s">
        <v>74</v>
      </c>
      <c r="AG574">
        <v>46</v>
      </c>
      <c r="AH574">
        <v>39</v>
      </c>
      <c r="AI574">
        <v>39</v>
      </c>
      <c r="AJ574">
        <v>0</v>
      </c>
      <c r="AK574">
        <v>6</v>
      </c>
      <c r="AL574" t="s">
        <v>10605</v>
      </c>
      <c r="AM574" t="s">
        <v>6948</v>
      </c>
      <c r="AN574" t="s">
        <v>10606</v>
      </c>
      <c r="AO574" t="s">
        <v>10607</v>
      </c>
      <c r="AP574" t="s">
        <v>74</v>
      </c>
      <c r="AQ574" t="s">
        <v>74</v>
      </c>
      <c r="AR574" t="s">
        <v>10608</v>
      </c>
      <c r="AS574" t="s">
        <v>10609</v>
      </c>
      <c r="AT574" t="s">
        <v>10610</v>
      </c>
      <c r="AU574">
        <v>2010</v>
      </c>
      <c r="AV574">
        <v>37</v>
      </c>
      <c r="AW574">
        <v>2</v>
      </c>
      <c r="AX574" t="s">
        <v>74</v>
      </c>
      <c r="AY574" t="s">
        <v>74</v>
      </c>
      <c r="AZ574" t="s">
        <v>74</v>
      </c>
      <c r="BA574" t="s">
        <v>74</v>
      </c>
      <c r="BB574">
        <v>253</v>
      </c>
      <c r="BC574">
        <v>275</v>
      </c>
      <c r="BD574" t="s">
        <v>74</v>
      </c>
      <c r="BE574" t="s">
        <v>10611</v>
      </c>
      <c r="BF574" t="str">
        <f>HYPERLINK("http://dx.doi.org/10.5027/andgeoV37n2-a01","http://dx.doi.org/10.5027/andgeoV37n2-a01")</f>
        <v>http://dx.doi.org/10.5027/andgeoV37n2-a01</v>
      </c>
      <c r="BG574" t="s">
        <v>74</v>
      </c>
      <c r="BH574" t="s">
        <v>74</v>
      </c>
      <c r="BI574">
        <v>23</v>
      </c>
      <c r="BJ574" t="s">
        <v>807</v>
      </c>
      <c r="BK574" t="s">
        <v>100</v>
      </c>
      <c r="BL574" t="s">
        <v>807</v>
      </c>
      <c r="BM574" t="s">
        <v>10612</v>
      </c>
      <c r="BN574" t="s">
        <v>74</v>
      </c>
      <c r="BO574" t="s">
        <v>10613</v>
      </c>
      <c r="BP574" t="s">
        <v>74</v>
      </c>
      <c r="BQ574" t="s">
        <v>74</v>
      </c>
      <c r="BR574" t="s">
        <v>104</v>
      </c>
      <c r="BS574" t="s">
        <v>10614</v>
      </c>
      <c r="BT574" t="str">
        <f>HYPERLINK("https%3A%2F%2Fwww.webofscience.com%2Fwos%2Fwoscc%2Ffull-record%2FWOS:000280276300001","View Full Record in Web of Science")</f>
        <v>View Full Record in Web of Science</v>
      </c>
    </row>
    <row r="575" spans="1:72" x14ac:dyDescent="0.15">
      <c r="A575" t="s">
        <v>72</v>
      </c>
      <c r="B575" t="s">
        <v>10615</v>
      </c>
      <c r="C575" t="s">
        <v>74</v>
      </c>
      <c r="D575" t="s">
        <v>74</v>
      </c>
      <c r="E575" t="s">
        <v>74</v>
      </c>
      <c r="F575" t="s">
        <v>10616</v>
      </c>
      <c r="G575" t="s">
        <v>74</v>
      </c>
      <c r="H575" t="s">
        <v>74</v>
      </c>
      <c r="I575" t="s">
        <v>10617</v>
      </c>
      <c r="J575" t="s">
        <v>10593</v>
      </c>
      <c r="K575" t="s">
        <v>74</v>
      </c>
      <c r="L575" t="s">
        <v>74</v>
      </c>
      <c r="M575" t="s">
        <v>78</v>
      </c>
      <c r="N575" t="s">
        <v>79</v>
      </c>
      <c r="O575" t="s">
        <v>74</v>
      </c>
      <c r="P575" t="s">
        <v>74</v>
      </c>
      <c r="Q575" t="s">
        <v>74</v>
      </c>
      <c r="R575" t="s">
        <v>74</v>
      </c>
      <c r="S575" t="s">
        <v>74</v>
      </c>
      <c r="T575" t="s">
        <v>10618</v>
      </c>
      <c r="U575" t="s">
        <v>10619</v>
      </c>
      <c r="V575" t="s">
        <v>10620</v>
      </c>
      <c r="W575" t="s">
        <v>10621</v>
      </c>
      <c r="X575" t="s">
        <v>844</v>
      </c>
      <c r="Y575" t="s">
        <v>10622</v>
      </c>
      <c r="Z575" t="s">
        <v>10623</v>
      </c>
      <c r="AA575" t="s">
        <v>10624</v>
      </c>
      <c r="AB575" t="s">
        <v>10625</v>
      </c>
      <c r="AC575" t="s">
        <v>10626</v>
      </c>
      <c r="AD575" t="s">
        <v>10627</v>
      </c>
      <c r="AE575" t="s">
        <v>10628</v>
      </c>
      <c r="AF575" t="s">
        <v>74</v>
      </c>
      <c r="AG575">
        <v>53</v>
      </c>
      <c r="AH575">
        <v>14</v>
      </c>
      <c r="AI575">
        <v>18</v>
      </c>
      <c r="AJ575">
        <v>0</v>
      </c>
      <c r="AK575">
        <v>9</v>
      </c>
      <c r="AL575" t="s">
        <v>10605</v>
      </c>
      <c r="AM575" t="s">
        <v>6948</v>
      </c>
      <c r="AN575" t="s">
        <v>10606</v>
      </c>
      <c r="AO575" t="s">
        <v>10607</v>
      </c>
      <c r="AP575" t="s">
        <v>74</v>
      </c>
      <c r="AQ575" t="s">
        <v>74</v>
      </c>
      <c r="AR575" t="s">
        <v>10608</v>
      </c>
      <c r="AS575" t="s">
        <v>10609</v>
      </c>
      <c r="AT575" t="s">
        <v>10610</v>
      </c>
      <c r="AU575">
        <v>2010</v>
      </c>
      <c r="AV575">
        <v>37</v>
      </c>
      <c r="AW575">
        <v>2</v>
      </c>
      <c r="AX575" t="s">
        <v>74</v>
      </c>
      <c r="AY575" t="s">
        <v>74</v>
      </c>
      <c r="AZ575" t="s">
        <v>74</v>
      </c>
      <c r="BA575" t="s">
        <v>74</v>
      </c>
      <c r="BB575">
        <v>329</v>
      </c>
      <c r="BC575">
        <v>344</v>
      </c>
      <c r="BD575" t="s">
        <v>74</v>
      </c>
      <c r="BE575" t="s">
        <v>10629</v>
      </c>
      <c r="BF575" t="str">
        <f>HYPERLINK("http://dx.doi.org/10.5027/andgeoV37n2-a04","http://dx.doi.org/10.5027/andgeoV37n2-a04")</f>
        <v>http://dx.doi.org/10.5027/andgeoV37n2-a04</v>
      </c>
      <c r="BG575" t="s">
        <v>74</v>
      </c>
      <c r="BH575" t="s">
        <v>74</v>
      </c>
      <c r="BI575">
        <v>16</v>
      </c>
      <c r="BJ575" t="s">
        <v>807</v>
      </c>
      <c r="BK575" t="s">
        <v>100</v>
      </c>
      <c r="BL575" t="s">
        <v>807</v>
      </c>
      <c r="BM575" t="s">
        <v>10612</v>
      </c>
      <c r="BN575" t="s">
        <v>74</v>
      </c>
      <c r="BO575" t="s">
        <v>74</v>
      </c>
      <c r="BP575" t="s">
        <v>74</v>
      </c>
      <c r="BQ575" t="s">
        <v>74</v>
      </c>
      <c r="BR575" t="s">
        <v>104</v>
      </c>
      <c r="BS575" t="s">
        <v>10630</v>
      </c>
      <c r="BT575" t="str">
        <f>HYPERLINK("https%3A%2F%2Fwww.webofscience.com%2Fwos%2Fwoscc%2Ffull-record%2FWOS:000280276300004","View Full Record in Web of Science")</f>
        <v>View Full Record in Web of Science</v>
      </c>
    </row>
    <row r="576" spans="1:72" x14ac:dyDescent="0.15">
      <c r="A576" t="s">
        <v>72</v>
      </c>
      <c r="B576" t="s">
        <v>10631</v>
      </c>
      <c r="C576" t="s">
        <v>74</v>
      </c>
      <c r="D576" t="s">
        <v>74</v>
      </c>
      <c r="E576" t="s">
        <v>74</v>
      </c>
      <c r="F576" t="s">
        <v>10632</v>
      </c>
      <c r="G576" t="s">
        <v>74</v>
      </c>
      <c r="H576" t="s">
        <v>74</v>
      </c>
      <c r="I576" t="s">
        <v>10633</v>
      </c>
      <c r="J576" t="s">
        <v>10593</v>
      </c>
      <c r="K576" t="s">
        <v>74</v>
      </c>
      <c r="L576" t="s">
        <v>74</v>
      </c>
      <c r="M576" t="s">
        <v>4311</v>
      </c>
      <c r="N576" t="s">
        <v>79</v>
      </c>
      <c r="O576" t="s">
        <v>74</v>
      </c>
      <c r="P576" t="s">
        <v>74</v>
      </c>
      <c r="Q576" t="s">
        <v>74</v>
      </c>
      <c r="R576" t="s">
        <v>74</v>
      </c>
      <c r="S576" t="s">
        <v>74</v>
      </c>
      <c r="T576" t="s">
        <v>10634</v>
      </c>
      <c r="U576" t="s">
        <v>10635</v>
      </c>
      <c r="V576" t="s">
        <v>10636</v>
      </c>
      <c r="W576" t="s">
        <v>10637</v>
      </c>
      <c r="X576" t="s">
        <v>10638</v>
      </c>
      <c r="Y576" t="s">
        <v>10639</v>
      </c>
      <c r="Z576" t="s">
        <v>10640</v>
      </c>
      <c r="AA576" t="s">
        <v>74</v>
      </c>
      <c r="AB576" t="s">
        <v>74</v>
      </c>
      <c r="AC576" t="s">
        <v>74</v>
      </c>
      <c r="AD576" t="s">
        <v>74</v>
      </c>
      <c r="AE576" t="s">
        <v>74</v>
      </c>
      <c r="AF576" t="s">
        <v>74</v>
      </c>
      <c r="AG576">
        <v>142</v>
      </c>
      <c r="AH576">
        <v>17</v>
      </c>
      <c r="AI576">
        <v>20</v>
      </c>
      <c r="AJ576">
        <v>0</v>
      </c>
      <c r="AK576">
        <v>8</v>
      </c>
      <c r="AL576" t="s">
        <v>10605</v>
      </c>
      <c r="AM576" t="s">
        <v>6948</v>
      </c>
      <c r="AN576" t="s">
        <v>10606</v>
      </c>
      <c r="AO576" t="s">
        <v>10607</v>
      </c>
      <c r="AP576" t="s">
        <v>74</v>
      </c>
      <c r="AQ576" t="s">
        <v>74</v>
      </c>
      <c r="AR576" t="s">
        <v>10608</v>
      </c>
      <c r="AS576" t="s">
        <v>10609</v>
      </c>
      <c r="AT576" t="s">
        <v>10610</v>
      </c>
      <c r="AU576">
        <v>2010</v>
      </c>
      <c r="AV576">
        <v>37</v>
      </c>
      <c r="AW576">
        <v>2</v>
      </c>
      <c r="AX576" t="s">
        <v>74</v>
      </c>
      <c r="AY576" t="s">
        <v>74</v>
      </c>
      <c r="AZ576" t="s">
        <v>74</v>
      </c>
      <c r="BA576" t="s">
        <v>74</v>
      </c>
      <c r="BB576">
        <v>345</v>
      </c>
      <c r="BC576">
        <v>374</v>
      </c>
      <c r="BD576" t="s">
        <v>74</v>
      </c>
      <c r="BE576" t="s">
        <v>10641</v>
      </c>
      <c r="BF576" t="str">
        <f>HYPERLINK("http://dx.doi.org/10.5027/andgeoV37n2-a05","http://dx.doi.org/10.5027/andgeoV37n2-a05")</f>
        <v>http://dx.doi.org/10.5027/andgeoV37n2-a05</v>
      </c>
      <c r="BG576" t="s">
        <v>74</v>
      </c>
      <c r="BH576" t="s">
        <v>74</v>
      </c>
      <c r="BI576">
        <v>30</v>
      </c>
      <c r="BJ576" t="s">
        <v>807</v>
      </c>
      <c r="BK576" t="s">
        <v>100</v>
      </c>
      <c r="BL576" t="s">
        <v>807</v>
      </c>
      <c r="BM576" t="s">
        <v>10612</v>
      </c>
      <c r="BN576" t="s">
        <v>74</v>
      </c>
      <c r="BO576" t="s">
        <v>10642</v>
      </c>
      <c r="BP576" t="s">
        <v>74</v>
      </c>
      <c r="BQ576" t="s">
        <v>74</v>
      </c>
      <c r="BR576" t="s">
        <v>104</v>
      </c>
      <c r="BS576" t="s">
        <v>10643</v>
      </c>
      <c r="BT576" t="str">
        <f>HYPERLINK("https%3A%2F%2Fwww.webofscience.com%2Fwos%2Fwoscc%2Ffull-record%2FWOS:000280276300005","View Full Record in Web of Science")</f>
        <v>View Full Record in Web of Science</v>
      </c>
    </row>
    <row r="577" spans="1:72" x14ac:dyDescent="0.15">
      <c r="A577" t="s">
        <v>72</v>
      </c>
      <c r="B577" t="s">
        <v>10644</v>
      </c>
      <c r="C577" t="s">
        <v>74</v>
      </c>
      <c r="D577" t="s">
        <v>74</v>
      </c>
      <c r="E577" t="s">
        <v>74</v>
      </c>
      <c r="F577" t="s">
        <v>10645</v>
      </c>
      <c r="G577" t="s">
        <v>74</v>
      </c>
      <c r="H577" t="s">
        <v>74</v>
      </c>
      <c r="I577" t="s">
        <v>10646</v>
      </c>
      <c r="J577" t="s">
        <v>5429</v>
      </c>
      <c r="K577" t="s">
        <v>74</v>
      </c>
      <c r="L577" t="s">
        <v>74</v>
      </c>
      <c r="M577" t="s">
        <v>78</v>
      </c>
      <c r="N577" t="s">
        <v>79</v>
      </c>
      <c r="O577" t="s">
        <v>74</v>
      </c>
      <c r="P577" t="s">
        <v>74</v>
      </c>
      <c r="Q577" t="s">
        <v>74</v>
      </c>
      <c r="R577" t="s">
        <v>74</v>
      </c>
      <c r="S577" t="s">
        <v>74</v>
      </c>
      <c r="T577" t="s">
        <v>10647</v>
      </c>
      <c r="U577" t="s">
        <v>10648</v>
      </c>
      <c r="V577" t="s">
        <v>10649</v>
      </c>
      <c r="W577" t="s">
        <v>10650</v>
      </c>
      <c r="X577" t="s">
        <v>10651</v>
      </c>
      <c r="Y577" t="s">
        <v>10652</v>
      </c>
      <c r="Z577" t="s">
        <v>10653</v>
      </c>
      <c r="AA577" t="s">
        <v>10654</v>
      </c>
      <c r="AB577" t="s">
        <v>10655</v>
      </c>
      <c r="AC577" t="s">
        <v>10656</v>
      </c>
      <c r="AD577" t="s">
        <v>10657</v>
      </c>
      <c r="AE577" t="s">
        <v>10658</v>
      </c>
      <c r="AF577" t="s">
        <v>74</v>
      </c>
      <c r="AG577">
        <v>30</v>
      </c>
      <c r="AH577">
        <v>37</v>
      </c>
      <c r="AI577">
        <v>38</v>
      </c>
      <c r="AJ577">
        <v>2</v>
      </c>
      <c r="AK577">
        <v>23</v>
      </c>
      <c r="AL577" t="s">
        <v>3701</v>
      </c>
      <c r="AM577" t="s">
        <v>3702</v>
      </c>
      <c r="AN577" t="s">
        <v>3703</v>
      </c>
      <c r="AO577" t="s">
        <v>5437</v>
      </c>
      <c r="AP577" t="s">
        <v>74</v>
      </c>
      <c r="AQ577" t="s">
        <v>74</v>
      </c>
      <c r="AR577" t="s">
        <v>5439</v>
      </c>
      <c r="AS577" t="s">
        <v>5440</v>
      </c>
      <c r="AT577" t="s">
        <v>10659</v>
      </c>
      <c r="AU577">
        <v>2010</v>
      </c>
      <c r="AV577">
        <v>20</v>
      </c>
      <c r="AW577">
        <v>5</v>
      </c>
      <c r="AX577" t="s">
        <v>74</v>
      </c>
      <c r="AY577" t="s">
        <v>74</v>
      </c>
      <c r="AZ577" t="s">
        <v>74</v>
      </c>
      <c r="BA577" t="s">
        <v>74</v>
      </c>
      <c r="BB577">
        <v>531</v>
      </c>
      <c r="BC577">
        <v>542</v>
      </c>
      <c r="BD577" t="s">
        <v>74</v>
      </c>
      <c r="BE577" t="s">
        <v>10660</v>
      </c>
      <c r="BF577" t="str">
        <f>HYPERLINK("http://dx.doi.org/10.1002/aqc.1115","http://dx.doi.org/10.1002/aqc.1115")</f>
        <v>http://dx.doi.org/10.1002/aqc.1115</v>
      </c>
      <c r="BG577" t="s">
        <v>74</v>
      </c>
      <c r="BH577" t="s">
        <v>74</v>
      </c>
      <c r="BI577">
        <v>12</v>
      </c>
      <c r="BJ577" t="s">
        <v>5443</v>
      </c>
      <c r="BK577" t="s">
        <v>100</v>
      </c>
      <c r="BL577" t="s">
        <v>5444</v>
      </c>
      <c r="BM577" t="s">
        <v>10661</v>
      </c>
      <c r="BN577" t="s">
        <v>74</v>
      </c>
      <c r="BO577" t="s">
        <v>74</v>
      </c>
      <c r="BP577" t="s">
        <v>74</v>
      </c>
      <c r="BQ577" t="s">
        <v>74</v>
      </c>
      <c r="BR577" t="s">
        <v>104</v>
      </c>
      <c r="BS577" t="s">
        <v>10662</v>
      </c>
      <c r="BT577" t="str">
        <f>HYPERLINK("https%3A%2F%2Fwww.webofscience.com%2Fwos%2Fwoscc%2Ffull-record%2FWOS:000280636900006","View Full Record in Web of Science")</f>
        <v>View Full Record in Web of Science</v>
      </c>
    </row>
    <row r="578" spans="1:72" x14ac:dyDescent="0.15">
      <c r="A578" t="s">
        <v>72</v>
      </c>
      <c r="B578" t="s">
        <v>10663</v>
      </c>
      <c r="C578" t="s">
        <v>74</v>
      </c>
      <c r="D578" t="s">
        <v>74</v>
      </c>
      <c r="E578" t="s">
        <v>74</v>
      </c>
      <c r="F578" t="s">
        <v>10664</v>
      </c>
      <c r="G578" t="s">
        <v>74</v>
      </c>
      <c r="H578" t="s">
        <v>74</v>
      </c>
      <c r="I578" t="s">
        <v>10665</v>
      </c>
      <c r="J578" t="s">
        <v>10666</v>
      </c>
      <c r="K578" t="s">
        <v>74</v>
      </c>
      <c r="L578" t="s">
        <v>74</v>
      </c>
      <c r="M578" t="s">
        <v>78</v>
      </c>
      <c r="N578" t="s">
        <v>79</v>
      </c>
      <c r="O578" t="s">
        <v>74</v>
      </c>
      <c r="P578" t="s">
        <v>74</v>
      </c>
      <c r="Q578" t="s">
        <v>74</v>
      </c>
      <c r="R578" t="s">
        <v>74</v>
      </c>
      <c r="S578" t="s">
        <v>74</v>
      </c>
      <c r="T578" t="s">
        <v>74</v>
      </c>
      <c r="U578" t="s">
        <v>74</v>
      </c>
      <c r="V578" t="s">
        <v>74</v>
      </c>
      <c r="W578" t="s">
        <v>74</v>
      </c>
      <c r="X578" t="s">
        <v>74</v>
      </c>
      <c r="Y578" t="s">
        <v>74</v>
      </c>
      <c r="Z578" t="s">
        <v>74</v>
      </c>
      <c r="AA578" t="s">
        <v>74</v>
      </c>
      <c r="AB578" t="s">
        <v>74</v>
      </c>
      <c r="AC578" t="s">
        <v>74</v>
      </c>
      <c r="AD578" t="s">
        <v>74</v>
      </c>
      <c r="AE578" t="s">
        <v>74</v>
      </c>
      <c r="AF578" t="s">
        <v>74</v>
      </c>
      <c r="AG578">
        <v>1</v>
      </c>
      <c r="AH578">
        <v>0</v>
      </c>
      <c r="AI578">
        <v>0</v>
      </c>
      <c r="AJ578">
        <v>0</v>
      </c>
      <c r="AK578">
        <v>0</v>
      </c>
      <c r="AL578" t="s">
        <v>10667</v>
      </c>
      <c r="AM578" t="s">
        <v>1598</v>
      </c>
      <c r="AN578" t="s">
        <v>10668</v>
      </c>
      <c r="AO578" t="s">
        <v>10669</v>
      </c>
      <c r="AP578" t="s">
        <v>74</v>
      </c>
      <c r="AQ578" t="s">
        <v>74</v>
      </c>
      <c r="AR578" t="s">
        <v>10670</v>
      </c>
      <c r="AS578" t="s">
        <v>10671</v>
      </c>
      <c r="AT578" t="s">
        <v>10610</v>
      </c>
      <c r="AU578">
        <v>2010</v>
      </c>
      <c r="AV578">
        <v>228</v>
      </c>
      <c r="AW578">
        <v>1361</v>
      </c>
      <c r="AX578" t="s">
        <v>74</v>
      </c>
      <c r="AY578" t="s">
        <v>74</v>
      </c>
      <c r="AZ578" t="s">
        <v>74</v>
      </c>
      <c r="BA578" t="s">
        <v>74</v>
      </c>
      <c r="BB578">
        <v>86</v>
      </c>
      <c r="BC578">
        <v>91</v>
      </c>
      <c r="BD578" t="s">
        <v>74</v>
      </c>
      <c r="BE578" t="s">
        <v>74</v>
      </c>
      <c r="BF578" t="s">
        <v>74</v>
      </c>
      <c r="BG578" t="s">
        <v>74</v>
      </c>
      <c r="BH578" t="s">
        <v>74</v>
      </c>
      <c r="BI578">
        <v>6</v>
      </c>
      <c r="BJ578" t="s">
        <v>10672</v>
      </c>
      <c r="BK578" t="s">
        <v>10673</v>
      </c>
      <c r="BL578" t="s">
        <v>10672</v>
      </c>
      <c r="BM578" t="s">
        <v>10674</v>
      </c>
      <c r="BN578" t="s">
        <v>74</v>
      </c>
      <c r="BO578" t="s">
        <v>74</v>
      </c>
      <c r="BP578" t="s">
        <v>74</v>
      </c>
      <c r="BQ578" t="s">
        <v>74</v>
      </c>
      <c r="BR578" t="s">
        <v>104</v>
      </c>
      <c r="BS578" t="s">
        <v>10675</v>
      </c>
      <c r="BT578" t="str">
        <f>HYPERLINK("https%3A%2F%2Fwww.webofscience.com%2Fwos%2Fwoscc%2Ffull-record%2FWOS:000282258400014","View Full Record in Web of Science")</f>
        <v>View Full Record in Web of Science</v>
      </c>
    </row>
    <row r="579" spans="1:72" x14ac:dyDescent="0.15">
      <c r="A579" t="s">
        <v>72</v>
      </c>
      <c r="B579" t="s">
        <v>10676</v>
      </c>
      <c r="C579" t="s">
        <v>74</v>
      </c>
      <c r="D579" t="s">
        <v>74</v>
      </c>
      <c r="E579" t="s">
        <v>74</v>
      </c>
      <c r="F579" t="s">
        <v>10677</v>
      </c>
      <c r="G579" t="s">
        <v>74</v>
      </c>
      <c r="H579" t="s">
        <v>74</v>
      </c>
      <c r="I579" t="s">
        <v>10678</v>
      </c>
      <c r="J579" t="s">
        <v>10679</v>
      </c>
      <c r="K579" t="s">
        <v>74</v>
      </c>
      <c r="L579" t="s">
        <v>74</v>
      </c>
      <c r="M579" t="s">
        <v>78</v>
      </c>
      <c r="N579" t="s">
        <v>79</v>
      </c>
      <c r="O579" t="s">
        <v>74</v>
      </c>
      <c r="P579" t="s">
        <v>74</v>
      </c>
      <c r="Q579" t="s">
        <v>74</v>
      </c>
      <c r="R579" t="s">
        <v>74</v>
      </c>
      <c r="S579" t="s">
        <v>74</v>
      </c>
      <c r="T579" t="s">
        <v>10680</v>
      </c>
      <c r="U579" t="s">
        <v>74</v>
      </c>
      <c r="V579" t="s">
        <v>10681</v>
      </c>
      <c r="W579" t="s">
        <v>10682</v>
      </c>
      <c r="X579" t="s">
        <v>10683</v>
      </c>
      <c r="Y579" t="s">
        <v>10684</v>
      </c>
      <c r="Z579" t="s">
        <v>74</v>
      </c>
      <c r="AA579" t="s">
        <v>74</v>
      </c>
      <c r="AB579" t="s">
        <v>74</v>
      </c>
      <c r="AC579" t="s">
        <v>74</v>
      </c>
      <c r="AD579" t="s">
        <v>74</v>
      </c>
      <c r="AE579" t="s">
        <v>74</v>
      </c>
      <c r="AF579" t="s">
        <v>74</v>
      </c>
      <c r="AG579">
        <v>35</v>
      </c>
      <c r="AH579">
        <v>19</v>
      </c>
      <c r="AI579">
        <v>25</v>
      </c>
      <c r="AJ579">
        <v>0</v>
      </c>
      <c r="AK579">
        <v>14</v>
      </c>
      <c r="AL579" t="s">
        <v>10685</v>
      </c>
      <c r="AM579" t="s">
        <v>10686</v>
      </c>
      <c r="AN579" t="s">
        <v>10687</v>
      </c>
      <c r="AO579" t="s">
        <v>10688</v>
      </c>
      <c r="AP579" t="s">
        <v>10689</v>
      </c>
      <c r="AQ579" t="s">
        <v>74</v>
      </c>
      <c r="AR579" t="s">
        <v>10690</v>
      </c>
      <c r="AS579" t="s">
        <v>10691</v>
      </c>
      <c r="AT579" t="s">
        <v>10659</v>
      </c>
      <c r="AU579">
        <v>2010</v>
      </c>
      <c r="AV579">
        <v>50</v>
      </c>
      <c r="AW579">
        <v>4</v>
      </c>
      <c r="AX579" t="s">
        <v>74</v>
      </c>
      <c r="AY579" t="s">
        <v>74</v>
      </c>
      <c r="AZ579" t="s">
        <v>74</v>
      </c>
      <c r="BA579" t="s">
        <v>74</v>
      </c>
      <c r="BB579">
        <v>759</v>
      </c>
      <c r="BC579">
        <v>785</v>
      </c>
      <c r="BD579" t="s">
        <v>74</v>
      </c>
      <c r="BE579" t="s">
        <v>10692</v>
      </c>
      <c r="BF579" t="str">
        <f>HYPERLINK("http://dx.doi.org/10.1525/as.2010.50.4.759","http://dx.doi.org/10.1525/as.2010.50.4.759")</f>
        <v>http://dx.doi.org/10.1525/as.2010.50.4.759</v>
      </c>
      <c r="BG579" t="s">
        <v>74</v>
      </c>
      <c r="BH579" t="s">
        <v>74</v>
      </c>
      <c r="BI579">
        <v>27</v>
      </c>
      <c r="BJ579" t="s">
        <v>4305</v>
      </c>
      <c r="BK579" t="s">
        <v>1966</v>
      </c>
      <c r="BL579" t="s">
        <v>4305</v>
      </c>
      <c r="BM579" t="s">
        <v>10693</v>
      </c>
      <c r="BN579" t="s">
        <v>74</v>
      </c>
      <c r="BO579" t="s">
        <v>74</v>
      </c>
      <c r="BP579" t="s">
        <v>74</v>
      </c>
      <c r="BQ579" t="s">
        <v>74</v>
      </c>
      <c r="BR579" t="s">
        <v>104</v>
      </c>
      <c r="BS579" t="s">
        <v>10694</v>
      </c>
      <c r="BT579" t="str">
        <f>HYPERLINK("https%3A%2F%2Fwww.webofscience.com%2Fwos%2Fwoscc%2Ffull-record%2FWOS:000281480500006","View Full Record in Web of Science")</f>
        <v>View Full Record in Web of Science</v>
      </c>
    </row>
    <row r="580" spans="1:72" x14ac:dyDescent="0.15">
      <c r="A580" t="s">
        <v>72</v>
      </c>
      <c r="B580" t="s">
        <v>10695</v>
      </c>
      <c r="C580" t="s">
        <v>74</v>
      </c>
      <c r="D580" t="s">
        <v>74</v>
      </c>
      <c r="E580" t="s">
        <v>74</v>
      </c>
      <c r="F580" t="s">
        <v>10696</v>
      </c>
      <c r="G580" t="s">
        <v>74</v>
      </c>
      <c r="H580" t="s">
        <v>74</v>
      </c>
      <c r="I580" t="s">
        <v>10697</v>
      </c>
      <c r="J580" t="s">
        <v>10698</v>
      </c>
      <c r="K580" t="s">
        <v>74</v>
      </c>
      <c r="L580" t="s">
        <v>74</v>
      </c>
      <c r="M580" t="s">
        <v>78</v>
      </c>
      <c r="N580" t="s">
        <v>79</v>
      </c>
      <c r="O580" t="s">
        <v>74</v>
      </c>
      <c r="P580" t="s">
        <v>74</v>
      </c>
      <c r="Q580" t="s">
        <v>74</v>
      </c>
      <c r="R580" t="s">
        <v>74</v>
      </c>
      <c r="S580" t="s">
        <v>74</v>
      </c>
      <c r="T580" t="s">
        <v>10699</v>
      </c>
      <c r="U580" t="s">
        <v>10700</v>
      </c>
      <c r="V580" t="s">
        <v>10701</v>
      </c>
      <c r="W580" t="s">
        <v>10702</v>
      </c>
      <c r="X580" t="s">
        <v>10703</v>
      </c>
      <c r="Y580" t="s">
        <v>10704</v>
      </c>
      <c r="Z580" t="s">
        <v>10705</v>
      </c>
      <c r="AA580" t="s">
        <v>74</v>
      </c>
      <c r="AB580" t="s">
        <v>10706</v>
      </c>
      <c r="AC580" t="s">
        <v>10707</v>
      </c>
      <c r="AD580" t="s">
        <v>10708</v>
      </c>
      <c r="AE580" t="s">
        <v>10709</v>
      </c>
      <c r="AF580" t="s">
        <v>74</v>
      </c>
      <c r="AG580">
        <v>4</v>
      </c>
      <c r="AH580">
        <v>5</v>
      </c>
      <c r="AI580">
        <v>5</v>
      </c>
      <c r="AJ580">
        <v>0</v>
      </c>
      <c r="AK580">
        <v>0</v>
      </c>
      <c r="AL580" t="s">
        <v>10710</v>
      </c>
      <c r="AM580" t="s">
        <v>10711</v>
      </c>
      <c r="AN580" t="s">
        <v>10712</v>
      </c>
      <c r="AO580" t="s">
        <v>10713</v>
      </c>
      <c r="AP580" t="s">
        <v>10714</v>
      </c>
      <c r="AQ580" t="s">
        <v>74</v>
      </c>
      <c r="AR580" t="s">
        <v>10715</v>
      </c>
      <c r="AS580" t="s">
        <v>10716</v>
      </c>
      <c r="AT580" t="s">
        <v>10610</v>
      </c>
      <c r="AU580">
        <v>2010</v>
      </c>
      <c r="AV580">
        <v>517</v>
      </c>
      <c r="AW580" t="s">
        <v>74</v>
      </c>
      <c r="AX580" t="s">
        <v>74</v>
      </c>
      <c r="AY580" t="s">
        <v>74</v>
      </c>
      <c r="AZ580" t="s">
        <v>74</v>
      </c>
      <c r="BA580" t="s">
        <v>74</v>
      </c>
      <c r="BB580" t="s">
        <v>74</v>
      </c>
      <c r="BC580" t="s">
        <v>74</v>
      </c>
      <c r="BD580" t="s">
        <v>10717</v>
      </c>
      <c r="BE580" t="s">
        <v>10718</v>
      </c>
      <c r="BF580" t="str">
        <f>HYPERLINK("http://dx.doi.org/10.1051/0004-6361/201014186","http://dx.doi.org/10.1051/0004-6361/201014186")</f>
        <v>http://dx.doi.org/10.1051/0004-6361/201014186</v>
      </c>
      <c r="BG580" t="s">
        <v>74</v>
      </c>
      <c r="BH580" t="s">
        <v>74</v>
      </c>
      <c r="BI580">
        <v>4</v>
      </c>
      <c r="BJ580" t="s">
        <v>1805</v>
      </c>
      <c r="BK580" t="s">
        <v>100</v>
      </c>
      <c r="BL580" t="s">
        <v>1805</v>
      </c>
      <c r="BM580" t="s">
        <v>10719</v>
      </c>
      <c r="BN580" t="s">
        <v>74</v>
      </c>
      <c r="BO580" t="s">
        <v>103</v>
      </c>
      <c r="BP580" t="s">
        <v>74</v>
      </c>
      <c r="BQ580" t="s">
        <v>74</v>
      </c>
      <c r="BR580" t="s">
        <v>104</v>
      </c>
      <c r="BS580" t="s">
        <v>10720</v>
      </c>
      <c r="BT580" t="str">
        <f>HYPERLINK("https%3A%2F%2Fwww.webofscience.com%2Fwos%2Fwoscc%2Ffull-record%2FWOS:000280929400079","View Full Record in Web of Science")</f>
        <v>View Full Record in Web of Science</v>
      </c>
    </row>
    <row r="581" spans="1:72" x14ac:dyDescent="0.15">
      <c r="A581" t="s">
        <v>72</v>
      </c>
      <c r="B581" t="s">
        <v>10721</v>
      </c>
      <c r="C581" t="s">
        <v>74</v>
      </c>
      <c r="D581" t="s">
        <v>74</v>
      </c>
      <c r="E581" t="s">
        <v>74</v>
      </c>
      <c r="F581" t="s">
        <v>10722</v>
      </c>
      <c r="G581" t="s">
        <v>74</v>
      </c>
      <c r="H581" t="s">
        <v>74</v>
      </c>
      <c r="I581" t="s">
        <v>10723</v>
      </c>
      <c r="J581" t="s">
        <v>2637</v>
      </c>
      <c r="K581" t="s">
        <v>74</v>
      </c>
      <c r="L581" t="s">
        <v>74</v>
      </c>
      <c r="M581" t="s">
        <v>78</v>
      </c>
      <c r="N581" t="s">
        <v>79</v>
      </c>
      <c r="O581" t="s">
        <v>74</v>
      </c>
      <c r="P581" t="s">
        <v>74</v>
      </c>
      <c r="Q581" t="s">
        <v>74</v>
      </c>
      <c r="R581" t="s">
        <v>74</v>
      </c>
      <c r="S581" t="s">
        <v>74</v>
      </c>
      <c r="T581" t="s">
        <v>10724</v>
      </c>
      <c r="U581" t="s">
        <v>10725</v>
      </c>
      <c r="V581" t="s">
        <v>10726</v>
      </c>
      <c r="W581" t="s">
        <v>10727</v>
      </c>
      <c r="X581" t="s">
        <v>10728</v>
      </c>
      <c r="Y581" t="s">
        <v>10729</v>
      </c>
      <c r="Z581" t="s">
        <v>10730</v>
      </c>
      <c r="AA581" t="s">
        <v>74</v>
      </c>
      <c r="AB581" t="s">
        <v>74</v>
      </c>
      <c r="AC581" t="s">
        <v>10731</v>
      </c>
      <c r="AD581" t="s">
        <v>10732</v>
      </c>
      <c r="AE581" t="s">
        <v>10733</v>
      </c>
      <c r="AF581" t="s">
        <v>74</v>
      </c>
      <c r="AG581">
        <v>50</v>
      </c>
      <c r="AH581">
        <v>3</v>
      </c>
      <c r="AI581">
        <v>3</v>
      </c>
      <c r="AJ581">
        <v>0</v>
      </c>
      <c r="AK581">
        <v>29</v>
      </c>
      <c r="AL581" t="s">
        <v>10734</v>
      </c>
      <c r="AM581" t="s">
        <v>486</v>
      </c>
      <c r="AN581" t="s">
        <v>487</v>
      </c>
      <c r="AO581" t="s">
        <v>2648</v>
      </c>
      <c r="AP581" t="s">
        <v>74</v>
      </c>
      <c r="AQ581" t="s">
        <v>74</v>
      </c>
      <c r="AR581" t="s">
        <v>2637</v>
      </c>
      <c r="AS581" t="s">
        <v>2637</v>
      </c>
      <c r="AT581" t="s">
        <v>10610</v>
      </c>
      <c r="AU581">
        <v>2010</v>
      </c>
      <c r="AV581">
        <v>127</v>
      </c>
      <c r="AW581">
        <v>3</v>
      </c>
      <c r="AX581" t="s">
        <v>74</v>
      </c>
      <c r="AY581" t="s">
        <v>74</v>
      </c>
      <c r="AZ581" t="s">
        <v>74</v>
      </c>
      <c r="BA581" t="s">
        <v>74</v>
      </c>
      <c r="BB581">
        <v>523</v>
      </c>
      <c r="BC581">
        <v>531</v>
      </c>
      <c r="BD581" t="s">
        <v>74</v>
      </c>
      <c r="BE581" t="s">
        <v>10735</v>
      </c>
      <c r="BF581" t="str">
        <f>HYPERLINK("http://dx.doi.org/10.1525/auk.2010.09088","http://dx.doi.org/10.1525/auk.2010.09088")</f>
        <v>http://dx.doi.org/10.1525/auk.2010.09088</v>
      </c>
      <c r="BG581" t="s">
        <v>74</v>
      </c>
      <c r="BH581" t="s">
        <v>74</v>
      </c>
      <c r="BI581">
        <v>9</v>
      </c>
      <c r="BJ581" t="s">
        <v>491</v>
      </c>
      <c r="BK581" t="s">
        <v>100</v>
      </c>
      <c r="BL581" t="s">
        <v>492</v>
      </c>
      <c r="BM581" t="s">
        <v>10736</v>
      </c>
      <c r="BN581" t="s">
        <v>74</v>
      </c>
      <c r="BO581" t="s">
        <v>74</v>
      </c>
      <c r="BP581" t="s">
        <v>74</v>
      </c>
      <c r="BQ581" t="s">
        <v>74</v>
      </c>
      <c r="BR581" t="s">
        <v>104</v>
      </c>
      <c r="BS581" t="s">
        <v>10737</v>
      </c>
      <c r="BT581" t="str">
        <f>HYPERLINK("https%3A%2F%2Fwww.webofscience.com%2Fwos%2Fwoscc%2Ffull-record%2FWOS:000280858300006","View Full Record in Web of Science")</f>
        <v>View Full Record in Web of Science</v>
      </c>
    </row>
    <row r="582" spans="1:72" x14ac:dyDescent="0.15">
      <c r="A582" t="s">
        <v>72</v>
      </c>
      <c r="B582" t="s">
        <v>10738</v>
      </c>
      <c r="C582" t="s">
        <v>74</v>
      </c>
      <c r="D582" t="s">
        <v>74</v>
      </c>
      <c r="E582" t="s">
        <v>74</v>
      </c>
      <c r="F582" t="s">
        <v>10739</v>
      </c>
      <c r="G582" t="s">
        <v>74</v>
      </c>
      <c r="H582" t="s">
        <v>74</v>
      </c>
      <c r="I582" t="s">
        <v>10740</v>
      </c>
      <c r="J582" t="s">
        <v>10741</v>
      </c>
      <c r="K582" t="s">
        <v>74</v>
      </c>
      <c r="L582" t="s">
        <v>74</v>
      </c>
      <c r="M582" t="s">
        <v>78</v>
      </c>
      <c r="N582" t="s">
        <v>79</v>
      </c>
      <c r="O582" t="s">
        <v>74</v>
      </c>
      <c r="P582" t="s">
        <v>74</v>
      </c>
      <c r="Q582" t="s">
        <v>74</v>
      </c>
      <c r="R582" t="s">
        <v>74</v>
      </c>
      <c r="S582" t="s">
        <v>74</v>
      </c>
      <c r="T582" t="s">
        <v>10742</v>
      </c>
      <c r="U582" t="s">
        <v>10743</v>
      </c>
      <c r="V582" t="s">
        <v>10744</v>
      </c>
      <c r="W582" t="s">
        <v>10745</v>
      </c>
      <c r="X582" t="s">
        <v>10746</v>
      </c>
      <c r="Y582" t="s">
        <v>10747</v>
      </c>
      <c r="Z582" t="s">
        <v>6476</v>
      </c>
      <c r="AA582" t="s">
        <v>6477</v>
      </c>
      <c r="AB582" t="s">
        <v>6478</v>
      </c>
      <c r="AC582" t="s">
        <v>10748</v>
      </c>
      <c r="AD582" t="s">
        <v>10749</v>
      </c>
      <c r="AE582" t="s">
        <v>10750</v>
      </c>
      <c r="AF582" t="s">
        <v>74</v>
      </c>
      <c r="AG582">
        <v>41</v>
      </c>
      <c r="AH582">
        <v>39</v>
      </c>
      <c r="AI582">
        <v>43</v>
      </c>
      <c r="AJ582">
        <v>0</v>
      </c>
      <c r="AK582">
        <v>61</v>
      </c>
      <c r="AL582" t="s">
        <v>464</v>
      </c>
      <c r="AM582" t="s">
        <v>310</v>
      </c>
      <c r="AN582" t="s">
        <v>465</v>
      </c>
      <c r="AO582" t="s">
        <v>10751</v>
      </c>
      <c r="AP582" t="s">
        <v>10752</v>
      </c>
      <c r="AQ582" t="s">
        <v>74</v>
      </c>
      <c r="AR582" t="s">
        <v>10753</v>
      </c>
      <c r="AS582" t="s">
        <v>10754</v>
      </c>
      <c r="AT582" t="s">
        <v>10610</v>
      </c>
      <c r="AU582">
        <v>2010</v>
      </c>
      <c r="AV582">
        <v>64</v>
      </c>
      <c r="AW582">
        <v>7</v>
      </c>
      <c r="AX582" t="s">
        <v>74</v>
      </c>
      <c r="AY582" t="s">
        <v>74</v>
      </c>
      <c r="AZ582" t="s">
        <v>74</v>
      </c>
      <c r="BA582" t="s">
        <v>74</v>
      </c>
      <c r="BB582">
        <v>1157</v>
      </c>
      <c r="BC582">
        <v>1164</v>
      </c>
      <c r="BD582" t="s">
        <v>74</v>
      </c>
      <c r="BE582" t="s">
        <v>10755</v>
      </c>
      <c r="BF582" t="str">
        <f>HYPERLINK("http://dx.doi.org/10.1007/s00265-010-0931-2","http://dx.doi.org/10.1007/s00265-010-0931-2")</f>
        <v>http://dx.doi.org/10.1007/s00265-010-0931-2</v>
      </c>
      <c r="BG582" t="s">
        <v>74</v>
      </c>
      <c r="BH582" t="s">
        <v>74</v>
      </c>
      <c r="BI582">
        <v>8</v>
      </c>
      <c r="BJ582" t="s">
        <v>10756</v>
      </c>
      <c r="BK582" t="s">
        <v>100</v>
      </c>
      <c r="BL582" t="s">
        <v>10757</v>
      </c>
      <c r="BM582" t="s">
        <v>10758</v>
      </c>
      <c r="BN582">
        <v>20585381</v>
      </c>
      <c r="BO582" t="s">
        <v>1935</v>
      </c>
      <c r="BP582" t="s">
        <v>74</v>
      </c>
      <c r="BQ582" t="s">
        <v>74</v>
      </c>
      <c r="BR582" t="s">
        <v>104</v>
      </c>
      <c r="BS582" t="s">
        <v>10759</v>
      </c>
      <c r="BT582" t="str">
        <f>HYPERLINK("https%3A%2F%2Fwww.webofscience.com%2Fwos%2Fwoscc%2Ffull-record%2FWOS:000278717200011","View Full Record in Web of Science")</f>
        <v>View Full Record in Web of Science</v>
      </c>
    </row>
    <row r="583" spans="1:72" x14ac:dyDescent="0.15">
      <c r="A583" t="s">
        <v>72</v>
      </c>
      <c r="B583" t="s">
        <v>10760</v>
      </c>
      <c r="C583" t="s">
        <v>74</v>
      </c>
      <c r="D583" t="s">
        <v>74</v>
      </c>
      <c r="E583" t="s">
        <v>74</v>
      </c>
      <c r="F583" t="s">
        <v>10761</v>
      </c>
      <c r="G583" t="s">
        <v>74</v>
      </c>
      <c r="H583" t="s">
        <v>74</v>
      </c>
      <c r="I583" t="s">
        <v>10762</v>
      </c>
      <c r="J583" t="s">
        <v>8198</v>
      </c>
      <c r="K583" t="s">
        <v>74</v>
      </c>
      <c r="L583" t="s">
        <v>74</v>
      </c>
      <c r="M583" t="s">
        <v>78</v>
      </c>
      <c r="N583" t="s">
        <v>79</v>
      </c>
      <c r="O583" t="s">
        <v>74</v>
      </c>
      <c r="P583" t="s">
        <v>74</v>
      </c>
      <c r="Q583" t="s">
        <v>74</v>
      </c>
      <c r="R583" t="s">
        <v>74</v>
      </c>
      <c r="S583" t="s">
        <v>74</v>
      </c>
      <c r="T583" t="s">
        <v>74</v>
      </c>
      <c r="U583" t="s">
        <v>10763</v>
      </c>
      <c r="V583" t="s">
        <v>10764</v>
      </c>
      <c r="W583" t="s">
        <v>10765</v>
      </c>
      <c r="X583" t="s">
        <v>891</v>
      </c>
      <c r="Y583" t="s">
        <v>892</v>
      </c>
      <c r="Z583" t="s">
        <v>893</v>
      </c>
      <c r="AA583" t="s">
        <v>10766</v>
      </c>
      <c r="AB583" t="s">
        <v>10767</v>
      </c>
      <c r="AC583" t="s">
        <v>10768</v>
      </c>
      <c r="AD583" t="s">
        <v>10769</v>
      </c>
      <c r="AE583" t="s">
        <v>10770</v>
      </c>
      <c r="AF583" t="s">
        <v>74</v>
      </c>
      <c r="AG583">
        <v>35</v>
      </c>
      <c r="AH583">
        <v>21</v>
      </c>
      <c r="AI583">
        <v>23</v>
      </c>
      <c r="AJ583">
        <v>0</v>
      </c>
      <c r="AK583">
        <v>26</v>
      </c>
      <c r="AL583" t="s">
        <v>8210</v>
      </c>
      <c r="AM583" t="s">
        <v>5603</v>
      </c>
      <c r="AN583" t="s">
        <v>8211</v>
      </c>
      <c r="AO583" t="s">
        <v>8212</v>
      </c>
      <c r="AP583" t="s">
        <v>74</v>
      </c>
      <c r="AQ583" t="s">
        <v>74</v>
      </c>
      <c r="AR583" t="s">
        <v>8213</v>
      </c>
      <c r="AS583" t="s">
        <v>8214</v>
      </c>
      <c r="AT583" t="s">
        <v>10610</v>
      </c>
      <c r="AU583">
        <v>2010</v>
      </c>
      <c r="AV583">
        <v>67</v>
      </c>
      <c r="AW583">
        <v>7</v>
      </c>
      <c r="AX583" t="s">
        <v>74</v>
      </c>
      <c r="AY583" t="s">
        <v>74</v>
      </c>
      <c r="AZ583" t="s">
        <v>74</v>
      </c>
      <c r="BA583" t="s">
        <v>74</v>
      </c>
      <c r="BB583">
        <v>1159</v>
      </c>
      <c r="BC583">
        <v>1170</v>
      </c>
      <c r="BD583" t="s">
        <v>74</v>
      </c>
      <c r="BE583" t="s">
        <v>10771</v>
      </c>
      <c r="BF583" t="str">
        <f>HYPERLINK("http://dx.doi.org/10.1139/F10-042","http://dx.doi.org/10.1139/F10-042")</f>
        <v>http://dx.doi.org/10.1139/F10-042</v>
      </c>
      <c r="BG583" t="s">
        <v>74</v>
      </c>
      <c r="BH583" t="s">
        <v>74</v>
      </c>
      <c r="BI583">
        <v>12</v>
      </c>
      <c r="BJ583" t="s">
        <v>8216</v>
      </c>
      <c r="BK583" t="s">
        <v>100</v>
      </c>
      <c r="BL583" t="s">
        <v>8216</v>
      </c>
      <c r="BM583" t="s">
        <v>10772</v>
      </c>
      <c r="BN583" t="s">
        <v>74</v>
      </c>
      <c r="BO583" t="s">
        <v>74</v>
      </c>
      <c r="BP583" t="s">
        <v>74</v>
      </c>
      <c r="BQ583" t="s">
        <v>74</v>
      </c>
      <c r="BR583" t="s">
        <v>104</v>
      </c>
      <c r="BS583" t="s">
        <v>10773</v>
      </c>
      <c r="BT583" t="str">
        <f>HYPERLINK("https%3A%2F%2Fwww.webofscience.com%2Fwos%2Fwoscc%2Ffull-record%2FWOS:000279739900010","View Full Record in Web of Science")</f>
        <v>View Full Record in Web of Science</v>
      </c>
    </row>
    <row r="584" spans="1:72" x14ac:dyDescent="0.15">
      <c r="A584" t="s">
        <v>72</v>
      </c>
      <c r="B584" t="s">
        <v>10774</v>
      </c>
      <c r="C584" t="s">
        <v>74</v>
      </c>
      <c r="D584" t="s">
        <v>74</v>
      </c>
      <c r="E584" t="s">
        <v>74</v>
      </c>
      <c r="F584" t="s">
        <v>10775</v>
      </c>
      <c r="G584" t="s">
        <v>74</v>
      </c>
      <c r="H584" t="s">
        <v>74</v>
      </c>
      <c r="I584" t="s">
        <v>10776</v>
      </c>
      <c r="J584" t="s">
        <v>10777</v>
      </c>
      <c r="K584" t="s">
        <v>74</v>
      </c>
      <c r="L584" t="s">
        <v>74</v>
      </c>
      <c r="M584" t="s">
        <v>78</v>
      </c>
      <c r="N584" t="s">
        <v>79</v>
      </c>
      <c r="O584" t="s">
        <v>74</v>
      </c>
      <c r="P584" t="s">
        <v>74</v>
      </c>
      <c r="Q584" t="s">
        <v>74</v>
      </c>
      <c r="R584" t="s">
        <v>74</v>
      </c>
      <c r="S584" t="s">
        <v>74</v>
      </c>
      <c r="T584" t="s">
        <v>10778</v>
      </c>
      <c r="U584" t="s">
        <v>10779</v>
      </c>
      <c r="V584" t="s">
        <v>10780</v>
      </c>
      <c r="W584" t="s">
        <v>10781</v>
      </c>
      <c r="X584" t="s">
        <v>10782</v>
      </c>
      <c r="Y584" t="s">
        <v>10783</v>
      </c>
      <c r="Z584" t="s">
        <v>10784</v>
      </c>
      <c r="AA584" t="s">
        <v>10785</v>
      </c>
      <c r="AB584" t="s">
        <v>10786</v>
      </c>
      <c r="AC584" t="s">
        <v>10787</v>
      </c>
      <c r="AD584" t="s">
        <v>10788</v>
      </c>
      <c r="AE584" t="s">
        <v>10789</v>
      </c>
      <c r="AF584" t="s">
        <v>74</v>
      </c>
      <c r="AG584">
        <v>18</v>
      </c>
      <c r="AH584">
        <v>62</v>
      </c>
      <c r="AI584">
        <v>70</v>
      </c>
      <c r="AJ584">
        <v>2</v>
      </c>
      <c r="AK584">
        <v>49</v>
      </c>
      <c r="AL584" t="s">
        <v>549</v>
      </c>
      <c r="AM584" t="s">
        <v>550</v>
      </c>
      <c r="AN584" t="s">
        <v>551</v>
      </c>
      <c r="AO584" t="s">
        <v>10790</v>
      </c>
      <c r="AP584" t="s">
        <v>10791</v>
      </c>
      <c r="AQ584" t="s">
        <v>74</v>
      </c>
      <c r="AR584" t="s">
        <v>10792</v>
      </c>
      <c r="AS584" t="s">
        <v>10793</v>
      </c>
      <c r="AT584" t="s">
        <v>10610</v>
      </c>
      <c r="AU584">
        <v>2010</v>
      </c>
      <c r="AV584">
        <v>62</v>
      </c>
      <c r="AW584" t="s">
        <v>5207</v>
      </c>
      <c r="AX584" t="s">
        <v>74</v>
      </c>
      <c r="AY584" t="s">
        <v>74</v>
      </c>
      <c r="AZ584" t="s">
        <v>74</v>
      </c>
      <c r="BA584" t="s">
        <v>74</v>
      </c>
      <c r="BB584">
        <v>92</v>
      </c>
      <c r="BC584">
        <v>97</v>
      </c>
      <c r="BD584" t="s">
        <v>74</v>
      </c>
      <c r="BE584" t="s">
        <v>10794</v>
      </c>
      <c r="BF584" t="str">
        <f>HYPERLINK("http://dx.doi.org/10.1016/j.coldregions.2010.03.002","http://dx.doi.org/10.1016/j.coldregions.2010.03.002")</f>
        <v>http://dx.doi.org/10.1016/j.coldregions.2010.03.002</v>
      </c>
      <c r="BG584" t="s">
        <v>74</v>
      </c>
      <c r="BH584" t="s">
        <v>74</v>
      </c>
      <c r="BI584">
        <v>6</v>
      </c>
      <c r="BJ584" t="s">
        <v>10795</v>
      </c>
      <c r="BK584" t="s">
        <v>100</v>
      </c>
      <c r="BL584" t="s">
        <v>10796</v>
      </c>
      <c r="BM584" t="s">
        <v>10797</v>
      </c>
      <c r="BN584" t="s">
        <v>74</v>
      </c>
      <c r="BO584" t="s">
        <v>74</v>
      </c>
      <c r="BP584" t="s">
        <v>74</v>
      </c>
      <c r="BQ584" t="s">
        <v>74</v>
      </c>
      <c r="BR584" t="s">
        <v>104</v>
      </c>
      <c r="BS584" t="s">
        <v>10798</v>
      </c>
      <c r="BT584" t="str">
        <f>HYPERLINK("https%3A%2F%2Fwww.webofscience.com%2Fwos%2Fwoscc%2Ffull-record%2FWOS:000279218600002","View Full Record in Web of Science")</f>
        <v>View Full Record in Web of Science</v>
      </c>
    </row>
    <row r="585" spans="1:72" x14ac:dyDescent="0.15">
      <c r="A585" t="s">
        <v>72</v>
      </c>
      <c r="B585" t="s">
        <v>10799</v>
      </c>
      <c r="C585" t="s">
        <v>74</v>
      </c>
      <c r="D585" t="s">
        <v>74</v>
      </c>
      <c r="E585" t="s">
        <v>74</v>
      </c>
      <c r="F585" t="s">
        <v>10800</v>
      </c>
      <c r="G585" t="s">
        <v>74</v>
      </c>
      <c r="H585" t="s">
        <v>74</v>
      </c>
      <c r="I585" t="s">
        <v>10801</v>
      </c>
      <c r="J585" t="s">
        <v>5778</v>
      </c>
      <c r="K585" t="s">
        <v>74</v>
      </c>
      <c r="L585" t="s">
        <v>74</v>
      </c>
      <c r="M585" t="s">
        <v>78</v>
      </c>
      <c r="N585" t="s">
        <v>79</v>
      </c>
      <c r="O585" t="s">
        <v>74</v>
      </c>
      <c r="P585" t="s">
        <v>74</v>
      </c>
      <c r="Q585" t="s">
        <v>74</v>
      </c>
      <c r="R585" t="s">
        <v>74</v>
      </c>
      <c r="S585" t="s">
        <v>74</v>
      </c>
      <c r="T585" t="s">
        <v>10802</v>
      </c>
      <c r="U585" t="s">
        <v>10803</v>
      </c>
      <c r="V585" t="s">
        <v>10804</v>
      </c>
      <c r="W585" t="s">
        <v>10805</v>
      </c>
      <c r="X585" t="s">
        <v>10806</v>
      </c>
      <c r="Y585" t="s">
        <v>10807</v>
      </c>
      <c r="Z585" t="s">
        <v>10808</v>
      </c>
      <c r="AA585" t="s">
        <v>10809</v>
      </c>
      <c r="AB585" t="s">
        <v>10810</v>
      </c>
      <c r="AC585" t="s">
        <v>10811</v>
      </c>
      <c r="AD585" t="s">
        <v>10812</v>
      </c>
      <c r="AE585" t="s">
        <v>10813</v>
      </c>
      <c r="AF585" t="s">
        <v>74</v>
      </c>
      <c r="AG585">
        <v>87</v>
      </c>
      <c r="AH585">
        <v>119</v>
      </c>
      <c r="AI585">
        <v>137</v>
      </c>
      <c r="AJ585">
        <v>0</v>
      </c>
      <c r="AK585">
        <v>92</v>
      </c>
      <c r="AL585" t="s">
        <v>264</v>
      </c>
      <c r="AM585" t="s">
        <v>265</v>
      </c>
      <c r="AN585" t="s">
        <v>266</v>
      </c>
      <c r="AO585" t="s">
        <v>5789</v>
      </c>
      <c r="AP585" t="s">
        <v>74</v>
      </c>
      <c r="AQ585" t="s">
        <v>74</v>
      </c>
      <c r="AR585" t="s">
        <v>5791</v>
      </c>
      <c r="AS585" t="s">
        <v>5792</v>
      </c>
      <c r="AT585" t="s">
        <v>10610</v>
      </c>
      <c r="AU585">
        <v>2010</v>
      </c>
      <c r="AV585">
        <v>57</v>
      </c>
      <c r="AW585">
        <v>7</v>
      </c>
      <c r="AX585" t="s">
        <v>74</v>
      </c>
      <c r="AY585" t="s">
        <v>74</v>
      </c>
      <c r="AZ585" t="s">
        <v>74</v>
      </c>
      <c r="BA585" t="s">
        <v>74</v>
      </c>
      <c r="BB585">
        <v>847</v>
      </c>
      <c r="BC585">
        <v>859</v>
      </c>
      <c r="BD585" t="s">
        <v>74</v>
      </c>
      <c r="BE585" t="s">
        <v>10814</v>
      </c>
      <c r="BF585" t="str">
        <f>HYPERLINK("http://dx.doi.org/10.1016/j.dsr.2010.04.005","http://dx.doi.org/10.1016/j.dsr.2010.04.005")</f>
        <v>http://dx.doi.org/10.1016/j.dsr.2010.04.005</v>
      </c>
      <c r="BG585" t="s">
        <v>74</v>
      </c>
      <c r="BH585" t="s">
        <v>74</v>
      </c>
      <c r="BI585">
        <v>13</v>
      </c>
      <c r="BJ585" t="s">
        <v>1531</v>
      </c>
      <c r="BK585" t="s">
        <v>100</v>
      </c>
      <c r="BL585" t="s">
        <v>1531</v>
      </c>
      <c r="BM585" t="s">
        <v>10815</v>
      </c>
      <c r="BN585" t="s">
        <v>74</v>
      </c>
      <c r="BO585" t="s">
        <v>74</v>
      </c>
      <c r="BP585" t="s">
        <v>74</v>
      </c>
      <c r="BQ585" t="s">
        <v>74</v>
      </c>
      <c r="BR585" t="s">
        <v>104</v>
      </c>
      <c r="BS585" t="s">
        <v>10816</v>
      </c>
      <c r="BT585" t="str">
        <f>HYPERLINK("https%3A%2F%2Fwww.webofscience.com%2Fwos%2Fwoscc%2Ffull-record%2FWOS:000279576600002","View Full Record in Web of Science")</f>
        <v>View Full Record in Web of Science</v>
      </c>
    </row>
    <row r="586" spans="1:72" x14ac:dyDescent="0.15">
      <c r="A586" t="s">
        <v>72</v>
      </c>
      <c r="B586" t="s">
        <v>10817</v>
      </c>
      <c r="C586" t="s">
        <v>74</v>
      </c>
      <c r="D586" t="s">
        <v>74</v>
      </c>
      <c r="E586" t="s">
        <v>74</v>
      </c>
      <c r="F586" t="s">
        <v>10818</v>
      </c>
      <c r="G586" t="s">
        <v>74</v>
      </c>
      <c r="H586" t="s">
        <v>74</v>
      </c>
      <c r="I586" t="s">
        <v>10819</v>
      </c>
      <c r="J586" t="s">
        <v>10820</v>
      </c>
      <c r="K586" t="s">
        <v>74</v>
      </c>
      <c r="L586" t="s">
        <v>74</v>
      </c>
      <c r="M586" t="s">
        <v>78</v>
      </c>
      <c r="N586" t="s">
        <v>79</v>
      </c>
      <c r="O586" t="s">
        <v>74</v>
      </c>
      <c r="P586" t="s">
        <v>74</v>
      </c>
      <c r="Q586" t="s">
        <v>74</v>
      </c>
      <c r="R586" t="s">
        <v>74</v>
      </c>
      <c r="S586" t="s">
        <v>74</v>
      </c>
      <c r="T586" t="s">
        <v>10821</v>
      </c>
      <c r="U586" t="s">
        <v>10822</v>
      </c>
      <c r="V586" t="s">
        <v>10823</v>
      </c>
      <c r="W586" t="s">
        <v>10824</v>
      </c>
      <c r="X586" t="s">
        <v>10825</v>
      </c>
      <c r="Y586" t="s">
        <v>10826</v>
      </c>
      <c r="Z586" t="s">
        <v>10827</v>
      </c>
      <c r="AA586" t="s">
        <v>10828</v>
      </c>
      <c r="AB586" t="s">
        <v>10829</v>
      </c>
      <c r="AC586" t="s">
        <v>74</v>
      </c>
      <c r="AD586" t="s">
        <v>74</v>
      </c>
      <c r="AE586" t="s">
        <v>74</v>
      </c>
      <c r="AF586" t="s">
        <v>74</v>
      </c>
      <c r="AG586">
        <v>38</v>
      </c>
      <c r="AH586">
        <v>15</v>
      </c>
      <c r="AI586">
        <v>16</v>
      </c>
      <c r="AJ586">
        <v>4</v>
      </c>
      <c r="AK586">
        <v>25</v>
      </c>
      <c r="AL586" t="s">
        <v>264</v>
      </c>
      <c r="AM586" t="s">
        <v>265</v>
      </c>
      <c r="AN586" t="s">
        <v>266</v>
      </c>
      <c r="AO586" t="s">
        <v>10830</v>
      </c>
      <c r="AP586" t="s">
        <v>10831</v>
      </c>
      <c r="AQ586" t="s">
        <v>74</v>
      </c>
      <c r="AR586" t="s">
        <v>10832</v>
      </c>
      <c r="AS586" t="s">
        <v>10833</v>
      </c>
      <c r="AT586" t="s">
        <v>10610</v>
      </c>
      <c r="AU586">
        <v>2010</v>
      </c>
      <c r="AV586">
        <v>57</v>
      </c>
      <c r="AW586" t="s">
        <v>10834</v>
      </c>
      <c r="AX586" t="s">
        <v>74</v>
      </c>
      <c r="AY586" t="s">
        <v>74</v>
      </c>
      <c r="AZ586" t="s">
        <v>74</v>
      </c>
      <c r="BA586" t="s">
        <v>74</v>
      </c>
      <c r="BB586">
        <v>1141</v>
      </c>
      <c r="BC586">
        <v>1151</v>
      </c>
      <c r="BD586" t="s">
        <v>74</v>
      </c>
      <c r="BE586" t="s">
        <v>10835</v>
      </c>
      <c r="BF586" t="str">
        <f>HYPERLINK("http://dx.doi.org/10.1016/j.dsr2.2009.12.003","http://dx.doi.org/10.1016/j.dsr2.2009.12.003")</f>
        <v>http://dx.doi.org/10.1016/j.dsr2.2009.12.003</v>
      </c>
      <c r="BG586" t="s">
        <v>74</v>
      </c>
      <c r="BH586" t="s">
        <v>74</v>
      </c>
      <c r="BI586">
        <v>11</v>
      </c>
      <c r="BJ586" t="s">
        <v>1531</v>
      </c>
      <c r="BK586" t="s">
        <v>100</v>
      </c>
      <c r="BL586" t="s">
        <v>1531</v>
      </c>
      <c r="BM586" t="s">
        <v>10836</v>
      </c>
      <c r="BN586" t="s">
        <v>74</v>
      </c>
      <c r="BO586" t="s">
        <v>74</v>
      </c>
      <c r="BP586" t="s">
        <v>74</v>
      </c>
      <c r="BQ586" t="s">
        <v>74</v>
      </c>
      <c r="BR586" t="s">
        <v>104</v>
      </c>
      <c r="BS586" t="s">
        <v>10837</v>
      </c>
      <c r="BT586" t="str">
        <f>HYPERLINK("https%3A%2F%2Fwww.webofscience.com%2Fwos%2Fwoscc%2Ffull-record%2FWOS:000279305000005","View Full Record in Web of Science")</f>
        <v>View Full Record in Web of Science</v>
      </c>
    </row>
    <row r="587" spans="1:72" x14ac:dyDescent="0.15">
      <c r="A587" t="s">
        <v>72</v>
      </c>
      <c r="B587" t="s">
        <v>10838</v>
      </c>
      <c r="C587" t="s">
        <v>74</v>
      </c>
      <c r="D587" t="s">
        <v>74</v>
      </c>
      <c r="E587" t="s">
        <v>74</v>
      </c>
      <c r="F587" t="s">
        <v>10839</v>
      </c>
      <c r="G587" t="s">
        <v>74</v>
      </c>
      <c r="H587" t="s">
        <v>74</v>
      </c>
      <c r="I587" t="s">
        <v>10840</v>
      </c>
      <c r="J587" t="s">
        <v>536</v>
      </c>
      <c r="K587" t="s">
        <v>74</v>
      </c>
      <c r="L587" t="s">
        <v>74</v>
      </c>
      <c r="M587" t="s">
        <v>78</v>
      </c>
      <c r="N587" t="s">
        <v>79</v>
      </c>
      <c r="O587" t="s">
        <v>74</v>
      </c>
      <c r="P587" t="s">
        <v>74</v>
      </c>
      <c r="Q587" t="s">
        <v>74</v>
      </c>
      <c r="R587" t="s">
        <v>74</v>
      </c>
      <c r="S587" t="s">
        <v>74</v>
      </c>
      <c r="T587" t="s">
        <v>10841</v>
      </c>
      <c r="U587" t="s">
        <v>10842</v>
      </c>
      <c r="V587" t="s">
        <v>10843</v>
      </c>
      <c r="W587" t="s">
        <v>10844</v>
      </c>
      <c r="X587" t="s">
        <v>10845</v>
      </c>
      <c r="Y587" t="s">
        <v>10846</v>
      </c>
      <c r="Z587" t="s">
        <v>10847</v>
      </c>
      <c r="AA587" t="s">
        <v>10848</v>
      </c>
      <c r="AB587" t="s">
        <v>10849</v>
      </c>
      <c r="AC587" t="s">
        <v>10850</v>
      </c>
      <c r="AD587" t="s">
        <v>10851</v>
      </c>
      <c r="AE587" t="s">
        <v>10852</v>
      </c>
      <c r="AF587" t="s">
        <v>74</v>
      </c>
      <c r="AG587">
        <v>75</v>
      </c>
      <c r="AH587">
        <v>232</v>
      </c>
      <c r="AI587">
        <v>258</v>
      </c>
      <c r="AJ587">
        <v>1</v>
      </c>
      <c r="AK587">
        <v>63</v>
      </c>
      <c r="AL587" t="s">
        <v>549</v>
      </c>
      <c r="AM587" t="s">
        <v>550</v>
      </c>
      <c r="AN587" t="s">
        <v>551</v>
      </c>
      <c r="AO587" t="s">
        <v>552</v>
      </c>
      <c r="AP587" t="s">
        <v>2999</v>
      </c>
      <c r="AQ587" t="s">
        <v>74</v>
      </c>
      <c r="AR587" t="s">
        <v>553</v>
      </c>
      <c r="AS587" t="s">
        <v>554</v>
      </c>
      <c r="AT587" t="s">
        <v>10853</v>
      </c>
      <c r="AU587">
        <v>2010</v>
      </c>
      <c r="AV587">
        <v>295</v>
      </c>
      <c r="AW587" t="s">
        <v>556</v>
      </c>
      <c r="AX587" t="s">
        <v>74</v>
      </c>
      <c r="AY587" t="s">
        <v>74</v>
      </c>
      <c r="AZ587" t="s">
        <v>74</v>
      </c>
      <c r="BA587" t="s">
        <v>74</v>
      </c>
      <c r="BB587">
        <v>451</v>
      </c>
      <c r="BC587">
        <v>461</v>
      </c>
      <c r="BD587" t="s">
        <v>74</v>
      </c>
      <c r="BE587" t="s">
        <v>10854</v>
      </c>
      <c r="BF587" t="str">
        <f>HYPERLINK("http://dx.doi.org/10.1016/j.epsl.2010.04.025","http://dx.doi.org/10.1016/j.epsl.2010.04.025")</f>
        <v>http://dx.doi.org/10.1016/j.epsl.2010.04.025</v>
      </c>
      <c r="BG587" t="s">
        <v>74</v>
      </c>
      <c r="BH587" t="s">
        <v>74</v>
      </c>
      <c r="BI587">
        <v>11</v>
      </c>
      <c r="BJ587" t="s">
        <v>558</v>
      </c>
      <c r="BK587" t="s">
        <v>100</v>
      </c>
      <c r="BL587" t="s">
        <v>558</v>
      </c>
      <c r="BM587" t="s">
        <v>10855</v>
      </c>
      <c r="BN587" t="s">
        <v>74</v>
      </c>
      <c r="BO587" t="s">
        <v>74</v>
      </c>
      <c r="BP587" t="s">
        <v>74</v>
      </c>
      <c r="BQ587" t="s">
        <v>74</v>
      </c>
      <c r="BR587" t="s">
        <v>104</v>
      </c>
      <c r="BS587" t="s">
        <v>10856</v>
      </c>
      <c r="BT587" t="str">
        <f>HYPERLINK("https%3A%2F%2Fwww.webofscience.com%2Fwos%2Fwoscc%2Ffull-record%2FWOS:000279744900013","View Full Record in Web of Science")</f>
        <v>View Full Record in Web of Science</v>
      </c>
    </row>
    <row r="588" spans="1:72" x14ac:dyDescent="0.15">
      <c r="A588" t="s">
        <v>72</v>
      </c>
      <c r="B588" t="s">
        <v>10857</v>
      </c>
      <c r="C588" t="s">
        <v>74</v>
      </c>
      <c r="D588" t="s">
        <v>74</v>
      </c>
      <c r="E588" t="s">
        <v>74</v>
      </c>
      <c r="F588" t="s">
        <v>10858</v>
      </c>
      <c r="G588" t="s">
        <v>74</v>
      </c>
      <c r="H588" t="s">
        <v>74</v>
      </c>
      <c r="I588" t="s">
        <v>10859</v>
      </c>
      <c r="J588" t="s">
        <v>8376</v>
      </c>
      <c r="K588" t="s">
        <v>74</v>
      </c>
      <c r="L588" t="s">
        <v>74</v>
      </c>
      <c r="M588" t="s">
        <v>78</v>
      </c>
      <c r="N588" t="s">
        <v>79</v>
      </c>
      <c r="O588" t="s">
        <v>74</v>
      </c>
      <c r="P588" t="s">
        <v>74</v>
      </c>
      <c r="Q588" t="s">
        <v>74</v>
      </c>
      <c r="R588" t="s">
        <v>74</v>
      </c>
      <c r="S588" t="s">
        <v>74</v>
      </c>
      <c r="T588" t="s">
        <v>10860</v>
      </c>
      <c r="U588" t="s">
        <v>10861</v>
      </c>
      <c r="V588" t="s">
        <v>10862</v>
      </c>
      <c r="W588" t="s">
        <v>10863</v>
      </c>
      <c r="X588" t="s">
        <v>10864</v>
      </c>
      <c r="Y588" t="s">
        <v>10865</v>
      </c>
      <c r="Z588" t="s">
        <v>10866</v>
      </c>
      <c r="AA588" t="s">
        <v>74</v>
      </c>
      <c r="AB588" t="s">
        <v>74</v>
      </c>
      <c r="AC588" t="s">
        <v>10867</v>
      </c>
      <c r="AD588" t="s">
        <v>10868</v>
      </c>
      <c r="AE588" t="s">
        <v>10869</v>
      </c>
      <c r="AF588" t="s">
        <v>74</v>
      </c>
      <c r="AG588">
        <v>61</v>
      </c>
      <c r="AH588">
        <v>98</v>
      </c>
      <c r="AI588">
        <v>108</v>
      </c>
      <c r="AJ588">
        <v>1</v>
      </c>
      <c r="AK588">
        <v>80</v>
      </c>
      <c r="AL588" t="s">
        <v>923</v>
      </c>
      <c r="AM588" t="s">
        <v>339</v>
      </c>
      <c r="AN588" t="s">
        <v>340</v>
      </c>
      <c r="AO588" t="s">
        <v>8389</v>
      </c>
      <c r="AP588" t="s">
        <v>8390</v>
      </c>
      <c r="AQ588" t="s">
        <v>74</v>
      </c>
      <c r="AR588" t="s">
        <v>8376</v>
      </c>
      <c r="AS588" t="s">
        <v>3127</v>
      </c>
      <c r="AT588" t="s">
        <v>10610</v>
      </c>
      <c r="AU588">
        <v>2010</v>
      </c>
      <c r="AV588">
        <v>91</v>
      </c>
      <c r="AW588">
        <v>7</v>
      </c>
      <c r="AX588" t="s">
        <v>74</v>
      </c>
      <c r="AY588" t="s">
        <v>74</v>
      </c>
      <c r="AZ588" t="s">
        <v>74</v>
      </c>
      <c r="BA588" t="s">
        <v>74</v>
      </c>
      <c r="BB588">
        <v>2044</v>
      </c>
      <c r="BC588">
        <v>2055</v>
      </c>
      <c r="BD588" t="s">
        <v>74</v>
      </c>
      <c r="BE588" t="s">
        <v>10870</v>
      </c>
      <c r="BF588" t="str">
        <f>HYPERLINK("http://dx.doi.org/10.1890/09-0766.1","http://dx.doi.org/10.1890/09-0766.1")</f>
        <v>http://dx.doi.org/10.1890/09-0766.1</v>
      </c>
      <c r="BG588" t="s">
        <v>74</v>
      </c>
      <c r="BH588" t="s">
        <v>74</v>
      </c>
      <c r="BI588">
        <v>12</v>
      </c>
      <c r="BJ588" t="s">
        <v>3127</v>
      </c>
      <c r="BK588" t="s">
        <v>100</v>
      </c>
      <c r="BL588" t="s">
        <v>2797</v>
      </c>
      <c r="BM588" t="s">
        <v>10871</v>
      </c>
      <c r="BN588">
        <v>20715627</v>
      </c>
      <c r="BO588" t="s">
        <v>74</v>
      </c>
      <c r="BP588" t="s">
        <v>74</v>
      </c>
      <c r="BQ588" t="s">
        <v>74</v>
      </c>
      <c r="BR588" t="s">
        <v>104</v>
      </c>
      <c r="BS588" t="s">
        <v>10872</v>
      </c>
      <c r="BT588" t="str">
        <f>HYPERLINK("https%3A%2F%2Fwww.webofscience.com%2Fwos%2Fwoscc%2Ffull-record%2FWOS:000279563700023","View Full Record in Web of Science")</f>
        <v>View Full Record in Web of Science</v>
      </c>
    </row>
    <row r="589" spans="1:72" x14ac:dyDescent="0.15">
      <c r="A589" t="s">
        <v>72</v>
      </c>
      <c r="B589" t="s">
        <v>10873</v>
      </c>
      <c r="C589" t="s">
        <v>74</v>
      </c>
      <c r="D589" t="s">
        <v>74</v>
      </c>
      <c r="E589" t="s">
        <v>74</v>
      </c>
      <c r="F589" t="s">
        <v>10874</v>
      </c>
      <c r="G589" t="s">
        <v>74</v>
      </c>
      <c r="H589" t="s">
        <v>74</v>
      </c>
      <c r="I589" t="s">
        <v>10875</v>
      </c>
      <c r="J589" t="s">
        <v>8376</v>
      </c>
      <c r="K589" t="s">
        <v>74</v>
      </c>
      <c r="L589" t="s">
        <v>74</v>
      </c>
      <c r="M589" t="s">
        <v>78</v>
      </c>
      <c r="N589" t="s">
        <v>79</v>
      </c>
      <c r="O589" t="s">
        <v>74</v>
      </c>
      <c r="P589" t="s">
        <v>74</v>
      </c>
      <c r="Q589" t="s">
        <v>74</v>
      </c>
      <c r="R589" t="s">
        <v>74</v>
      </c>
      <c r="S589" t="s">
        <v>74</v>
      </c>
      <c r="T589" t="s">
        <v>10876</v>
      </c>
      <c r="U589" t="s">
        <v>10877</v>
      </c>
      <c r="V589" t="s">
        <v>10878</v>
      </c>
      <c r="W589" t="s">
        <v>10879</v>
      </c>
      <c r="X589" t="s">
        <v>10880</v>
      </c>
      <c r="Y589" t="s">
        <v>10881</v>
      </c>
      <c r="Z589" t="s">
        <v>10882</v>
      </c>
      <c r="AA589" t="s">
        <v>10883</v>
      </c>
      <c r="AB589" t="s">
        <v>10884</v>
      </c>
      <c r="AC589" t="s">
        <v>10885</v>
      </c>
      <c r="AD589" t="s">
        <v>10886</v>
      </c>
      <c r="AE589" t="s">
        <v>10887</v>
      </c>
      <c r="AF589" t="s">
        <v>74</v>
      </c>
      <c r="AG589">
        <v>70</v>
      </c>
      <c r="AH589">
        <v>73</v>
      </c>
      <c r="AI589">
        <v>79</v>
      </c>
      <c r="AJ589">
        <v>12</v>
      </c>
      <c r="AK589">
        <v>152</v>
      </c>
      <c r="AL589" t="s">
        <v>923</v>
      </c>
      <c r="AM589" t="s">
        <v>339</v>
      </c>
      <c r="AN589" t="s">
        <v>340</v>
      </c>
      <c r="AO589" t="s">
        <v>8389</v>
      </c>
      <c r="AP589" t="s">
        <v>8390</v>
      </c>
      <c r="AQ589" t="s">
        <v>74</v>
      </c>
      <c r="AR589" t="s">
        <v>8376</v>
      </c>
      <c r="AS589" t="s">
        <v>3127</v>
      </c>
      <c r="AT589" t="s">
        <v>10610</v>
      </c>
      <c r="AU589">
        <v>2010</v>
      </c>
      <c r="AV589">
        <v>91</v>
      </c>
      <c r="AW589">
        <v>7</v>
      </c>
      <c r="AX589" t="s">
        <v>74</v>
      </c>
      <c r="AY589" t="s">
        <v>74</v>
      </c>
      <c r="AZ589" t="s">
        <v>74</v>
      </c>
      <c r="BA589" t="s">
        <v>74</v>
      </c>
      <c r="BB589">
        <v>2056</v>
      </c>
      <c r="BC589">
        <v>2069</v>
      </c>
      <c r="BD589" t="s">
        <v>74</v>
      </c>
      <c r="BE589" t="s">
        <v>10888</v>
      </c>
      <c r="BF589" t="str">
        <f>HYPERLINK("http://dx.doi.org/10.1890/09-0688.1","http://dx.doi.org/10.1890/09-0688.1")</f>
        <v>http://dx.doi.org/10.1890/09-0688.1</v>
      </c>
      <c r="BG589" t="s">
        <v>74</v>
      </c>
      <c r="BH589" t="s">
        <v>74</v>
      </c>
      <c r="BI589">
        <v>14</v>
      </c>
      <c r="BJ589" t="s">
        <v>3127</v>
      </c>
      <c r="BK589" t="s">
        <v>100</v>
      </c>
      <c r="BL589" t="s">
        <v>2797</v>
      </c>
      <c r="BM589" t="s">
        <v>10871</v>
      </c>
      <c r="BN589">
        <v>20715628</v>
      </c>
      <c r="BO589" t="s">
        <v>74</v>
      </c>
      <c r="BP589" t="s">
        <v>74</v>
      </c>
      <c r="BQ589" t="s">
        <v>74</v>
      </c>
      <c r="BR589" t="s">
        <v>104</v>
      </c>
      <c r="BS589" t="s">
        <v>10889</v>
      </c>
      <c r="BT589" t="str">
        <f>HYPERLINK("https%3A%2F%2Fwww.webofscience.com%2Fwos%2Fwoscc%2Ffull-record%2FWOS:000279563700024","View Full Record in Web of Science")</f>
        <v>View Full Record in Web of Science</v>
      </c>
    </row>
    <row r="590" spans="1:72" x14ac:dyDescent="0.15">
      <c r="A590" t="s">
        <v>72</v>
      </c>
      <c r="B590" t="s">
        <v>10890</v>
      </c>
      <c r="C590" t="s">
        <v>74</v>
      </c>
      <c r="D590" t="s">
        <v>74</v>
      </c>
      <c r="E590" t="s">
        <v>74</v>
      </c>
      <c r="F590" t="s">
        <v>10891</v>
      </c>
      <c r="G590" t="s">
        <v>74</v>
      </c>
      <c r="H590" t="s">
        <v>74</v>
      </c>
      <c r="I590" t="s">
        <v>10892</v>
      </c>
      <c r="J590" t="s">
        <v>10893</v>
      </c>
      <c r="K590" t="s">
        <v>74</v>
      </c>
      <c r="L590" t="s">
        <v>74</v>
      </c>
      <c r="M590" t="s">
        <v>78</v>
      </c>
      <c r="N590" t="s">
        <v>79</v>
      </c>
      <c r="O590" t="s">
        <v>74</v>
      </c>
      <c r="P590" t="s">
        <v>74</v>
      </c>
      <c r="Q590" t="s">
        <v>74</v>
      </c>
      <c r="R590" t="s">
        <v>74</v>
      </c>
      <c r="S590" t="s">
        <v>74</v>
      </c>
      <c r="T590" t="s">
        <v>10894</v>
      </c>
      <c r="U590" t="s">
        <v>10895</v>
      </c>
      <c r="V590" t="s">
        <v>10896</v>
      </c>
      <c r="W590" t="s">
        <v>10897</v>
      </c>
      <c r="X590" t="s">
        <v>10898</v>
      </c>
      <c r="Y590" t="s">
        <v>10899</v>
      </c>
      <c r="Z590" t="s">
        <v>10900</v>
      </c>
      <c r="AA590" t="s">
        <v>10901</v>
      </c>
      <c r="AB590" t="s">
        <v>10902</v>
      </c>
      <c r="AC590" t="s">
        <v>10903</v>
      </c>
      <c r="AD590" t="s">
        <v>10903</v>
      </c>
      <c r="AE590" t="s">
        <v>10904</v>
      </c>
      <c r="AF590" t="s">
        <v>74</v>
      </c>
      <c r="AG590">
        <v>39</v>
      </c>
      <c r="AH590">
        <v>2</v>
      </c>
      <c r="AI590">
        <v>4</v>
      </c>
      <c r="AJ590">
        <v>0</v>
      </c>
      <c r="AK590">
        <v>4</v>
      </c>
      <c r="AL590" t="s">
        <v>464</v>
      </c>
      <c r="AM590" t="s">
        <v>310</v>
      </c>
      <c r="AN590" t="s">
        <v>971</v>
      </c>
      <c r="AO590" t="s">
        <v>10905</v>
      </c>
      <c r="AP590" t="s">
        <v>10906</v>
      </c>
      <c r="AQ590" t="s">
        <v>74</v>
      </c>
      <c r="AR590" t="s">
        <v>10907</v>
      </c>
      <c r="AS590" t="s">
        <v>10908</v>
      </c>
      <c r="AT590" t="s">
        <v>10610</v>
      </c>
      <c r="AU590">
        <v>2010</v>
      </c>
      <c r="AV590">
        <v>61</v>
      </c>
      <c r="AW590">
        <v>1</v>
      </c>
      <c r="AX590" t="s">
        <v>74</v>
      </c>
      <c r="AY590" t="s">
        <v>74</v>
      </c>
      <c r="AZ590" t="s">
        <v>74</v>
      </c>
      <c r="BA590" t="s">
        <v>74</v>
      </c>
      <c r="BB590">
        <v>27</v>
      </c>
      <c r="BC590">
        <v>35</v>
      </c>
      <c r="BD590" t="s">
        <v>74</v>
      </c>
      <c r="BE590" t="s">
        <v>10909</v>
      </c>
      <c r="BF590" t="str">
        <f>HYPERLINK("http://dx.doi.org/10.1007/s12665-009-0317-9","http://dx.doi.org/10.1007/s12665-009-0317-9")</f>
        <v>http://dx.doi.org/10.1007/s12665-009-0317-9</v>
      </c>
      <c r="BG590" t="s">
        <v>74</v>
      </c>
      <c r="BH590" t="s">
        <v>74</v>
      </c>
      <c r="BI590">
        <v>9</v>
      </c>
      <c r="BJ590" t="s">
        <v>10910</v>
      </c>
      <c r="BK590" t="s">
        <v>100</v>
      </c>
      <c r="BL590" t="s">
        <v>10911</v>
      </c>
      <c r="BM590" t="s">
        <v>10912</v>
      </c>
      <c r="BN590" t="s">
        <v>74</v>
      </c>
      <c r="BO590" t="s">
        <v>74</v>
      </c>
      <c r="BP590" t="s">
        <v>74</v>
      </c>
      <c r="BQ590" t="s">
        <v>74</v>
      </c>
      <c r="BR590" t="s">
        <v>104</v>
      </c>
      <c r="BS590" t="s">
        <v>10913</v>
      </c>
      <c r="BT590" t="str">
        <f>HYPERLINK("https%3A%2F%2Fwww.webofscience.com%2Fwos%2Fwoscc%2Ffull-record%2FWOS:000279080100003","View Full Record in Web of Science")</f>
        <v>View Full Record in Web of Science</v>
      </c>
    </row>
    <row r="591" spans="1:72" x14ac:dyDescent="0.15">
      <c r="A591" t="s">
        <v>72</v>
      </c>
      <c r="B591" t="s">
        <v>10914</v>
      </c>
      <c r="C591" t="s">
        <v>74</v>
      </c>
      <c r="D591" t="s">
        <v>74</v>
      </c>
      <c r="E591" t="s">
        <v>74</v>
      </c>
      <c r="F591" t="s">
        <v>10915</v>
      </c>
      <c r="G591" t="s">
        <v>74</v>
      </c>
      <c r="H591" t="s">
        <v>74</v>
      </c>
      <c r="I591" t="s">
        <v>10916</v>
      </c>
      <c r="J591" t="s">
        <v>3043</v>
      </c>
      <c r="K591" t="s">
        <v>74</v>
      </c>
      <c r="L591" t="s">
        <v>74</v>
      </c>
      <c r="M591" t="s">
        <v>78</v>
      </c>
      <c r="N591" t="s">
        <v>239</v>
      </c>
      <c r="O591" t="s">
        <v>74</v>
      </c>
      <c r="P591" t="s">
        <v>74</v>
      </c>
      <c r="Q591" t="s">
        <v>74</v>
      </c>
      <c r="R591" t="s">
        <v>74</v>
      </c>
      <c r="S591" t="s">
        <v>74</v>
      </c>
      <c r="T591" t="s">
        <v>10917</v>
      </c>
      <c r="U591" t="s">
        <v>74</v>
      </c>
      <c r="V591" t="s">
        <v>10918</v>
      </c>
      <c r="W591" t="s">
        <v>10919</v>
      </c>
      <c r="X591" t="s">
        <v>10920</v>
      </c>
      <c r="Y591" t="s">
        <v>10921</v>
      </c>
      <c r="Z591" t="s">
        <v>10922</v>
      </c>
      <c r="AA591" t="s">
        <v>10923</v>
      </c>
      <c r="AB591" t="s">
        <v>74</v>
      </c>
      <c r="AC591" t="s">
        <v>74</v>
      </c>
      <c r="AD591" t="s">
        <v>74</v>
      </c>
      <c r="AE591" t="s">
        <v>74</v>
      </c>
      <c r="AF591" t="s">
        <v>74</v>
      </c>
      <c r="AG591">
        <v>3</v>
      </c>
      <c r="AH591">
        <v>1</v>
      </c>
      <c r="AI591">
        <v>1</v>
      </c>
      <c r="AJ591">
        <v>1</v>
      </c>
      <c r="AK591">
        <v>14</v>
      </c>
      <c r="AL591" t="s">
        <v>1797</v>
      </c>
      <c r="AM591" t="s">
        <v>510</v>
      </c>
      <c r="AN591" t="s">
        <v>10924</v>
      </c>
      <c r="AO591" t="s">
        <v>3049</v>
      </c>
      <c r="AP591" t="s">
        <v>74</v>
      </c>
      <c r="AQ591" t="s">
        <v>74</v>
      </c>
      <c r="AR591" t="s">
        <v>3050</v>
      </c>
      <c r="AS591" t="s">
        <v>3051</v>
      </c>
      <c r="AT591" t="s">
        <v>10925</v>
      </c>
      <c r="AU591">
        <v>2010</v>
      </c>
      <c r="AV591">
        <v>5</v>
      </c>
      <c r="AW591">
        <v>3</v>
      </c>
      <c r="AX591" t="s">
        <v>74</v>
      </c>
      <c r="AY591" t="s">
        <v>74</v>
      </c>
      <c r="AZ591" t="s">
        <v>74</v>
      </c>
      <c r="BA591" t="s">
        <v>74</v>
      </c>
      <c r="BB591" t="s">
        <v>74</v>
      </c>
      <c r="BC591" t="s">
        <v>74</v>
      </c>
      <c r="BD591">
        <v>39701</v>
      </c>
      <c r="BE591" t="s">
        <v>10926</v>
      </c>
      <c r="BF591" t="str">
        <f>HYPERLINK("http://dx.doi.org/10.1088/1748-9326/5/3/039701","http://dx.doi.org/10.1088/1748-9326/5/3/039701")</f>
        <v>http://dx.doi.org/10.1088/1748-9326/5/3/039701</v>
      </c>
      <c r="BG591" t="s">
        <v>74</v>
      </c>
      <c r="BH591" t="s">
        <v>74</v>
      </c>
      <c r="BI591">
        <v>2</v>
      </c>
      <c r="BJ591" t="s">
        <v>272</v>
      </c>
      <c r="BK591" t="s">
        <v>100</v>
      </c>
      <c r="BL591" t="s">
        <v>273</v>
      </c>
      <c r="BM591" t="s">
        <v>10927</v>
      </c>
      <c r="BN591" t="s">
        <v>74</v>
      </c>
      <c r="BO591" t="s">
        <v>10613</v>
      </c>
      <c r="BP591" t="s">
        <v>74</v>
      </c>
      <c r="BQ591" t="s">
        <v>74</v>
      </c>
      <c r="BR591" t="s">
        <v>104</v>
      </c>
      <c r="BS591" t="s">
        <v>10928</v>
      </c>
      <c r="BT591" t="str">
        <f>HYPERLINK("https%3A%2F%2Fwww.webofscience.com%2Fwos%2Fwoscc%2Ffull-record%2FWOS:000282273700018","View Full Record in Web of Science")</f>
        <v>View Full Record in Web of Science</v>
      </c>
    </row>
    <row r="592" spans="1:72" x14ac:dyDescent="0.15">
      <c r="A592" t="s">
        <v>72</v>
      </c>
      <c r="B592" t="s">
        <v>10929</v>
      </c>
      <c r="C592" t="s">
        <v>74</v>
      </c>
      <c r="D592" t="s">
        <v>74</v>
      </c>
      <c r="E592" t="s">
        <v>74</v>
      </c>
      <c r="F592" t="s">
        <v>10930</v>
      </c>
      <c r="G592" t="s">
        <v>74</v>
      </c>
      <c r="H592" t="s">
        <v>74</v>
      </c>
      <c r="I592" t="s">
        <v>10931</v>
      </c>
      <c r="J592" t="s">
        <v>10932</v>
      </c>
      <c r="K592" t="s">
        <v>74</v>
      </c>
      <c r="L592" t="s">
        <v>74</v>
      </c>
      <c r="M592" t="s">
        <v>78</v>
      </c>
      <c r="N592" t="s">
        <v>79</v>
      </c>
      <c r="O592" t="s">
        <v>74</v>
      </c>
      <c r="P592" t="s">
        <v>74</v>
      </c>
      <c r="Q592" t="s">
        <v>74</v>
      </c>
      <c r="R592" t="s">
        <v>74</v>
      </c>
      <c r="S592" t="s">
        <v>74</v>
      </c>
      <c r="T592" t="s">
        <v>74</v>
      </c>
      <c r="U592" t="s">
        <v>10933</v>
      </c>
      <c r="V592" t="s">
        <v>10934</v>
      </c>
      <c r="W592" t="s">
        <v>10935</v>
      </c>
      <c r="X592" t="s">
        <v>10936</v>
      </c>
      <c r="Y592" t="s">
        <v>10937</v>
      </c>
      <c r="Z592" t="s">
        <v>10938</v>
      </c>
      <c r="AA592" t="s">
        <v>10939</v>
      </c>
      <c r="AB592" t="s">
        <v>10940</v>
      </c>
      <c r="AC592" t="s">
        <v>74</v>
      </c>
      <c r="AD592" t="s">
        <v>74</v>
      </c>
      <c r="AE592" t="s">
        <v>74</v>
      </c>
      <c r="AF592" t="s">
        <v>74</v>
      </c>
      <c r="AG592">
        <v>20</v>
      </c>
      <c r="AH592">
        <v>1</v>
      </c>
      <c r="AI592">
        <v>1</v>
      </c>
      <c r="AJ592">
        <v>0</v>
      </c>
      <c r="AK592">
        <v>8</v>
      </c>
      <c r="AL592" t="s">
        <v>10941</v>
      </c>
      <c r="AM592" t="s">
        <v>10942</v>
      </c>
      <c r="AN592" t="s">
        <v>10943</v>
      </c>
      <c r="AO592" t="s">
        <v>10944</v>
      </c>
      <c r="AP592" t="s">
        <v>74</v>
      </c>
      <c r="AQ592" t="s">
        <v>74</v>
      </c>
      <c r="AR592" t="s">
        <v>10945</v>
      </c>
      <c r="AS592" t="s">
        <v>10932</v>
      </c>
      <c r="AT592" t="s">
        <v>10610</v>
      </c>
      <c r="AU592">
        <v>2010</v>
      </c>
      <c r="AV592">
        <v>91</v>
      </c>
      <c r="AW592">
        <v>2</v>
      </c>
      <c r="AX592" t="s">
        <v>74</v>
      </c>
      <c r="AY592" t="s">
        <v>74</v>
      </c>
      <c r="AZ592" t="s">
        <v>74</v>
      </c>
      <c r="BA592" t="s">
        <v>74</v>
      </c>
      <c r="BB592" t="s">
        <v>74</v>
      </c>
      <c r="BC592" t="s">
        <v>74</v>
      </c>
      <c r="BD592">
        <v>29001</v>
      </c>
      <c r="BE592" t="s">
        <v>10946</v>
      </c>
      <c r="BF592" t="str">
        <f>HYPERLINK("http://dx.doi.org/10.1209/0295-5075/91/29001","http://dx.doi.org/10.1209/0295-5075/91/29001")</f>
        <v>http://dx.doi.org/10.1209/0295-5075/91/29001</v>
      </c>
      <c r="BG592" t="s">
        <v>74</v>
      </c>
      <c r="BH592" t="s">
        <v>74</v>
      </c>
      <c r="BI592">
        <v>5</v>
      </c>
      <c r="BJ592" t="s">
        <v>2125</v>
      </c>
      <c r="BK592" t="s">
        <v>100</v>
      </c>
      <c r="BL592" t="s">
        <v>2126</v>
      </c>
      <c r="BM592" t="s">
        <v>10947</v>
      </c>
      <c r="BN592" t="s">
        <v>74</v>
      </c>
      <c r="BO592" t="s">
        <v>134</v>
      </c>
      <c r="BP592" t="s">
        <v>74</v>
      </c>
      <c r="BQ592" t="s">
        <v>74</v>
      </c>
      <c r="BR592" t="s">
        <v>104</v>
      </c>
      <c r="BS592" t="s">
        <v>10948</v>
      </c>
      <c r="BT592" t="str">
        <f>HYPERLINK("https%3A%2F%2Fwww.webofscience.com%2Fwos%2Fwoscc%2Ffull-record%2FWOS:000282189500024","View Full Record in Web of Science")</f>
        <v>View Full Record in Web of Science</v>
      </c>
    </row>
    <row r="593" spans="1:72" x14ac:dyDescent="0.15">
      <c r="A593" t="s">
        <v>72</v>
      </c>
      <c r="B593" t="s">
        <v>10949</v>
      </c>
      <c r="C593" t="s">
        <v>74</v>
      </c>
      <c r="D593" t="s">
        <v>74</v>
      </c>
      <c r="E593" t="s">
        <v>74</v>
      </c>
      <c r="F593" t="s">
        <v>10950</v>
      </c>
      <c r="G593" t="s">
        <v>74</v>
      </c>
      <c r="H593" t="s">
        <v>74</v>
      </c>
      <c r="I593" t="s">
        <v>10951</v>
      </c>
      <c r="J593" t="s">
        <v>564</v>
      </c>
      <c r="K593" t="s">
        <v>74</v>
      </c>
      <c r="L593" t="s">
        <v>74</v>
      </c>
      <c r="M593" t="s">
        <v>78</v>
      </c>
      <c r="N593" t="s">
        <v>79</v>
      </c>
      <c r="O593" t="s">
        <v>74</v>
      </c>
      <c r="P593" t="s">
        <v>74</v>
      </c>
      <c r="Q593" t="s">
        <v>74</v>
      </c>
      <c r="R593" t="s">
        <v>74</v>
      </c>
      <c r="S593" t="s">
        <v>74</v>
      </c>
      <c r="T593" t="s">
        <v>10952</v>
      </c>
      <c r="U593" t="s">
        <v>10953</v>
      </c>
      <c r="V593" t="s">
        <v>10954</v>
      </c>
      <c r="W593" t="s">
        <v>10955</v>
      </c>
      <c r="X593" t="s">
        <v>10956</v>
      </c>
      <c r="Y593" t="s">
        <v>10957</v>
      </c>
      <c r="Z593" t="s">
        <v>10958</v>
      </c>
      <c r="AA593" t="s">
        <v>10959</v>
      </c>
      <c r="AB593" t="s">
        <v>10960</v>
      </c>
      <c r="AC593" t="s">
        <v>10961</v>
      </c>
      <c r="AD593" t="s">
        <v>10961</v>
      </c>
      <c r="AE593" t="s">
        <v>10962</v>
      </c>
      <c r="AF593" t="s">
        <v>74</v>
      </c>
      <c r="AG593">
        <v>73</v>
      </c>
      <c r="AH593">
        <v>77</v>
      </c>
      <c r="AI593">
        <v>85</v>
      </c>
      <c r="AJ593">
        <v>1</v>
      </c>
      <c r="AK593">
        <v>39</v>
      </c>
      <c r="AL593" t="s">
        <v>464</v>
      </c>
      <c r="AM593" t="s">
        <v>576</v>
      </c>
      <c r="AN593" t="s">
        <v>577</v>
      </c>
      <c r="AO593" t="s">
        <v>578</v>
      </c>
      <c r="AP593" t="s">
        <v>74</v>
      </c>
      <c r="AQ593" t="s">
        <v>74</v>
      </c>
      <c r="AR593" t="s">
        <v>580</v>
      </c>
      <c r="AS593" t="s">
        <v>581</v>
      </c>
      <c r="AT593" t="s">
        <v>10610</v>
      </c>
      <c r="AU593">
        <v>2010</v>
      </c>
      <c r="AV593">
        <v>24</v>
      </c>
      <c r="AW593">
        <v>4</v>
      </c>
      <c r="AX593" t="s">
        <v>74</v>
      </c>
      <c r="AY593" t="s">
        <v>74</v>
      </c>
      <c r="AZ593" t="s">
        <v>74</v>
      </c>
      <c r="BA593" t="s">
        <v>74</v>
      </c>
      <c r="BB593">
        <v>923</v>
      </c>
      <c r="BC593">
        <v>938</v>
      </c>
      <c r="BD593" t="s">
        <v>74</v>
      </c>
      <c r="BE593" t="s">
        <v>10963</v>
      </c>
      <c r="BF593" t="str">
        <f>HYPERLINK("http://dx.doi.org/10.1007/s10682-009-9350-0","http://dx.doi.org/10.1007/s10682-009-9350-0")</f>
        <v>http://dx.doi.org/10.1007/s10682-009-9350-0</v>
      </c>
      <c r="BG593" t="s">
        <v>74</v>
      </c>
      <c r="BH593" t="s">
        <v>74</v>
      </c>
      <c r="BI593">
        <v>16</v>
      </c>
      <c r="BJ593" t="s">
        <v>584</v>
      </c>
      <c r="BK593" t="s">
        <v>100</v>
      </c>
      <c r="BL593" t="s">
        <v>585</v>
      </c>
      <c r="BM593" t="s">
        <v>10964</v>
      </c>
      <c r="BN593" t="s">
        <v>74</v>
      </c>
      <c r="BO593" t="s">
        <v>74</v>
      </c>
      <c r="BP593" t="s">
        <v>74</v>
      </c>
      <c r="BQ593" t="s">
        <v>74</v>
      </c>
      <c r="BR593" t="s">
        <v>104</v>
      </c>
      <c r="BS593" t="s">
        <v>10965</v>
      </c>
      <c r="BT593" t="str">
        <f>HYPERLINK("https%3A%2F%2Fwww.webofscience.com%2Fwos%2Fwoscc%2Ffull-record%2FWOS:000278833400020","View Full Record in Web of Science")</f>
        <v>View Full Record in Web of Science</v>
      </c>
    </row>
    <row r="594" spans="1:72" x14ac:dyDescent="0.15">
      <c r="A594" t="s">
        <v>72</v>
      </c>
      <c r="B594" t="s">
        <v>10966</v>
      </c>
      <c r="C594" t="s">
        <v>74</v>
      </c>
      <c r="D594" t="s">
        <v>74</v>
      </c>
      <c r="E594" t="s">
        <v>74</v>
      </c>
      <c r="F594" t="s">
        <v>10967</v>
      </c>
      <c r="G594" t="s">
        <v>74</v>
      </c>
      <c r="H594" t="s">
        <v>74</v>
      </c>
      <c r="I594" t="s">
        <v>10968</v>
      </c>
      <c r="J594" t="s">
        <v>5945</v>
      </c>
      <c r="K594" t="s">
        <v>74</v>
      </c>
      <c r="L594" t="s">
        <v>74</v>
      </c>
      <c r="M594" t="s">
        <v>78</v>
      </c>
      <c r="N594" t="s">
        <v>79</v>
      </c>
      <c r="O594" t="s">
        <v>74</v>
      </c>
      <c r="P594" t="s">
        <v>74</v>
      </c>
      <c r="Q594" t="s">
        <v>74</v>
      </c>
      <c r="R594" t="s">
        <v>74</v>
      </c>
      <c r="S594" t="s">
        <v>74</v>
      </c>
      <c r="T594" t="s">
        <v>10969</v>
      </c>
      <c r="U594" t="s">
        <v>10970</v>
      </c>
      <c r="V594" t="s">
        <v>10971</v>
      </c>
      <c r="W594" t="s">
        <v>10972</v>
      </c>
      <c r="X594" t="s">
        <v>10973</v>
      </c>
      <c r="Y594" t="s">
        <v>10974</v>
      </c>
      <c r="Z594" t="s">
        <v>10975</v>
      </c>
      <c r="AA594" t="s">
        <v>74</v>
      </c>
      <c r="AB594" t="s">
        <v>10976</v>
      </c>
      <c r="AC594" t="s">
        <v>10977</v>
      </c>
      <c r="AD594" t="s">
        <v>8297</v>
      </c>
      <c r="AE594" t="s">
        <v>10978</v>
      </c>
      <c r="AF594" t="s">
        <v>74</v>
      </c>
      <c r="AG594">
        <v>36</v>
      </c>
      <c r="AH594">
        <v>12</v>
      </c>
      <c r="AI594">
        <v>14</v>
      </c>
      <c r="AJ594">
        <v>0</v>
      </c>
      <c r="AK594">
        <v>18</v>
      </c>
      <c r="AL594" t="s">
        <v>10979</v>
      </c>
      <c r="AM594" t="s">
        <v>386</v>
      </c>
      <c r="AN594" t="s">
        <v>10980</v>
      </c>
      <c r="AO594" t="s">
        <v>5959</v>
      </c>
      <c r="AP594" t="s">
        <v>74</v>
      </c>
      <c r="AQ594" t="s">
        <v>74</v>
      </c>
      <c r="AR594" t="s">
        <v>5945</v>
      </c>
      <c r="AS594" t="s">
        <v>5961</v>
      </c>
      <c r="AT594" t="s">
        <v>10610</v>
      </c>
      <c r="AU594">
        <v>2010</v>
      </c>
      <c r="AV594">
        <v>14</v>
      </c>
      <c r="AW594">
        <v>4</v>
      </c>
      <c r="AX594" t="s">
        <v>74</v>
      </c>
      <c r="AY594" t="s">
        <v>74</v>
      </c>
      <c r="AZ594" t="s">
        <v>74</v>
      </c>
      <c r="BA594" t="s">
        <v>74</v>
      </c>
      <c r="BB594">
        <v>357</v>
      </c>
      <c r="BC594">
        <v>366</v>
      </c>
      <c r="BD594" t="s">
        <v>74</v>
      </c>
      <c r="BE594" t="s">
        <v>10981</v>
      </c>
      <c r="BF594" t="str">
        <f>HYPERLINK("http://dx.doi.org/10.1007/s00792-010-0315-6","http://dx.doi.org/10.1007/s00792-010-0315-6")</f>
        <v>http://dx.doi.org/10.1007/s00792-010-0315-6</v>
      </c>
      <c r="BG594" t="s">
        <v>74</v>
      </c>
      <c r="BH594" t="s">
        <v>74</v>
      </c>
      <c r="BI594">
        <v>10</v>
      </c>
      <c r="BJ594" t="s">
        <v>5963</v>
      </c>
      <c r="BK594" t="s">
        <v>100</v>
      </c>
      <c r="BL594" t="s">
        <v>5963</v>
      </c>
      <c r="BM594" t="s">
        <v>10982</v>
      </c>
      <c r="BN594">
        <v>20473538</v>
      </c>
      <c r="BO594" t="s">
        <v>74</v>
      </c>
      <c r="BP594" t="s">
        <v>74</v>
      </c>
      <c r="BQ594" t="s">
        <v>74</v>
      </c>
      <c r="BR594" t="s">
        <v>104</v>
      </c>
      <c r="BS594" t="s">
        <v>10983</v>
      </c>
      <c r="BT594" t="str">
        <f>HYPERLINK("https%3A%2F%2Fwww.webofscience.com%2Fwos%2Fwoscc%2Ffull-record%2FWOS:000279588500003","View Full Record in Web of Science")</f>
        <v>View Full Record in Web of Science</v>
      </c>
    </row>
    <row r="595" spans="1:72" x14ac:dyDescent="0.15">
      <c r="A595" t="s">
        <v>72</v>
      </c>
      <c r="B595" t="s">
        <v>10984</v>
      </c>
      <c r="C595" t="s">
        <v>74</v>
      </c>
      <c r="D595" t="s">
        <v>74</v>
      </c>
      <c r="E595" t="s">
        <v>74</v>
      </c>
      <c r="F595" t="s">
        <v>10985</v>
      </c>
      <c r="G595" t="s">
        <v>74</v>
      </c>
      <c r="H595" t="s">
        <v>74</v>
      </c>
      <c r="I595" t="s">
        <v>10986</v>
      </c>
      <c r="J595" t="s">
        <v>5945</v>
      </c>
      <c r="K595" t="s">
        <v>74</v>
      </c>
      <c r="L595" t="s">
        <v>74</v>
      </c>
      <c r="M595" t="s">
        <v>78</v>
      </c>
      <c r="N595" t="s">
        <v>79</v>
      </c>
      <c r="O595" t="s">
        <v>74</v>
      </c>
      <c r="P595" t="s">
        <v>74</v>
      </c>
      <c r="Q595" t="s">
        <v>74</v>
      </c>
      <c r="R595" t="s">
        <v>74</v>
      </c>
      <c r="S595" t="s">
        <v>74</v>
      </c>
      <c r="T595" t="s">
        <v>10987</v>
      </c>
      <c r="U595" t="s">
        <v>10988</v>
      </c>
      <c r="V595" t="s">
        <v>10989</v>
      </c>
      <c r="W595" t="s">
        <v>10990</v>
      </c>
      <c r="X595" t="s">
        <v>3374</v>
      </c>
      <c r="Y595" t="s">
        <v>3375</v>
      </c>
      <c r="Z595" t="s">
        <v>3376</v>
      </c>
      <c r="AA595" t="s">
        <v>10991</v>
      </c>
      <c r="AB595" t="s">
        <v>10992</v>
      </c>
      <c r="AC595" t="s">
        <v>10993</v>
      </c>
      <c r="AD595" t="s">
        <v>10994</v>
      </c>
      <c r="AE595" t="s">
        <v>10995</v>
      </c>
      <c r="AF595" t="s">
        <v>74</v>
      </c>
      <c r="AG595">
        <v>83</v>
      </c>
      <c r="AH595">
        <v>49</v>
      </c>
      <c r="AI595">
        <v>54</v>
      </c>
      <c r="AJ595">
        <v>1</v>
      </c>
      <c r="AK595">
        <v>16</v>
      </c>
      <c r="AL595" t="s">
        <v>5957</v>
      </c>
      <c r="AM595" t="s">
        <v>386</v>
      </c>
      <c r="AN595" t="s">
        <v>5958</v>
      </c>
      <c r="AO595" t="s">
        <v>5959</v>
      </c>
      <c r="AP595" t="s">
        <v>5960</v>
      </c>
      <c r="AQ595" t="s">
        <v>74</v>
      </c>
      <c r="AR595" t="s">
        <v>5945</v>
      </c>
      <c r="AS595" t="s">
        <v>5961</v>
      </c>
      <c r="AT595" t="s">
        <v>10610</v>
      </c>
      <c r="AU595">
        <v>2010</v>
      </c>
      <c r="AV595">
        <v>14</v>
      </c>
      <c r="AW595">
        <v>4</v>
      </c>
      <c r="AX595" t="s">
        <v>74</v>
      </c>
      <c r="AY595" t="s">
        <v>74</v>
      </c>
      <c r="AZ595" t="s">
        <v>74</v>
      </c>
      <c r="BA595" t="s">
        <v>74</v>
      </c>
      <c r="BB595">
        <v>377</v>
      </c>
      <c r="BC595">
        <v>395</v>
      </c>
      <c r="BD595" t="s">
        <v>74</v>
      </c>
      <c r="BE595" t="s">
        <v>10996</v>
      </c>
      <c r="BF595" t="str">
        <f>HYPERLINK("http://dx.doi.org/10.1007/s00792-010-0318-3","http://dx.doi.org/10.1007/s00792-010-0318-3")</f>
        <v>http://dx.doi.org/10.1007/s00792-010-0318-3</v>
      </c>
      <c r="BG595" t="s">
        <v>74</v>
      </c>
      <c r="BH595" t="s">
        <v>74</v>
      </c>
      <c r="BI595">
        <v>19</v>
      </c>
      <c r="BJ595" t="s">
        <v>5963</v>
      </c>
      <c r="BK595" t="s">
        <v>100</v>
      </c>
      <c r="BL595" t="s">
        <v>5963</v>
      </c>
      <c r="BM595" t="s">
        <v>10982</v>
      </c>
      <c r="BN595">
        <v>20505964</v>
      </c>
      <c r="BO595" t="s">
        <v>74</v>
      </c>
      <c r="BP595" t="s">
        <v>74</v>
      </c>
      <c r="BQ595" t="s">
        <v>74</v>
      </c>
      <c r="BR595" t="s">
        <v>104</v>
      </c>
      <c r="BS595" t="s">
        <v>10997</v>
      </c>
      <c r="BT595" t="str">
        <f>HYPERLINK("https%3A%2F%2Fwww.webofscience.com%2Fwos%2Fwoscc%2Ffull-record%2FWOS:000279588500005","View Full Record in Web of Science")</f>
        <v>View Full Record in Web of Science</v>
      </c>
    </row>
    <row r="596" spans="1:72" x14ac:dyDescent="0.15">
      <c r="A596" t="s">
        <v>72</v>
      </c>
      <c r="B596" t="s">
        <v>10998</v>
      </c>
      <c r="C596" t="s">
        <v>74</v>
      </c>
      <c r="D596" t="s">
        <v>74</v>
      </c>
      <c r="E596" t="s">
        <v>74</v>
      </c>
      <c r="F596" t="s">
        <v>10999</v>
      </c>
      <c r="G596" t="s">
        <v>74</v>
      </c>
      <c r="H596" t="s">
        <v>74</v>
      </c>
      <c r="I596" t="s">
        <v>11000</v>
      </c>
      <c r="J596" t="s">
        <v>11001</v>
      </c>
      <c r="K596" t="s">
        <v>74</v>
      </c>
      <c r="L596" t="s">
        <v>74</v>
      </c>
      <c r="M596" t="s">
        <v>78</v>
      </c>
      <c r="N596" t="s">
        <v>79</v>
      </c>
      <c r="O596" t="s">
        <v>74</v>
      </c>
      <c r="P596" t="s">
        <v>74</v>
      </c>
      <c r="Q596" t="s">
        <v>74</v>
      </c>
      <c r="R596" t="s">
        <v>74</v>
      </c>
      <c r="S596" t="s">
        <v>74</v>
      </c>
      <c r="T596" t="s">
        <v>11002</v>
      </c>
      <c r="U596" t="s">
        <v>11003</v>
      </c>
      <c r="V596" t="s">
        <v>11004</v>
      </c>
      <c r="W596" t="s">
        <v>11005</v>
      </c>
      <c r="X596" t="s">
        <v>11006</v>
      </c>
      <c r="Y596" t="s">
        <v>11007</v>
      </c>
      <c r="Z596" t="s">
        <v>11008</v>
      </c>
      <c r="AA596" t="s">
        <v>11009</v>
      </c>
      <c r="AB596" t="s">
        <v>11010</v>
      </c>
      <c r="AC596" t="s">
        <v>11011</v>
      </c>
      <c r="AD596" t="s">
        <v>11012</v>
      </c>
      <c r="AE596" t="s">
        <v>11013</v>
      </c>
      <c r="AF596" t="s">
        <v>74</v>
      </c>
      <c r="AG596">
        <v>54</v>
      </c>
      <c r="AH596">
        <v>15</v>
      </c>
      <c r="AI596">
        <v>21</v>
      </c>
      <c r="AJ596">
        <v>0</v>
      </c>
      <c r="AK596">
        <v>28</v>
      </c>
      <c r="AL596" t="s">
        <v>648</v>
      </c>
      <c r="AM596" t="s">
        <v>265</v>
      </c>
      <c r="AN596" t="s">
        <v>649</v>
      </c>
      <c r="AO596" t="s">
        <v>11014</v>
      </c>
      <c r="AP596" t="s">
        <v>11015</v>
      </c>
      <c r="AQ596" t="s">
        <v>74</v>
      </c>
      <c r="AR596" t="s">
        <v>11016</v>
      </c>
      <c r="AS596" t="s">
        <v>11017</v>
      </c>
      <c r="AT596" t="s">
        <v>10610</v>
      </c>
      <c r="AU596">
        <v>2010</v>
      </c>
      <c r="AV596">
        <v>73</v>
      </c>
      <c r="AW596">
        <v>1</v>
      </c>
      <c r="AX596" t="s">
        <v>74</v>
      </c>
      <c r="AY596" t="s">
        <v>74</v>
      </c>
      <c r="AZ596" t="s">
        <v>74</v>
      </c>
      <c r="BA596" t="s">
        <v>74</v>
      </c>
      <c r="BB596">
        <v>68</v>
      </c>
      <c r="BC596">
        <v>82</v>
      </c>
      <c r="BD596" t="s">
        <v>74</v>
      </c>
      <c r="BE596" t="s">
        <v>11018</v>
      </c>
      <c r="BF596" t="str">
        <f>HYPERLINK("http://dx.doi.org/10.1111/j.1574-6941.2010.00882.x","http://dx.doi.org/10.1111/j.1574-6941.2010.00882.x")</f>
        <v>http://dx.doi.org/10.1111/j.1574-6941.2010.00882.x</v>
      </c>
      <c r="BG596" t="s">
        <v>74</v>
      </c>
      <c r="BH596" t="s">
        <v>74</v>
      </c>
      <c r="BI596">
        <v>15</v>
      </c>
      <c r="BJ596" t="s">
        <v>737</v>
      </c>
      <c r="BK596" t="s">
        <v>100</v>
      </c>
      <c r="BL596" t="s">
        <v>737</v>
      </c>
      <c r="BM596" t="s">
        <v>11019</v>
      </c>
      <c r="BN596">
        <v>20455939</v>
      </c>
      <c r="BO596" t="s">
        <v>394</v>
      </c>
      <c r="BP596" t="s">
        <v>74</v>
      </c>
      <c r="BQ596" t="s">
        <v>74</v>
      </c>
      <c r="BR596" t="s">
        <v>104</v>
      </c>
      <c r="BS596" t="s">
        <v>11020</v>
      </c>
      <c r="BT596" t="str">
        <f>HYPERLINK("https%3A%2F%2Fwww.webofscience.com%2Fwos%2Fwoscc%2Ffull-record%2FWOS:000278394500006","View Full Record in Web of Science")</f>
        <v>View Full Record in Web of Science</v>
      </c>
    </row>
    <row r="597" spans="1:72" x14ac:dyDescent="0.15">
      <c r="A597" t="s">
        <v>72</v>
      </c>
      <c r="B597" t="s">
        <v>11021</v>
      </c>
      <c r="C597" t="s">
        <v>74</v>
      </c>
      <c r="D597" t="s">
        <v>74</v>
      </c>
      <c r="E597" t="s">
        <v>74</v>
      </c>
      <c r="F597" t="s">
        <v>11022</v>
      </c>
      <c r="G597" t="s">
        <v>74</v>
      </c>
      <c r="H597" t="s">
        <v>74</v>
      </c>
      <c r="I597" t="s">
        <v>11023</v>
      </c>
      <c r="J597" t="s">
        <v>11001</v>
      </c>
      <c r="K597" t="s">
        <v>74</v>
      </c>
      <c r="L597" t="s">
        <v>74</v>
      </c>
      <c r="M597" t="s">
        <v>78</v>
      </c>
      <c r="N597" t="s">
        <v>79</v>
      </c>
      <c r="O597" t="s">
        <v>74</v>
      </c>
      <c r="P597" t="s">
        <v>74</v>
      </c>
      <c r="Q597" t="s">
        <v>74</v>
      </c>
      <c r="R597" t="s">
        <v>74</v>
      </c>
      <c r="S597" t="s">
        <v>74</v>
      </c>
      <c r="T597" t="s">
        <v>11024</v>
      </c>
      <c r="U597" t="s">
        <v>11025</v>
      </c>
      <c r="V597" t="s">
        <v>11026</v>
      </c>
      <c r="W597" t="s">
        <v>11027</v>
      </c>
      <c r="X597" t="s">
        <v>11028</v>
      </c>
      <c r="Y597" t="s">
        <v>11029</v>
      </c>
      <c r="Z597" t="s">
        <v>11030</v>
      </c>
      <c r="AA597" t="s">
        <v>74</v>
      </c>
      <c r="AB597" t="s">
        <v>74</v>
      </c>
      <c r="AC597" t="s">
        <v>11031</v>
      </c>
      <c r="AD597" t="s">
        <v>11032</v>
      </c>
      <c r="AE597" t="s">
        <v>11033</v>
      </c>
      <c r="AF597" t="s">
        <v>74</v>
      </c>
      <c r="AG597">
        <v>51</v>
      </c>
      <c r="AH597">
        <v>107</v>
      </c>
      <c r="AI597">
        <v>119</v>
      </c>
      <c r="AJ597">
        <v>1</v>
      </c>
      <c r="AK597">
        <v>39</v>
      </c>
      <c r="AL597" t="s">
        <v>648</v>
      </c>
      <c r="AM597" t="s">
        <v>265</v>
      </c>
      <c r="AN597" t="s">
        <v>649</v>
      </c>
      <c r="AO597" t="s">
        <v>11014</v>
      </c>
      <c r="AP597" t="s">
        <v>11015</v>
      </c>
      <c r="AQ597" t="s">
        <v>74</v>
      </c>
      <c r="AR597" t="s">
        <v>11016</v>
      </c>
      <c r="AS597" t="s">
        <v>11017</v>
      </c>
      <c r="AT597" t="s">
        <v>10610</v>
      </c>
      <c r="AU597">
        <v>2010</v>
      </c>
      <c r="AV597">
        <v>73</v>
      </c>
      <c r="AW597">
        <v>1</v>
      </c>
      <c r="AX597" t="s">
        <v>74</v>
      </c>
      <c r="AY597" t="s">
        <v>74</v>
      </c>
      <c r="AZ597" t="s">
        <v>74</v>
      </c>
      <c r="BA597" t="s">
        <v>74</v>
      </c>
      <c r="BB597">
        <v>178</v>
      </c>
      <c r="BC597">
        <v>189</v>
      </c>
      <c r="BD597" t="s">
        <v>74</v>
      </c>
      <c r="BE597" t="s">
        <v>11034</v>
      </c>
      <c r="BF597" t="str">
        <f>HYPERLINK("http://dx.doi.org/10.1111/j.1574-6941.2010.00872.x","http://dx.doi.org/10.1111/j.1574-6941.2010.00872.x")</f>
        <v>http://dx.doi.org/10.1111/j.1574-6941.2010.00872.x</v>
      </c>
      <c r="BG597" t="s">
        <v>74</v>
      </c>
      <c r="BH597" t="s">
        <v>74</v>
      </c>
      <c r="BI597">
        <v>12</v>
      </c>
      <c r="BJ597" t="s">
        <v>737</v>
      </c>
      <c r="BK597" t="s">
        <v>100</v>
      </c>
      <c r="BL597" t="s">
        <v>737</v>
      </c>
      <c r="BM597" t="s">
        <v>11019</v>
      </c>
      <c r="BN597">
        <v>20455944</v>
      </c>
      <c r="BO597" t="s">
        <v>394</v>
      </c>
      <c r="BP597" t="s">
        <v>74</v>
      </c>
      <c r="BQ597" t="s">
        <v>74</v>
      </c>
      <c r="BR597" t="s">
        <v>104</v>
      </c>
      <c r="BS597" t="s">
        <v>11035</v>
      </c>
      <c r="BT597" t="str">
        <f>HYPERLINK("https%3A%2F%2Fwww.webofscience.com%2Fwos%2Fwoscc%2Ffull-record%2FWOS:000278394500015","View Full Record in Web of Science")</f>
        <v>View Full Record in Web of Science</v>
      </c>
    </row>
    <row r="598" spans="1:72" x14ac:dyDescent="0.15">
      <c r="A598" t="s">
        <v>72</v>
      </c>
      <c r="B598" t="s">
        <v>11036</v>
      </c>
      <c r="C598" t="s">
        <v>74</v>
      </c>
      <c r="D598" t="s">
        <v>74</v>
      </c>
      <c r="E598" t="s">
        <v>74</v>
      </c>
      <c r="F598" t="s">
        <v>11037</v>
      </c>
      <c r="G598" t="s">
        <v>74</v>
      </c>
      <c r="H598" t="s">
        <v>74</v>
      </c>
      <c r="I598" t="s">
        <v>11038</v>
      </c>
      <c r="J598" t="s">
        <v>11039</v>
      </c>
      <c r="K598" t="s">
        <v>74</v>
      </c>
      <c r="L598" t="s">
        <v>74</v>
      </c>
      <c r="M598" t="s">
        <v>78</v>
      </c>
      <c r="N598" t="s">
        <v>79</v>
      </c>
      <c r="O598" t="s">
        <v>74</v>
      </c>
      <c r="P598" t="s">
        <v>74</v>
      </c>
      <c r="Q598" t="s">
        <v>74</v>
      </c>
      <c r="R598" t="s">
        <v>74</v>
      </c>
      <c r="S598" t="s">
        <v>74</v>
      </c>
      <c r="T598" t="s">
        <v>11040</v>
      </c>
      <c r="U598" t="s">
        <v>11041</v>
      </c>
      <c r="V598" t="s">
        <v>11042</v>
      </c>
      <c r="W598" t="s">
        <v>11043</v>
      </c>
      <c r="X598" t="s">
        <v>11044</v>
      </c>
      <c r="Y598" t="s">
        <v>11045</v>
      </c>
      <c r="Z598" t="s">
        <v>11046</v>
      </c>
      <c r="AA598" t="s">
        <v>11047</v>
      </c>
      <c r="AB598" t="s">
        <v>11048</v>
      </c>
      <c r="AC598" t="s">
        <v>11049</v>
      </c>
      <c r="AD598" t="s">
        <v>2843</v>
      </c>
      <c r="AE598" t="s">
        <v>74</v>
      </c>
      <c r="AF598" t="s">
        <v>74</v>
      </c>
      <c r="AG598">
        <v>51</v>
      </c>
      <c r="AH598">
        <v>26</v>
      </c>
      <c r="AI598">
        <v>27</v>
      </c>
      <c r="AJ598">
        <v>0</v>
      </c>
      <c r="AK598">
        <v>6</v>
      </c>
      <c r="AL598" t="s">
        <v>851</v>
      </c>
      <c r="AM598" t="s">
        <v>310</v>
      </c>
      <c r="AN598" t="s">
        <v>852</v>
      </c>
      <c r="AO598" t="s">
        <v>11050</v>
      </c>
      <c r="AP598" t="s">
        <v>11051</v>
      </c>
      <c r="AQ598" t="s">
        <v>74</v>
      </c>
      <c r="AR598" t="s">
        <v>11052</v>
      </c>
      <c r="AS598" t="s">
        <v>11053</v>
      </c>
      <c r="AT598" t="s">
        <v>10610</v>
      </c>
      <c r="AU598">
        <v>2010</v>
      </c>
      <c r="AV598">
        <v>147</v>
      </c>
      <c r="AW598">
        <v>4</v>
      </c>
      <c r="AX598" t="s">
        <v>74</v>
      </c>
      <c r="AY598" t="s">
        <v>74</v>
      </c>
      <c r="AZ598" t="s">
        <v>74</v>
      </c>
      <c r="BA598" t="s">
        <v>74</v>
      </c>
      <c r="BB598">
        <v>581</v>
      </c>
      <c r="BC598">
        <v>595</v>
      </c>
      <c r="BD598" t="s">
        <v>74</v>
      </c>
      <c r="BE598" t="s">
        <v>11054</v>
      </c>
      <c r="BF598" t="str">
        <f>HYPERLINK("http://dx.doi.org/10.1017/S0016756809990720","http://dx.doi.org/10.1017/S0016756809990720")</f>
        <v>http://dx.doi.org/10.1017/S0016756809990720</v>
      </c>
      <c r="BG598" t="s">
        <v>74</v>
      </c>
      <c r="BH598" t="s">
        <v>74</v>
      </c>
      <c r="BI598">
        <v>15</v>
      </c>
      <c r="BJ598" t="s">
        <v>1194</v>
      </c>
      <c r="BK598" t="s">
        <v>100</v>
      </c>
      <c r="BL598" t="s">
        <v>807</v>
      </c>
      <c r="BM598" t="s">
        <v>11055</v>
      </c>
      <c r="BN598" t="s">
        <v>74</v>
      </c>
      <c r="BO598" t="s">
        <v>74</v>
      </c>
      <c r="BP598" t="s">
        <v>74</v>
      </c>
      <c r="BQ598" t="s">
        <v>74</v>
      </c>
      <c r="BR598" t="s">
        <v>104</v>
      </c>
      <c r="BS598" t="s">
        <v>11056</v>
      </c>
      <c r="BT598" t="str">
        <f>HYPERLINK("https%3A%2F%2Fwww.webofscience.com%2Fwos%2Fwoscc%2Ffull-record%2FWOS:000279152400007","View Full Record in Web of Science")</f>
        <v>View Full Record in Web of Science</v>
      </c>
    </row>
    <row r="599" spans="1:72" x14ac:dyDescent="0.15">
      <c r="A599" t="s">
        <v>72</v>
      </c>
      <c r="B599" t="s">
        <v>11057</v>
      </c>
      <c r="C599" t="s">
        <v>74</v>
      </c>
      <c r="D599" t="s">
        <v>74</v>
      </c>
      <c r="E599" t="s">
        <v>74</v>
      </c>
      <c r="F599" t="s">
        <v>11058</v>
      </c>
      <c r="G599" t="s">
        <v>74</v>
      </c>
      <c r="H599" t="s">
        <v>74</v>
      </c>
      <c r="I599" t="s">
        <v>11059</v>
      </c>
      <c r="J599" t="s">
        <v>11060</v>
      </c>
      <c r="K599" t="s">
        <v>74</v>
      </c>
      <c r="L599" t="s">
        <v>74</v>
      </c>
      <c r="M599" t="s">
        <v>78</v>
      </c>
      <c r="N599" t="s">
        <v>79</v>
      </c>
      <c r="O599" t="s">
        <v>74</v>
      </c>
      <c r="P599" t="s">
        <v>74</v>
      </c>
      <c r="Q599" t="s">
        <v>74</v>
      </c>
      <c r="R599" t="s">
        <v>74</v>
      </c>
      <c r="S599" t="s">
        <v>74</v>
      </c>
      <c r="T599" t="s">
        <v>74</v>
      </c>
      <c r="U599" t="s">
        <v>11061</v>
      </c>
      <c r="V599" t="s">
        <v>11062</v>
      </c>
      <c r="W599" t="s">
        <v>11063</v>
      </c>
      <c r="X599" t="s">
        <v>11064</v>
      </c>
      <c r="Y599" t="s">
        <v>792</v>
      </c>
      <c r="Z599" t="s">
        <v>11065</v>
      </c>
      <c r="AA599" t="s">
        <v>794</v>
      </c>
      <c r="AB599" t="s">
        <v>11066</v>
      </c>
      <c r="AC599" t="s">
        <v>11067</v>
      </c>
      <c r="AD599" t="s">
        <v>11068</v>
      </c>
      <c r="AE599" t="s">
        <v>11069</v>
      </c>
      <c r="AF599" t="s">
        <v>74</v>
      </c>
      <c r="AG599">
        <v>70</v>
      </c>
      <c r="AH599">
        <v>61</v>
      </c>
      <c r="AI599">
        <v>70</v>
      </c>
      <c r="AJ599">
        <v>0</v>
      </c>
      <c r="AK599">
        <v>14</v>
      </c>
      <c r="AL599" t="s">
        <v>3145</v>
      </c>
      <c r="AM599" t="s">
        <v>91</v>
      </c>
      <c r="AN599" t="s">
        <v>3146</v>
      </c>
      <c r="AO599" t="s">
        <v>11070</v>
      </c>
      <c r="AP599" t="s">
        <v>11071</v>
      </c>
      <c r="AQ599" t="s">
        <v>74</v>
      </c>
      <c r="AR599" t="s">
        <v>11072</v>
      </c>
      <c r="AS599" t="s">
        <v>11073</v>
      </c>
      <c r="AT599" t="s">
        <v>10659</v>
      </c>
      <c r="AU599">
        <v>2010</v>
      </c>
      <c r="AV599">
        <v>122</v>
      </c>
      <c r="AW599" t="s">
        <v>11074</v>
      </c>
      <c r="AX599" t="s">
        <v>74</v>
      </c>
      <c r="AY599" t="s">
        <v>74</v>
      </c>
      <c r="AZ599" t="s">
        <v>74</v>
      </c>
      <c r="BA599" t="s">
        <v>74</v>
      </c>
      <c r="BB599">
        <v>1135</v>
      </c>
      <c r="BC599">
        <v>1159</v>
      </c>
      <c r="BD599" t="s">
        <v>74</v>
      </c>
      <c r="BE599" t="s">
        <v>11075</v>
      </c>
      <c r="BF599" t="str">
        <f>HYPERLINK("http://dx.doi.org/10.1130/B30079.1","http://dx.doi.org/10.1130/B30079.1")</f>
        <v>http://dx.doi.org/10.1130/B30079.1</v>
      </c>
      <c r="BG599" t="s">
        <v>74</v>
      </c>
      <c r="BH599" t="s">
        <v>74</v>
      </c>
      <c r="BI599">
        <v>25</v>
      </c>
      <c r="BJ599" t="s">
        <v>1194</v>
      </c>
      <c r="BK599" t="s">
        <v>100</v>
      </c>
      <c r="BL599" t="s">
        <v>807</v>
      </c>
      <c r="BM599" t="s">
        <v>11076</v>
      </c>
      <c r="BN599" t="s">
        <v>74</v>
      </c>
      <c r="BO599" t="s">
        <v>631</v>
      </c>
      <c r="BP599" t="s">
        <v>74</v>
      </c>
      <c r="BQ599" t="s">
        <v>74</v>
      </c>
      <c r="BR599" t="s">
        <v>104</v>
      </c>
      <c r="BS599" t="s">
        <v>11077</v>
      </c>
      <c r="BT599" t="str">
        <f>HYPERLINK("https%3A%2F%2Fwww.webofscience.com%2Fwos%2Fwoscc%2Ffull-record%2FWOS:000278351300013","View Full Record in Web of Science")</f>
        <v>View Full Record in Web of Science</v>
      </c>
    </row>
    <row r="600" spans="1:72" x14ac:dyDescent="0.15">
      <c r="A600" t="s">
        <v>72</v>
      </c>
      <c r="B600" t="s">
        <v>11078</v>
      </c>
      <c r="C600" t="s">
        <v>74</v>
      </c>
      <c r="D600" t="s">
        <v>74</v>
      </c>
      <c r="E600" t="s">
        <v>74</v>
      </c>
      <c r="F600" t="s">
        <v>11079</v>
      </c>
      <c r="G600" t="s">
        <v>74</v>
      </c>
      <c r="H600" t="s">
        <v>74</v>
      </c>
      <c r="I600" t="s">
        <v>11080</v>
      </c>
      <c r="J600" t="s">
        <v>11060</v>
      </c>
      <c r="K600" t="s">
        <v>74</v>
      </c>
      <c r="L600" t="s">
        <v>74</v>
      </c>
      <c r="M600" t="s">
        <v>78</v>
      </c>
      <c r="N600" t="s">
        <v>79</v>
      </c>
      <c r="O600" t="s">
        <v>74</v>
      </c>
      <c r="P600" t="s">
        <v>74</v>
      </c>
      <c r="Q600" t="s">
        <v>74</v>
      </c>
      <c r="R600" t="s">
        <v>74</v>
      </c>
      <c r="S600" t="s">
        <v>74</v>
      </c>
      <c r="T600" t="s">
        <v>74</v>
      </c>
      <c r="U600" t="s">
        <v>11081</v>
      </c>
      <c r="V600" t="s">
        <v>11082</v>
      </c>
      <c r="W600" t="s">
        <v>11083</v>
      </c>
      <c r="X600" t="s">
        <v>11084</v>
      </c>
      <c r="Y600" t="s">
        <v>11085</v>
      </c>
      <c r="Z600" t="s">
        <v>11086</v>
      </c>
      <c r="AA600" t="s">
        <v>11087</v>
      </c>
      <c r="AB600" t="s">
        <v>11088</v>
      </c>
      <c r="AC600" t="s">
        <v>11089</v>
      </c>
      <c r="AD600" t="s">
        <v>11090</v>
      </c>
      <c r="AE600" t="s">
        <v>11091</v>
      </c>
      <c r="AF600" t="s">
        <v>74</v>
      </c>
      <c r="AG600">
        <v>65</v>
      </c>
      <c r="AH600">
        <v>16</v>
      </c>
      <c r="AI600">
        <v>19</v>
      </c>
      <c r="AJ600">
        <v>1</v>
      </c>
      <c r="AK600">
        <v>13</v>
      </c>
      <c r="AL600" t="s">
        <v>3145</v>
      </c>
      <c r="AM600" t="s">
        <v>91</v>
      </c>
      <c r="AN600" t="s">
        <v>3146</v>
      </c>
      <c r="AO600" t="s">
        <v>11070</v>
      </c>
      <c r="AP600" t="s">
        <v>74</v>
      </c>
      <c r="AQ600" t="s">
        <v>74</v>
      </c>
      <c r="AR600" t="s">
        <v>11072</v>
      </c>
      <c r="AS600" t="s">
        <v>11073</v>
      </c>
      <c r="AT600" t="s">
        <v>10659</v>
      </c>
      <c r="AU600">
        <v>2010</v>
      </c>
      <c r="AV600">
        <v>122</v>
      </c>
      <c r="AW600" t="s">
        <v>11074</v>
      </c>
      <c r="AX600" t="s">
        <v>74</v>
      </c>
      <c r="AY600" t="s">
        <v>74</v>
      </c>
      <c r="AZ600" t="s">
        <v>74</v>
      </c>
      <c r="BA600" t="s">
        <v>74</v>
      </c>
      <c r="BB600">
        <v>1298</v>
      </c>
      <c r="BC600">
        <v>1307</v>
      </c>
      <c r="BD600" t="s">
        <v>74</v>
      </c>
      <c r="BE600" t="s">
        <v>11092</v>
      </c>
      <c r="BF600" t="str">
        <f>HYPERLINK("http://dx.doi.org/10.1130/B30178.1","http://dx.doi.org/10.1130/B30178.1")</f>
        <v>http://dx.doi.org/10.1130/B30178.1</v>
      </c>
      <c r="BG600" t="s">
        <v>74</v>
      </c>
      <c r="BH600" t="s">
        <v>74</v>
      </c>
      <c r="BI600">
        <v>10</v>
      </c>
      <c r="BJ600" t="s">
        <v>1194</v>
      </c>
      <c r="BK600" t="s">
        <v>100</v>
      </c>
      <c r="BL600" t="s">
        <v>807</v>
      </c>
      <c r="BM600" t="s">
        <v>11076</v>
      </c>
      <c r="BN600" t="s">
        <v>74</v>
      </c>
      <c r="BO600" t="s">
        <v>74</v>
      </c>
      <c r="BP600" t="s">
        <v>74</v>
      </c>
      <c r="BQ600" t="s">
        <v>74</v>
      </c>
      <c r="BR600" t="s">
        <v>104</v>
      </c>
      <c r="BS600" t="s">
        <v>11093</v>
      </c>
      <c r="BT600" t="str">
        <f>HYPERLINK("https%3A%2F%2Fwww.webofscience.com%2Fwos%2Fwoscc%2Ffull-record%2FWOS:000278351300023","View Full Record in Web of Science")</f>
        <v>View Full Record in Web of Science</v>
      </c>
    </row>
    <row r="601" spans="1:72" x14ac:dyDescent="0.15">
      <c r="A601" t="s">
        <v>72</v>
      </c>
      <c r="B601" t="s">
        <v>11094</v>
      </c>
      <c r="C601" t="s">
        <v>74</v>
      </c>
      <c r="D601" t="s">
        <v>74</v>
      </c>
      <c r="E601" t="s">
        <v>74</v>
      </c>
      <c r="F601" t="s">
        <v>11095</v>
      </c>
      <c r="G601" t="s">
        <v>74</v>
      </c>
      <c r="H601" t="s">
        <v>11096</v>
      </c>
      <c r="I601" t="s">
        <v>11097</v>
      </c>
      <c r="J601" t="s">
        <v>3133</v>
      </c>
      <c r="K601" t="s">
        <v>74</v>
      </c>
      <c r="L601" t="s">
        <v>74</v>
      </c>
      <c r="M601" t="s">
        <v>78</v>
      </c>
      <c r="N601" t="s">
        <v>79</v>
      </c>
      <c r="O601" t="s">
        <v>74</v>
      </c>
      <c r="P601" t="s">
        <v>74</v>
      </c>
      <c r="Q601" t="s">
        <v>74</v>
      </c>
      <c r="R601" t="s">
        <v>74</v>
      </c>
      <c r="S601" t="s">
        <v>74</v>
      </c>
      <c r="T601" t="s">
        <v>74</v>
      </c>
      <c r="U601" t="s">
        <v>11098</v>
      </c>
      <c r="V601" t="s">
        <v>11099</v>
      </c>
      <c r="W601" t="s">
        <v>11100</v>
      </c>
      <c r="X601" t="s">
        <v>11101</v>
      </c>
      <c r="Y601" t="s">
        <v>11102</v>
      </c>
      <c r="Z601" t="s">
        <v>11103</v>
      </c>
      <c r="AA601" t="s">
        <v>11104</v>
      </c>
      <c r="AB601" t="s">
        <v>11105</v>
      </c>
      <c r="AC601" t="s">
        <v>11106</v>
      </c>
      <c r="AD601" t="s">
        <v>1402</v>
      </c>
      <c r="AE601" t="s">
        <v>11107</v>
      </c>
      <c r="AF601" t="s">
        <v>74</v>
      </c>
      <c r="AG601">
        <v>23</v>
      </c>
      <c r="AH601">
        <v>27</v>
      </c>
      <c r="AI601">
        <v>32</v>
      </c>
      <c r="AJ601">
        <v>0</v>
      </c>
      <c r="AK601">
        <v>32</v>
      </c>
      <c r="AL601" t="s">
        <v>3145</v>
      </c>
      <c r="AM601" t="s">
        <v>91</v>
      </c>
      <c r="AN601" t="s">
        <v>3146</v>
      </c>
      <c r="AO601" t="s">
        <v>3147</v>
      </c>
      <c r="AP601" t="s">
        <v>3148</v>
      </c>
      <c r="AQ601" t="s">
        <v>74</v>
      </c>
      <c r="AR601" t="s">
        <v>3133</v>
      </c>
      <c r="AS601" t="s">
        <v>807</v>
      </c>
      <c r="AT601" t="s">
        <v>10610</v>
      </c>
      <c r="AU601">
        <v>2010</v>
      </c>
      <c r="AV601">
        <v>38</v>
      </c>
      <c r="AW601">
        <v>7</v>
      </c>
      <c r="AX601" t="s">
        <v>74</v>
      </c>
      <c r="AY601" t="s">
        <v>74</v>
      </c>
      <c r="AZ601" t="s">
        <v>74</v>
      </c>
      <c r="BA601" t="s">
        <v>74</v>
      </c>
      <c r="BB601">
        <v>587</v>
      </c>
      <c r="BC601">
        <v>590</v>
      </c>
      <c r="BD601" t="s">
        <v>74</v>
      </c>
      <c r="BE601" t="s">
        <v>11108</v>
      </c>
      <c r="BF601" t="str">
        <f>HYPERLINK("http://dx.doi.org/10.1130/G30849.1","http://dx.doi.org/10.1130/G30849.1")</f>
        <v>http://dx.doi.org/10.1130/G30849.1</v>
      </c>
      <c r="BG601" t="s">
        <v>74</v>
      </c>
      <c r="BH601" t="s">
        <v>74</v>
      </c>
      <c r="BI601">
        <v>4</v>
      </c>
      <c r="BJ601" t="s">
        <v>807</v>
      </c>
      <c r="BK601" t="s">
        <v>100</v>
      </c>
      <c r="BL601" t="s">
        <v>807</v>
      </c>
      <c r="BM601" t="s">
        <v>11109</v>
      </c>
      <c r="BN601" t="s">
        <v>74</v>
      </c>
      <c r="BO601" t="s">
        <v>74</v>
      </c>
      <c r="BP601" t="s">
        <v>74</v>
      </c>
      <c r="BQ601" t="s">
        <v>74</v>
      </c>
      <c r="BR601" t="s">
        <v>104</v>
      </c>
      <c r="BS601" t="s">
        <v>11110</v>
      </c>
      <c r="BT601" t="str">
        <f>HYPERLINK("https%3A%2F%2Fwww.webofscience.com%2Fwos%2Fwoscc%2Ffull-record%2FWOS:000279089700003","View Full Record in Web of Science")</f>
        <v>View Full Record in Web of Science</v>
      </c>
    </row>
    <row r="602" spans="1:72" x14ac:dyDescent="0.15">
      <c r="A602" t="s">
        <v>72</v>
      </c>
      <c r="B602" t="s">
        <v>11111</v>
      </c>
      <c r="C602" t="s">
        <v>74</v>
      </c>
      <c r="D602" t="s">
        <v>74</v>
      </c>
      <c r="E602" t="s">
        <v>74</v>
      </c>
      <c r="F602" t="s">
        <v>11112</v>
      </c>
      <c r="G602" t="s">
        <v>74</v>
      </c>
      <c r="H602" t="s">
        <v>74</v>
      </c>
      <c r="I602" t="s">
        <v>11113</v>
      </c>
      <c r="J602" t="s">
        <v>3133</v>
      </c>
      <c r="K602" t="s">
        <v>74</v>
      </c>
      <c r="L602" t="s">
        <v>74</v>
      </c>
      <c r="M602" t="s">
        <v>78</v>
      </c>
      <c r="N602" t="s">
        <v>79</v>
      </c>
      <c r="O602" t="s">
        <v>74</v>
      </c>
      <c r="P602" t="s">
        <v>74</v>
      </c>
      <c r="Q602" t="s">
        <v>74</v>
      </c>
      <c r="R602" t="s">
        <v>74</v>
      </c>
      <c r="S602" t="s">
        <v>74</v>
      </c>
      <c r="T602" t="s">
        <v>74</v>
      </c>
      <c r="U602" t="s">
        <v>11114</v>
      </c>
      <c r="V602" t="s">
        <v>11115</v>
      </c>
      <c r="W602" t="s">
        <v>11116</v>
      </c>
      <c r="X602" t="s">
        <v>3251</v>
      </c>
      <c r="Y602" t="s">
        <v>3252</v>
      </c>
      <c r="Z602" t="s">
        <v>11117</v>
      </c>
      <c r="AA602" t="s">
        <v>74</v>
      </c>
      <c r="AB602" t="s">
        <v>74</v>
      </c>
      <c r="AC602" t="s">
        <v>11118</v>
      </c>
      <c r="AD602" t="s">
        <v>11119</v>
      </c>
      <c r="AE602" t="s">
        <v>11120</v>
      </c>
      <c r="AF602" t="s">
        <v>74</v>
      </c>
      <c r="AG602">
        <v>34</v>
      </c>
      <c r="AH602">
        <v>36</v>
      </c>
      <c r="AI602">
        <v>40</v>
      </c>
      <c r="AJ602">
        <v>0</v>
      </c>
      <c r="AK602">
        <v>16</v>
      </c>
      <c r="AL602" t="s">
        <v>3145</v>
      </c>
      <c r="AM602" t="s">
        <v>91</v>
      </c>
      <c r="AN602" t="s">
        <v>3146</v>
      </c>
      <c r="AO602" t="s">
        <v>3147</v>
      </c>
      <c r="AP602" t="s">
        <v>74</v>
      </c>
      <c r="AQ602" t="s">
        <v>74</v>
      </c>
      <c r="AR602" t="s">
        <v>3133</v>
      </c>
      <c r="AS602" t="s">
        <v>807</v>
      </c>
      <c r="AT602" t="s">
        <v>10610</v>
      </c>
      <c r="AU602">
        <v>2010</v>
      </c>
      <c r="AV602">
        <v>38</v>
      </c>
      <c r="AW602">
        <v>7</v>
      </c>
      <c r="AX602" t="s">
        <v>74</v>
      </c>
      <c r="AY602" t="s">
        <v>74</v>
      </c>
      <c r="AZ602" t="s">
        <v>74</v>
      </c>
      <c r="BA602" t="s">
        <v>74</v>
      </c>
      <c r="BB602">
        <v>635</v>
      </c>
      <c r="BC602">
        <v>638</v>
      </c>
      <c r="BD602" t="s">
        <v>74</v>
      </c>
      <c r="BE602" t="s">
        <v>11121</v>
      </c>
      <c r="BF602" t="str">
        <f>HYPERLINK("http://dx.doi.org/10.1130/G30932.1","http://dx.doi.org/10.1130/G30932.1")</f>
        <v>http://dx.doi.org/10.1130/G30932.1</v>
      </c>
      <c r="BG602" t="s">
        <v>74</v>
      </c>
      <c r="BH602" t="s">
        <v>74</v>
      </c>
      <c r="BI602">
        <v>4</v>
      </c>
      <c r="BJ602" t="s">
        <v>807</v>
      </c>
      <c r="BK602" t="s">
        <v>100</v>
      </c>
      <c r="BL602" t="s">
        <v>807</v>
      </c>
      <c r="BM602" t="s">
        <v>11109</v>
      </c>
      <c r="BN602" t="s">
        <v>74</v>
      </c>
      <c r="BO602" t="s">
        <v>74</v>
      </c>
      <c r="BP602" t="s">
        <v>74</v>
      </c>
      <c r="BQ602" t="s">
        <v>74</v>
      </c>
      <c r="BR602" t="s">
        <v>104</v>
      </c>
      <c r="BS602" t="s">
        <v>11122</v>
      </c>
      <c r="BT602" t="str">
        <f>HYPERLINK("https%3A%2F%2Fwww.webofscience.com%2Fwos%2Fwoscc%2Ffull-record%2FWOS:000279089700015","View Full Record in Web of Science")</f>
        <v>View Full Record in Web of Science</v>
      </c>
    </row>
    <row r="603" spans="1:72" x14ac:dyDescent="0.15">
      <c r="A603" t="s">
        <v>72</v>
      </c>
      <c r="B603" t="s">
        <v>11123</v>
      </c>
      <c r="C603" t="s">
        <v>74</v>
      </c>
      <c r="D603" t="s">
        <v>74</v>
      </c>
      <c r="E603" t="s">
        <v>74</v>
      </c>
      <c r="F603" t="s">
        <v>11124</v>
      </c>
      <c r="G603" t="s">
        <v>74</v>
      </c>
      <c r="H603" t="s">
        <v>74</v>
      </c>
      <c r="I603" t="s">
        <v>11125</v>
      </c>
      <c r="J603" t="s">
        <v>3133</v>
      </c>
      <c r="K603" t="s">
        <v>74</v>
      </c>
      <c r="L603" t="s">
        <v>74</v>
      </c>
      <c r="M603" t="s">
        <v>78</v>
      </c>
      <c r="N603" t="s">
        <v>79</v>
      </c>
      <c r="O603" t="s">
        <v>74</v>
      </c>
      <c r="P603" t="s">
        <v>74</v>
      </c>
      <c r="Q603" t="s">
        <v>74</v>
      </c>
      <c r="R603" t="s">
        <v>74</v>
      </c>
      <c r="S603" t="s">
        <v>74</v>
      </c>
      <c r="T603" t="s">
        <v>74</v>
      </c>
      <c r="U603" t="s">
        <v>11126</v>
      </c>
      <c r="V603" t="s">
        <v>11127</v>
      </c>
      <c r="W603" t="s">
        <v>11128</v>
      </c>
      <c r="X603" t="s">
        <v>1896</v>
      </c>
      <c r="Y603" t="s">
        <v>11129</v>
      </c>
      <c r="Z603" t="s">
        <v>74</v>
      </c>
      <c r="AA603" t="s">
        <v>74</v>
      </c>
      <c r="AB603" t="s">
        <v>74</v>
      </c>
      <c r="AC603" t="s">
        <v>11130</v>
      </c>
      <c r="AD603" t="s">
        <v>11131</v>
      </c>
      <c r="AE603" t="s">
        <v>11132</v>
      </c>
      <c r="AF603" t="s">
        <v>74</v>
      </c>
      <c r="AG603">
        <v>46</v>
      </c>
      <c r="AH603">
        <v>4</v>
      </c>
      <c r="AI603">
        <v>5</v>
      </c>
      <c r="AJ603">
        <v>0</v>
      </c>
      <c r="AK603">
        <v>62</v>
      </c>
      <c r="AL603" t="s">
        <v>3145</v>
      </c>
      <c r="AM603" t="s">
        <v>91</v>
      </c>
      <c r="AN603" t="s">
        <v>3146</v>
      </c>
      <c r="AO603" t="s">
        <v>3147</v>
      </c>
      <c r="AP603" t="s">
        <v>3148</v>
      </c>
      <c r="AQ603" t="s">
        <v>74</v>
      </c>
      <c r="AR603" t="s">
        <v>3133</v>
      </c>
      <c r="AS603" t="s">
        <v>807</v>
      </c>
      <c r="AT603" t="s">
        <v>10610</v>
      </c>
      <c r="AU603">
        <v>2010</v>
      </c>
      <c r="AV603">
        <v>38</v>
      </c>
      <c r="AW603">
        <v>7</v>
      </c>
      <c r="AX603" t="s">
        <v>74</v>
      </c>
      <c r="AY603" t="s">
        <v>74</v>
      </c>
      <c r="AZ603" t="s">
        <v>74</v>
      </c>
      <c r="BA603" t="s">
        <v>74</v>
      </c>
      <c r="BB603">
        <v>647</v>
      </c>
      <c r="BC603">
        <v>650</v>
      </c>
      <c r="BD603" t="s">
        <v>74</v>
      </c>
      <c r="BE603" t="s">
        <v>11133</v>
      </c>
      <c r="BF603" t="str">
        <f>HYPERLINK("http://dx.doi.org/10.1130/G30902.1","http://dx.doi.org/10.1130/G30902.1")</f>
        <v>http://dx.doi.org/10.1130/G30902.1</v>
      </c>
      <c r="BG603" t="s">
        <v>74</v>
      </c>
      <c r="BH603" t="s">
        <v>74</v>
      </c>
      <c r="BI603">
        <v>4</v>
      </c>
      <c r="BJ603" t="s">
        <v>807</v>
      </c>
      <c r="BK603" t="s">
        <v>100</v>
      </c>
      <c r="BL603" t="s">
        <v>807</v>
      </c>
      <c r="BM603" t="s">
        <v>11109</v>
      </c>
      <c r="BN603" t="s">
        <v>74</v>
      </c>
      <c r="BO603" t="s">
        <v>74</v>
      </c>
      <c r="BP603" t="s">
        <v>74</v>
      </c>
      <c r="BQ603" t="s">
        <v>74</v>
      </c>
      <c r="BR603" t="s">
        <v>104</v>
      </c>
      <c r="BS603" t="s">
        <v>11134</v>
      </c>
      <c r="BT603" t="str">
        <f>HYPERLINK("https%3A%2F%2Fwww.webofscience.com%2Fwos%2Fwoscc%2Ffull-record%2FWOS:000279089700018","View Full Record in Web of Science")</f>
        <v>View Full Record in Web of Science</v>
      </c>
    </row>
    <row r="604" spans="1:72" x14ac:dyDescent="0.15">
      <c r="A604" t="s">
        <v>72</v>
      </c>
      <c r="B604" t="s">
        <v>11135</v>
      </c>
      <c r="C604" t="s">
        <v>74</v>
      </c>
      <c r="D604" t="s">
        <v>74</v>
      </c>
      <c r="E604" t="s">
        <v>74</v>
      </c>
      <c r="F604" t="s">
        <v>11136</v>
      </c>
      <c r="G604" t="s">
        <v>74</v>
      </c>
      <c r="H604" t="s">
        <v>74</v>
      </c>
      <c r="I604" t="s">
        <v>11137</v>
      </c>
      <c r="J604" t="s">
        <v>660</v>
      </c>
      <c r="K604" t="s">
        <v>74</v>
      </c>
      <c r="L604" t="s">
        <v>74</v>
      </c>
      <c r="M604" t="s">
        <v>78</v>
      </c>
      <c r="N604" t="s">
        <v>79</v>
      </c>
      <c r="O604" t="s">
        <v>74</v>
      </c>
      <c r="P604" t="s">
        <v>74</v>
      </c>
      <c r="Q604" t="s">
        <v>74</v>
      </c>
      <c r="R604" t="s">
        <v>74</v>
      </c>
      <c r="S604" t="s">
        <v>74</v>
      </c>
      <c r="T604" t="s">
        <v>11138</v>
      </c>
      <c r="U604" t="s">
        <v>11139</v>
      </c>
      <c r="V604" t="s">
        <v>11140</v>
      </c>
      <c r="W604" t="s">
        <v>11141</v>
      </c>
      <c r="X604" t="s">
        <v>3114</v>
      </c>
      <c r="Y604" t="s">
        <v>11142</v>
      </c>
      <c r="Z604" t="s">
        <v>11143</v>
      </c>
      <c r="AA604" t="s">
        <v>11144</v>
      </c>
      <c r="AB604" t="s">
        <v>11145</v>
      </c>
      <c r="AC604" t="s">
        <v>11146</v>
      </c>
      <c r="AD604" t="s">
        <v>11147</v>
      </c>
      <c r="AE604" t="s">
        <v>11148</v>
      </c>
      <c r="AF604" t="s">
        <v>74</v>
      </c>
      <c r="AG604">
        <v>91</v>
      </c>
      <c r="AH604">
        <v>50</v>
      </c>
      <c r="AI604">
        <v>55</v>
      </c>
      <c r="AJ604">
        <v>0</v>
      </c>
      <c r="AK604">
        <v>55</v>
      </c>
      <c r="AL604" t="s">
        <v>923</v>
      </c>
      <c r="AM604" t="s">
        <v>339</v>
      </c>
      <c r="AN604" t="s">
        <v>340</v>
      </c>
      <c r="AO604" t="s">
        <v>675</v>
      </c>
      <c r="AP604" t="s">
        <v>6020</v>
      </c>
      <c r="AQ604" t="s">
        <v>74</v>
      </c>
      <c r="AR604" t="s">
        <v>676</v>
      </c>
      <c r="AS604" t="s">
        <v>677</v>
      </c>
      <c r="AT604" t="s">
        <v>10610</v>
      </c>
      <c r="AU604">
        <v>2010</v>
      </c>
      <c r="AV604">
        <v>16</v>
      </c>
      <c r="AW604">
        <v>7</v>
      </c>
      <c r="AX604" t="s">
        <v>74</v>
      </c>
      <c r="AY604" t="s">
        <v>74</v>
      </c>
      <c r="AZ604" t="s">
        <v>74</v>
      </c>
      <c r="BA604" t="s">
        <v>74</v>
      </c>
      <c r="BB604">
        <v>1895</v>
      </c>
      <c r="BC604">
        <v>1909</v>
      </c>
      <c r="BD604" t="s">
        <v>74</v>
      </c>
      <c r="BE604" t="s">
        <v>11149</v>
      </c>
      <c r="BF604" t="str">
        <f>HYPERLINK("http://dx.doi.org/10.1111/j.1365-2486.2010.02169.x","http://dx.doi.org/10.1111/j.1365-2486.2010.02169.x")</f>
        <v>http://dx.doi.org/10.1111/j.1365-2486.2010.02169.x</v>
      </c>
      <c r="BG604" t="s">
        <v>74</v>
      </c>
      <c r="BH604" t="s">
        <v>74</v>
      </c>
      <c r="BI604">
        <v>15</v>
      </c>
      <c r="BJ604" t="s">
        <v>679</v>
      </c>
      <c r="BK604" t="s">
        <v>100</v>
      </c>
      <c r="BL604" t="s">
        <v>680</v>
      </c>
      <c r="BM604" t="s">
        <v>11150</v>
      </c>
      <c r="BN604" t="s">
        <v>74</v>
      </c>
      <c r="BO604" t="s">
        <v>74</v>
      </c>
      <c r="BP604" t="s">
        <v>74</v>
      </c>
      <c r="BQ604" t="s">
        <v>74</v>
      </c>
      <c r="BR604" t="s">
        <v>104</v>
      </c>
      <c r="BS604" t="s">
        <v>11151</v>
      </c>
      <c r="BT604" t="str">
        <f>HYPERLINK("https%3A%2F%2Fwww.webofscience.com%2Fwos%2Fwoscc%2Ffull-record%2FWOS:000278308100001","View Full Record in Web of Science")</f>
        <v>View Full Record in Web of Science</v>
      </c>
    </row>
    <row r="605" spans="1:72" x14ac:dyDescent="0.15">
      <c r="A605" t="s">
        <v>72</v>
      </c>
      <c r="B605" t="s">
        <v>11152</v>
      </c>
      <c r="C605" t="s">
        <v>74</v>
      </c>
      <c r="D605" t="s">
        <v>74</v>
      </c>
      <c r="E605" t="s">
        <v>74</v>
      </c>
      <c r="F605" t="s">
        <v>11153</v>
      </c>
      <c r="G605" t="s">
        <v>74</v>
      </c>
      <c r="H605" t="s">
        <v>74</v>
      </c>
      <c r="I605" t="s">
        <v>11154</v>
      </c>
      <c r="J605" t="s">
        <v>660</v>
      </c>
      <c r="K605" t="s">
        <v>74</v>
      </c>
      <c r="L605" t="s">
        <v>74</v>
      </c>
      <c r="M605" t="s">
        <v>78</v>
      </c>
      <c r="N605" t="s">
        <v>79</v>
      </c>
      <c r="O605" t="s">
        <v>74</v>
      </c>
      <c r="P605" t="s">
        <v>74</v>
      </c>
      <c r="Q605" t="s">
        <v>74</v>
      </c>
      <c r="R605" t="s">
        <v>74</v>
      </c>
      <c r="S605" t="s">
        <v>74</v>
      </c>
      <c r="T605" t="s">
        <v>11155</v>
      </c>
      <c r="U605" t="s">
        <v>11156</v>
      </c>
      <c r="V605" t="s">
        <v>11157</v>
      </c>
      <c r="W605" t="s">
        <v>11158</v>
      </c>
      <c r="X605" t="s">
        <v>3114</v>
      </c>
      <c r="Y605" t="s">
        <v>11159</v>
      </c>
      <c r="Z605" t="s">
        <v>11160</v>
      </c>
      <c r="AA605" t="s">
        <v>11161</v>
      </c>
      <c r="AB605" t="s">
        <v>8385</v>
      </c>
      <c r="AC605" t="s">
        <v>11162</v>
      </c>
      <c r="AD605" t="s">
        <v>11163</v>
      </c>
      <c r="AE605" t="s">
        <v>11164</v>
      </c>
      <c r="AF605" t="s">
        <v>74</v>
      </c>
      <c r="AG605">
        <v>80</v>
      </c>
      <c r="AH605">
        <v>59</v>
      </c>
      <c r="AI605">
        <v>64</v>
      </c>
      <c r="AJ605">
        <v>3</v>
      </c>
      <c r="AK605">
        <v>76</v>
      </c>
      <c r="AL605" t="s">
        <v>923</v>
      </c>
      <c r="AM605" t="s">
        <v>339</v>
      </c>
      <c r="AN605" t="s">
        <v>340</v>
      </c>
      <c r="AO605" t="s">
        <v>675</v>
      </c>
      <c r="AP605" t="s">
        <v>6020</v>
      </c>
      <c r="AQ605" t="s">
        <v>74</v>
      </c>
      <c r="AR605" t="s">
        <v>676</v>
      </c>
      <c r="AS605" t="s">
        <v>677</v>
      </c>
      <c r="AT605" t="s">
        <v>10610</v>
      </c>
      <c r="AU605">
        <v>2010</v>
      </c>
      <c r="AV605">
        <v>16</v>
      </c>
      <c r="AW605">
        <v>7</v>
      </c>
      <c r="AX605" t="s">
        <v>74</v>
      </c>
      <c r="AY605" t="s">
        <v>74</v>
      </c>
      <c r="AZ605" t="s">
        <v>74</v>
      </c>
      <c r="BA605" t="s">
        <v>74</v>
      </c>
      <c r="BB605">
        <v>1910</v>
      </c>
      <c r="BC605">
        <v>1922</v>
      </c>
      <c r="BD605" t="s">
        <v>74</v>
      </c>
      <c r="BE605" t="s">
        <v>11165</v>
      </c>
      <c r="BF605" t="str">
        <f>HYPERLINK("http://dx.doi.org/10.1111/j.1365-2486.2009.02070.x","http://dx.doi.org/10.1111/j.1365-2486.2009.02070.x")</f>
        <v>http://dx.doi.org/10.1111/j.1365-2486.2009.02070.x</v>
      </c>
      <c r="BG605" t="s">
        <v>74</v>
      </c>
      <c r="BH605" t="s">
        <v>74</v>
      </c>
      <c r="BI605">
        <v>13</v>
      </c>
      <c r="BJ605" t="s">
        <v>679</v>
      </c>
      <c r="BK605" t="s">
        <v>100</v>
      </c>
      <c r="BL605" t="s">
        <v>680</v>
      </c>
      <c r="BM605" t="s">
        <v>11150</v>
      </c>
      <c r="BN605" t="s">
        <v>74</v>
      </c>
      <c r="BO605" t="s">
        <v>74</v>
      </c>
      <c r="BP605" t="s">
        <v>74</v>
      </c>
      <c r="BQ605" t="s">
        <v>74</v>
      </c>
      <c r="BR605" t="s">
        <v>104</v>
      </c>
      <c r="BS605" t="s">
        <v>11166</v>
      </c>
      <c r="BT605" t="str">
        <f>HYPERLINK("https%3A%2F%2Fwww.webofscience.com%2Fwos%2Fwoscc%2Ffull-record%2FWOS:000278308100002","View Full Record in Web of Science")</f>
        <v>View Full Record in Web of Science</v>
      </c>
    </row>
    <row r="606" spans="1:72" x14ac:dyDescent="0.15">
      <c r="A606" t="s">
        <v>72</v>
      </c>
      <c r="B606" t="s">
        <v>11167</v>
      </c>
      <c r="C606" t="s">
        <v>74</v>
      </c>
      <c r="D606" t="s">
        <v>74</v>
      </c>
      <c r="E606" t="s">
        <v>74</v>
      </c>
      <c r="F606" t="s">
        <v>11168</v>
      </c>
      <c r="G606" t="s">
        <v>74</v>
      </c>
      <c r="H606" t="s">
        <v>74</v>
      </c>
      <c r="I606" t="s">
        <v>11169</v>
      </c>
      <c r="J606" t="s">
        <v>11170</v>
      </c>
      <c r="K606" t="s">
        <v>74</v>
      </c>
      <c r="L606" t="s">
        <v>74</v>
      </c>
      <c r="M606" t="s">
        <v>78</v>
      </c>
      <c r="N606" t="s">
        <v>79</v>
      </c>
      <c r="O606" t="s">
        <v>74</v>
      </c>
      <c r="P606" t="s">
        <v>74</v>
      </c>
      <c r="Q606" t="s">
        <v>74</v>
      </c>
      <c r="R606" t="s">
        <v>74</v>
      </c>
      <c r="S606" t="s">
        <v>74</v>
      </c>
      <c r="T606" t="s">
        <v>11171</v>
      </c>
      <c r="U606" t="s">
        <v>11172</v>
      </c>
      <c r="V606" t="s">
        <v>11173</v>
      </c>
      <c r="W606" t="s">
        <v>11174</v>
      </c>
      <c r="X606" t="s">
        <v>11175</v>
      </c>
      <c r="Y606" t="s">
        <v>11176</v>
      </c>
      <c r="Z606" t="s">
        <v>11177</v>
      </c>
      <c r="AA606" t="s">
        <v>74</v>
      </c>
      <c r="AB606" t="s">
        <v>74</v>
      </c>
      <c r="AC606" t="s">
        <v>11178</v>
      </c>
      <c r="AD606" t="s">
        <v>11178</v>
      </c>
      <c r="AE606" t="s">
        <v>11179</v>
      </c>
      <c r="AF606" t="s">
        <v>74</v>
      </c>
      <c r="AG606">
        <v>22</v>
      </c>
      <c r="AH606">
        <v>9</v>
      </c>
      <c r="AI606">
        <v>11</v>
      </c>
      <c r="AJ606">
        <v>1</v>
      </c>
      <c r="AK606">
        <v>8</v>
      </c>
      <c r="AL606" t="s">
        <v>6081</v>
      </c>
      <c r="AM606" t="s">
        <v>6082</v>
      </c>
      <c r="AN606" t="s">
        <v>6083</v>
      </c>
      <c r="AO606" t="s">
        <v>11180</v>
      </c>
      <c r="AP606" t="s">
        <v>74</v>
      </c>
      <c r="AQ606" t="s">
        <v>74</v>
      </c>
      <c r="AR606" t="s">
        <v>11181</v>
      </c>
      <c r="AS606" t="s">
        <v>11182</v>
      </c>
      <c r="AT606" t="s">
        <v>10610</v>
      </c>
      <c r="AU606">
        <v>2010</v>
      </c>
      <c r="AV606">
        <v>7</v>
      </c>
      <c r="AW606">
        <v>3</v>
      </c>
      <c r="AX606" t="s">
        <v>74</v>
      </c>
      <c r="AY606" t="s">
        <v>74</v>
      </c>
      <c r="AZ606" t="s">
        <v>74</v>
      </c>
      <c r="BA606" t="s">
        <v>74</v>
      </c>
      <c r="BB606">
        <v>567</v>
      </c>
      <c r="BC606">
        <v>571</v>
      </c>
      <c r="BD606" t="s">
        <v>74</v>
      </c>
      <c r="BE606" t="s">
        <v>11183</v>
      </c>
      <c r="BF606" t="str">
        <f>HYPERLINK("http://dx.doi.org/10.1109/LGRS.2010.2041632","http://dx.doi.org/10.1109/LGRS.2010.2041632")</f>
        <v>http://dx.doi.org/10.1109/LGRS.2010.2041632</v>
      </c>
      <c r="BG606" t="s">
        <v>74</v>
      </c>
      <c r="BH606" t="s">
        <v>74</v>
      </c>
      <c r="BI606">
        <v>5</v>
      </c>
      <c r="BJ606" t="s">
        <v>6089</v>
      </c>
      <c r="BK606" t="s">
        <v>100</v>
      </c>
      <c r="BL606" t="s">
        <v>6090</v>
      </c>
      <c r="BM606" t="s">
        <v>11184</v>
      </c>
      <c r="BN606" t="s">
        <v>74</v>
      </c>
      <c r="BO606" t="s">
        <v>74</v>
      </c>
      <c r="BP606" t="s">
        <v>74</v>
      </c>
      <c r="BQ606" t="s">
        <v>74</v>
      </c>
      <c r="BR606" t="s">
        <v>104</v>
      </c>
      <c r="BS606" t="s">
        <v>11185</v>
      </c>
      <c r="BT606" t="str">
        <f>HYPERLINK("https%3A%2F%2Fwww.webofscience.com%2Fwos%2Fwoscc%2Ffull-record%2FWOS:000282088300032","View Full Record in Web of Science")</f>
        <v>View Full Record in Web of Science</v>
      </c>
    </row>
    <row r="607" spans="1:72" x14ac:dyDescent="0.15">
      <c r="A607" t="s">
        <v>72</v>
      </c>
      <c r="B607" t="s">
        <v>11186</v>
      </c>
      <c r="C607" t="s">
        <v>74</v>
      </c>
      <c r="D607" t="s">
        <v>74</v>
      </c>
      <c r="E607" t="s">
        <v>74</v>
      </c>
      <c r="F607" t="s">
        <v>11187</v>
      </c>
      <c r="G607" t="s">
        <v>74</v>
      </c>
      <c r="H607" t="s">
        <v>74</v>
      </c>
      <c r="I607" t="s">
        <v>11188</v>
      </c>
      <c r="J607" t="s">
        <v>11189</v>
      </c>
      <c r="K607" t="s">
        <v>74</v>
      </c>
      <c r="L607" t="s">
        <v>74</v>
      </c>
      <c r="M607" t="s">
        <v>78</v>
      </c>
      <c r="N607" t="s">
        <v>52</v>
      </c>
      <c r="O607" t="s">
        <v>11190</v>
      </c>
      <c r="P607" t="s">
        <v>11191</v>
      </c>
      <c r="Q607" t="s">
        <v>11192</v>
      </c>
      <c r="R607" t="s">
        <v>74</v>
      </c>
      <c r="S607" t="s">
        <v>74</v>
      </c>
      <c r="T607" t="s">
        <v>74</v>
      </c>
      <c r="U607" t="s">
        <v>74</v>
      </c>
      <c r="V607" t="s">
        <v>74</v>
      </c>
      <c r="W607" t="s">
        <v>11193</v>
      </c>
      <c r="X607" t="s">
        <v>5103</v>
      </c>
      <c r="Y607" t="s">
        <v>74</v>
      </c>
      <c r="Z607" t="s">
        <v>11194</v>
      </c>
      <c r="AA607" t="s">
        <v>74</v>
      </c>
      <c r="AB607" t="s">
        <v>74</v>
      </c>
      <c r="AC607" t="s">
        <v>74</v>
      </c>
      <c r="AD607" t="s">
        <v>74</v>
      </c>
      <c r="AE607" t="s">
        <v>74</v>
      </c>
      <c r="AF607" t="s">
        <v>74</v>
      </c>
      <c r="AG607">
        <v>0</v>
      </c>
      <c r="AH607">
        <v>1</v>
      </c>
      <c r="AI607">
        <v>1</v>
      </c>
      <c r="AJ607">
        <v>0</v>
      </c>
      <c r="AK607">
        <v>3</v>
      </c>
      <c r="AL607" t="s">
        <v>826</v>
      </c>
      <c r="AM607" t="s">
        <v>827</v>
      </c>
      <c r="AN607" t="s">
        <v>828</v>
      </c>
      <c r="AO607" t="s">
        <v>11195</v>
      </c>
      <c r="AP607" t="s">
        <v>74</v>
      </c>
      <c r="AQ607" t="s">
        <v>74</v>
      </c>
      <c r="AR607" t="s">
        <v>11196</v>
      </c>
      <c r="AS607" t="s">
        <v>11197</v>
      </c>
      <c r="AT607" t="s">
        <v>10610</v>
      </c>
      <c r="AU607">
        <v>2010</v>
      </c>
      <c r="AV607">
        <v>50</v>
      </c>
      <c r="AW607" t="s">
        <v>74</v>
      </c>
      <c r="AX607" t="s">
        <v>74</v>
      </c>
      <c r="AY607">
        <v>1</v>
      </c>
      <c r="AZ607" t="s">
        <v>74</v>
      </c>
      <c r="BA607" t="s">
        <v>74</v>
      </c>
      <c r="BB607" t="s">
        <v>11198</v>
      </c>
      <c r="BC607" t="s">
        <v>11198</v>
      </c>
      <c r="BD607" t="s">
        <v>74</v>
      </c>
      <c r="BE607" t="s">
        <v>74</v>
      </c>
      <c r="BF607" t="s">
        <v>74</v>
      </c>
      <c r="BG607" t="s">
        <v>74</v>
      </c>
      <c r="BH607" t="s">
        <v>74</v>
      </c>
      <c r="BI607">
        <v>1</v>
      </c>
      <c r="BJ607" t="s">
        <v>492</v>
      </c>
      <c r="BK607" t="s">
        <v>1219</v>
      </c>
      <c r="BL607" t="s">
        <v>492</v>
      </c>
      <c r="BM607" t="s">
        <v>11199</v>
      </c>
      <c r="BN607" t="s">
        <v>74</v>
      </c>
      <c r="BO607" t="s">
        <v>74</v>
      </c>
      <c r="BP607" t="s">
        <v>74</v>
      </c>
      <c r="BQ607" t="s">
        <v>74</v>
      </c>
      <c r="BR607" t="s">
        <v>104</v>
      </c>
      <c r="BS607" t="s">
        <v>11200</v>
      </c>
      <c r="BT607" t="str">
        <f>HYPERLINK("https%3A%2F%2Fwww.webofscience.com%2Fwos%2Fwoscc%2Ffull-record%2FWOS:000280297000020","View Full Record in Web of Science")</f>
        <v>View Full Record in Web of Science</v>
      </c>
    </row>
    <row r="608" spans="1:72" x14ac:dyDescent="0.15">
      <c r="A608" t="s">
        <v>72</v>
      </c>
      <c r="B608" t="s">
        <v>11201</v>
      </c>
      <c r="C608" t="s">
        <v>74</v>
      </c>
      <c r="D608" t="s">
        <v>74</v>
      </c>
      <c r="E608" t="s">
        <v>74</v>
      </c>
      <c r="F608" t="s">
        <v>11202</v>
      </c>
      <c r="G608" t="s">
        <v>74</v>
      </c>
      <c r="H608" t="s">
        <v>74</v>
      </c>
      <c r="I608" t="s">
        <v>11203</v>
      </c>
      <c r="J608" t="s">
        <v>11189</v>
      </c>
      <c r="K608" t="s">
        <v>74</v>
      </c>
      <c r="L608" t="s">
        <v>74</v>
      </c>
      <c r="M608" t="s">
        <v>78</v>
      </c>
      <c r="N608" t="s">
        <v>52</v>
      </c>
      <c r="O608" t="s">
        <v>11190</v>
      </c>
      <c r="P608" t="s">
        <v>11191</v>
      </c>
      <c r="Q608" t="s">
        <v>11192</v>
      </c>
      <c r="R608" t="s">
        <v>74</v>
      </c>
      <c r="S608" t="s">
        <v>74</v>
      </c>
      <c r="T608" t="s">
        <v>74</v>
      </c>
      <c r="U608" t="s">
        <v>74</v>
      </c>
      <c r="V608" t="s">
        <v>74</v>
      </c>
      <c r="W608" t="s">
        <v>11204</v>
      </c>
      <c r="X608" t="s">
        <v>11205</v>
      </c>
      <c r="Y608" t="s">
        <v>74</v>
      </c>
      <c r="Z608" t="s">
        <v>11206</v>
      </c>
      <c r="AA608" t="s">
        <v>11207</v>
      </c>
      <c r="AB608" t="s">
        <v>11208</v>
      </c>
      <c r="AC608" t="s">
        <v>74</v>
      </c>
      <c r="AD608" t="s">
        <v>74</v>
      </c>
      <c r="AE608" t="s">
        <v>74</v>
      </c>
      <c r="AF608" t="s">
        <v>74</v>
      </c>
      <c r="AG608">
        <v>0</v>
      </c>
      <c r="AH608">
        <v>3</v>
      </c>
      <c r="AI608">
        <v>5</v>
      </c>
      <c r="AJ608">
        <v>0</v>
      </c>
      <c r="AK608">
        <v>12</v>
      </c>
      <c r="AL608" t="s">
        <v>826</v>
      </c>
      <c r="AM608" t="s">
        <v>827</v>
      </c>
      <c r="AN608" t="s">
        <v>828</v>
      </c>
      <c r="AO608" t="s">
        <v>11195</v>
      </c>
      <c r="AP608" t="s">
        <v>74</v>
      </c>
      <c r="AQ608" t="s">
        <v>74</v>
      </c>
      <c r="AR608" t="s">
        <v>11196</v>
      </c>
      <c r="AS608" t="s">
        <v>11197</v>
      </c>
      <c r="AT608" t="s">
        <v>10610</v>
      </c>
      <c r="AU608">
        <v>2010</v>
      </c>
      <c r="AV608">
        <v>50</v>
      </c>
      <c r="AW608" t="s">
        <v>74</v>
      </c>
      <c r="AX608" t="s">
        <v>74</v>
      </c>
      <c r="AY608">
        <v>1</v>
      </c>
      <c r="AZ608" t="s">
        <v>74</v>
      </c>
      <c r="BA608" t="s">
        <v>74</v>
      </c>
      <c r="BB608" t="s">
        <v>11209</v>
      </c>
      <c r="BC608" t="s">
        <v>11209</v>
      </c>
      <c r="BD608" t="s">
        <v>74</v>
      </c>
      <c r="BE608" t="s">
        <v>74</v>
      </c>
      <c r="BF608" t="s">
        <v>74</v>
      </c>
      <c r="BG608" t="s">
        <v>74</v>
      </c>
      <c r="BH608" t="s">
        <v>74</v>
      </c>
      <c r="BI608">
        <v>1</v>
      </c>
      <c r="BJ608" t="s">
        <v>492</v>
      </c>
      <c r="BK608" t="s">
        <v>1219</v>
      </c>
      <c r="BL608" t="s">
        <v>492</v>
      </c>
      <c r="BM608" t="s">
        <v>11199</v>
      </c>
      <c r="BN608" t="s">
        <v>74</v>
      </c>
      <c r="BO608" t="s">
        <v>74</v>
      </c>
      <c r="BP608" t="s">
        <v>74</v>
      </c>
      <c r="BQ608" t="s">
        <v>74</v>
      </c>
      <c r="BR608" t="s">
        <v>104</v>
      </c>
      <c r="BS608" t="s">
        <v>11210</v>
      </c>
      <c r="BT608" t="str">
        <f>HYPERLINK("https%3A%2F%2Fwww.webofscience.com%2Fwos%2Fwoscc%2Ffull-record%2FWOS:000280297000137","View Full Record in Web of Science")</f>
        <v>View Full Record in Web of Science</v>
      </c>
    </row>
    <row r="609" spans="1:72" x14ac:dyDescent="0.15">
      <c r="A609" t="s">
        <v>72</v>
      </c>
      <c r="B609" t="s">
        <v>11211</v>
      </c>
      <c r="C609" t="s">
        <v>74</v>
      </c>
      <c r="D609" t="s">
        <v>74</v>
      </c>
      <c r="E609" t="s">
        <v>74</v>
      </c>
      <c r="F609" t="s">
        <v>11212</v>
      </c>
      <c r="G609" t="s">
        <v>74</v>
      </c>
      <c r="H609" t="s">
        <v>74</v>
      </c>
      <c r="I609" t="s">
        <v>11213</v>
      </c>
      <c r="J609" t="s">
        <v>11189</v>
      </c>
      <c r="K609" t="s">
        <v>74</v>
      </c>
      <c r="L609" t="s">
        <v>74</v>
      </c>
      <c r="M609" t="s">
        <v>78</v>
      </c>
      <c r="N609" t="s">
        <v>52</v>
      </c>
      <c r="O609" t="s">
        <v>11190</v>
      </c>
      <c r="P609" t="s">
        <v>11191</v>
      </c>
      <c r="Q609" t="s">
        <v>11192</v>
      </c>
      <c r="R609" t="s">
        <v>74</v>
      </c>
      <c r="S609" t="s">
        <v>74</v>
      </c>
      <c r="T609" t="s">
        <v>74</v>
      </c>
      <c r="U609" t="s">
        <v>74</v>
      </c>
      <c r="V609" t="s">
        <v>74</v>
      </c>
      <c r="W609" t="s">
        <v>11214</v>
      </c>
      <c r="X609" t="s">
        <v>11215</v>
      </c>
      <c r="Y609" t="s">
        <v>74</v>
      </c>
      <c r="Z609" t="s">
        <v>5370</v>
      </c>
      <c r="AA609" t="s">
        <v>74</v>
      </c>
      <c r="AB609" t="s">
        <v>74</v>
      </c>
      <c r="AC609" t="s">
        <v>74</v>
      </c>
      <c r="AD609" t="s">
        <v>74</v>
      </c>
      <c r="AE609" t="s">
        <v>74</v>
      </c>
      <c r="AF609" t="s">
        <v>74</v>
      </c>
      <c r="AG609">
        <v>0</v>
      </c>
      <c r="AH609">
        <v>1</v>
      </c>
      <c r="AI609">
        <v>1</v>
      </c>
      <c r="AJ609">
        <v>0</v>
      </c>
      <c r="AK609">
        <v>7</v>
      </c>
      <c r="AL609" t="s">
        <v>826</v>
      </c>
      <c r="AM609" t="s">
        <v>827</v>
      </c>
      <c r="AN609" t="s">
        <v>828</v>
      </c>
      <c r="AO609" t="s">
        <v>11195</v>
      </c>
      <c r="AP609" t="s">
        <v>74</v>
      </c>
      <c r="AQ609" t="s">
        <v>74</v>
      </c>
      <c r="AR609" t="s">
        <v>11196</v>
      </c>
      <c r="AS609" t="s">
        <v>11197</v>
      </c>
      <c r="AT609" t="s">
        <v>10610</v>
      </c>
      <c r="AU609">
        <v>2010</v>
      </c>
      <c r="AV609">
        <v>50</v>
      </c>
      <c r="AW609" t="s">
        <v>74</v>
      </c>
      <c r="AX609" t="s">
        <v>74</v>
      </c>
      <c r="AY609">
        <v>1</v>
      </c>
      <c r="AZ609" t="s">
        <v>74</v>
      </c>
      <c r="BA609" t="s">
        <v>74</v>
      </c>
      <c r="BB609" t="s">
        <v>11216</v>
      </c>
      <c r="BC609" t="s">
        <v>11216</v>
      </c>
      <c r="BD609" t="s">
        <v>74</v>
      </c>
      <c r="BE609" t="s">
        <v>74</v>
      </c>
      <c r="BF609" t="s">
        <v>74</v>
      </c>
      <c r="BG609" t="s">
        <v>74</v>
      </c>
      <c r="BH609" t="s">
        <v>74</v>
      </c>
      <c r="BI609">
        <v>1</v>
      </c>
      <c r="BJ609" t="s">
        <v>492</v>
      </c>
      <c r="BK609" t="s">
        <v>1219</v>
      </c>
      <c r="BL609" t="s">
        <v>492</v>
      </c>
      <c r="BM609" t="s">
        <v>11199</v>
      </c>
      <c r="BN609" t="s">
        <v>74</v>
      </c>
      <c r="BO609" t="s">
        <v>74</v>
      </c>
      <c r="BP609" t="s">
        <v>74</v>
      </c>
      <c r="BQ609" t="s">
        <v>74</v>
      </c>
      <c r="BR609" t="s">
        <v>104</v>
      </c>
      <c r="BS609" t="s">
        <v>11217</v>
      </c>
      <c r="BT609" t="str">
        <f>HYPERLINK("https%3A%2F%2Fwww.webofscience.com%2Fwos%2Fwoscc%2Ffull-record%2FWOS:000280297000143","View Full Record in Web of Science")</f>
        <v>View Full Record in Web of Science</v>
      </c>
    </row>
    <row r="610" spans="1:72" x14ac:dyDescent="0.15">
      <c r="A610" t="s">
        <v>72</v>
      </c>
      <c r="B610" t="s">
        <v>11218</v>
      </c>
      <c r="C610" t="s">
        <v>74</v>
      </c>
      <c r="D610" t="s">
        <v>74</v>
      </c>
      <c r="E610" t="s">
        <v>74</v>
      </c>
      <c r="F610" t="s">
        <v>11219</v>
      </c>
      <c r="G610" t="s">
        <v>74</v>
      </c>
      <c r="H610" t="s">
        <v>74</v>
      </c>
      <c r="I610" t="s">
        <v>11220</v>
      </c>
      <c r="J610" t="s">
        <v>11189</v>
      </c>
      <c r="K610" t="s">
        <v>74</v>
      </c>
      <c r="L610" t="s">
        <v>74</v>
      </c>
      <c r="M610" t="s">
        <v>78</v>
      </c>
      <c r="N610" t="s">
        <v>52</v>
      </c>
      <c r="O610" t="s">
        <v>11190</v>
      </c>
      <c r="P610" t="s">
        <v>11191</v>
      </c>
      <c r="Q610" t="s">
        <v>11192</v>
      </c>
      <c r="R610" t="s">
        <v>74</v>
      </c>
      <c r="S610" t="s">
        <v>74</v>
      </c>
      <c r="T610" t="s">
        <v>74</v>
      </c>
      <c r="U610" t="s">
        <v>74</v>
      </c>
      <c r="V610" t="s">
        <v>74</v>
      </c>
      <c r="W610" t="s">
        <v>11221</v>
      </c>
      <c r="X610" t="s">
        <v>11222</v>
      </c>
      <c r="Y610" t="s">
        <v>74</v>
      </c>
      <c r="Z610" t="s">
        <v>11223</v>
      </c>
      <c r="AA610" t="s">
        <v>74</v>
      </c>
      <c r="AB610" t="s">
        <v>74</v>
      </c>
      <c r="AC610" t="s">
        <v>74</v>
      </c>
      <c r="AD610" t="s">
        <v>74</v>
      </c>
      <c r="AE610" t="s">
        <v>74</v>
      </c>
      <c r="AF610" t="s">
        <v>74</v>
      </c>
      <c r="AG610">
        <v>0</v>
      </c>
      <c r="AH610">
        <v>0</v>
      </c>
      <c r="AI610">
        <v>0</v>
      </c>
      <c r="AJ610">
        <v>0</v>
      </c>
      <c r="AK610">
        <v>4</v>
      </c>
      <c r="AL610" t="s">
        <v>826</v>
      </c>
      <c r="AM610" t="s">
        <v>827</v>
      </c>
      <c r="AN610" t="s">
        <v>828</v>
      </c>
      <c r="AO610" t="s">
        <v>11195</v>
      </c>
      <c r="AP610" t="s">
        <v>74</v>
      </c>
      <c r="AQ610" t="s">
        <v>74</v>
      </c>
      <c r="AR610" t="s">
        <v>11196</v>
      </c>
      <c r="AS610" t="s">
        <v>11197</v>
      </c>
      <c r="AT610" t="s">
        <v>10610</v>
      </c>
      <c r="AU610">
        <v>2010</v>
      </c>
      <c r="AV610">
        <v>50</v>
      </c>
      <c r="AW610" t="s">
        <v>74</v>
      </c>
      <c r="AX610" t="s">
        <v>74</v>
      </c>
      <c r="AY610">
        <v>1</v>
      </c>
      <c r="AZ610" t="s">
        <v>74</v>
      </c>
      <c r="BA610" t="s">
        <v>74</v>
      </c>
      <c r="BB610" t="s">
        <v>11224</v>
      </c>
      <c r="BC610" t="s">
        <v>11224</v>
      </c>
      <c r="BD610" t="s">
        <v>74</v>
      </c>
      <c r="BE610" t="s">
        <v>74</v>
      </c>
      <c r="BF610" t="s">
        <v>74</v>
      </c>
      <c r="BG610" t="s">
        <v>74</v>
      </c>
      <c r="BH610" t="s">
        <v>74</v>
      </c>
      <c r="BI610">
        <v>1</v>
      </c>
      <c r="BJ610" t="s">
        <v>492</v>
      </c>
      <c r="BK610" t="s">
        <v>1219</v>
      </c>
      <c r="BL610" t="s">
        <v>492</v>
      </c>
      <c r="BM610" t="s">
        <v>11199</v>
      </c>
      <c r="BN610" t="s">
        <v>74</v>
      </c>
      <c r="BO610" t="s">
        <v>74</v>
      </c>
      <c r="BP610" t="s">
        <v>74</v>
      </c>
      <c r="BQ610" t="s">
        <v>74</v>
      </c>
      <c r="BR610" t="s">
        <v>104</v>
      </c>
      <c r="BS610" t="s">
        <v>11225</v>
      </c>
      <c r="BT610" t="str">
        <f>HYPERLINK("https%3A%2F%2Fwww.webofscience.com%2Fwos%2Fwoscc%2Ffull-record%2FWOS:000280297000162","View Full Record in Web of Science")</f>
        <v>View Full Record in Web of Science</v>
      </c>
    </row>
    <row r="611" spans="1:72" x14ac:dyDescent="0.15">
      <c r="A611" t="s">
        <v>72</v>
      </c>
      <c r="B611" t="s">
        <v>11226</v>
      </c>
      <c r="C611" t="s">
        <v>74</v>
      </c>
      <c r="D611" t="s">
        <v>74</v>
      </c>
      <c r="E611" t="s">
        <v>74</v>
      </c>
      <c r="F611" t="s">
        <v>11227</v>
      </c>
      <c r="G611" t="s">
        <v>74</v>
      </c>
      <c r="H611" t="s">
        <v>74</v>
      </c>
      <c r="I611" t="s">
        <v>11228</v>
      </c>
      <c r="J611" t="s">
        <v>11189</v>
      </c>
      <c r="K611" t="s">
        <v>74</v>
      </c>
      <c r="L611" t="s">
        <v>74</v>
      </c>
      <c r="M611" t="s">
        <v>78</v>
      </c>
      <c r="N611" t="s">
        <v>52</v>
      </c>
      <c r="O611" t="s">
        <v>11190</v>
      </c>
      <c r="P611" t="s">
        <v>11191</v>
      </c>
      <c r="Q611" t="s">
        <v>11192</v>
      </c>
      <c r="R611" t="s">
        <v>74</v>
      </c>
      <c r="S611" t="s">
        <v>74</v>
      </c>
      <c r="T611" t="s">
        <v>74</v>
      </c>
      <c r="U611" t="s">
        <v>74</v>
      </c>
      <c r="V611" t="s">
        <v>74</v>
      </c>
      <c r="W611" t="s">
        <v>11229</v>
      </c>
      <c r="X611" t="s">
        <v>11230</v>
      </c>
      <c r="Y611" t="s">
        <v>74</v>
      </c>
      <c r="Z611" t="s">
        <v>11231</v>
      </c>
      <c r="AA611" t="s">
        <v>74</v>
      </c>
      <c r="AB611" t="s">
        <v>74</v>
      </c>
      <c r="AC611" t="s">
        <v>74</v>
      </c>
      <c r="AD611" t="s">
        <v>74</v>
      </c>
      <c r="AE611" t="s">
        <v>74</v>
      </c>
      <c r="AF611" t="s">
        <v>74</v>
      </c>
      <c r="AG611">
        <v>0</v>
      </c>
      <c r="AH611">
        <v>0</v>
      </c>
      <c r="AI611">
        <v>0</v>
      </c>
      <c r="AJ611">
        <v>0</v>
      </c>
      <c r="AK611">
        <v>8</v>
      </c>
      <c r="AL611" t="s">
        <v>826</v>
      </c>
      <c r="AM611" t="s">
        <v>827</v>
      </c>
      <c r="AN611" t="s">
        <v>828</v>
      </c>
      <c r="AO611" t="s">
        <v>11195</v>
      </c>
      <c r="AP611" t="s">
        <v>74</v>
      </c>
      <c r="AQ611" t="s">
        <v>74</v>
      </c>
      <c r="AR611" t="s">
        <v>11196</v>
      </c>
      <c r="AS611" t="s">
        <v>11197</v>
      </c>
      <c r="AT611" t="s">
        <v>10610</v>
      </c>
      <c r="AU611">
        <v>2010</v>
      </c>
      <c r="AV611">
        <v>50</v>
      </c>
      <c r="AW611" t="s">
        <v>74</v>
      </c>
      <c r="AX611" t="s">
        <v>74</v>
      </c>
      <c r="AY611">
        <v>1</v>
      </c>
      <c r="AZ611" t="s">
        <v>74</v>
      </c>
      <c r="BA611" t="s">
        <v>74</v>
      </c>
      <c r="BB611" t="s">
        <v>11232</v>
      </c>
      <c r="BC611" t="s">
        <v>11232</v>
      </c>
      <c r="BD611" t="s">
        <v>74</v>
      </c>
      <c r="BE611" t="s">
        <v>74</v>
      </c>
      <c r="BF611" t="s">
        <v>74</v>
      </c>
      <c r="BG611" t="s">
        <v>74</v>
      </c>
      <c r="BH611" t="s">
        <v>74</v>
      </c>
      <c r="BI611">
        <v>1</v>
      </c>
      <c r="BJ611" t="s">
        <v>492</v>
      </c>
      <c r="BK611" t="s">
        <v>1219</v>
      </c>
      <c r="BL611" t="s">
        <v>492</v>
      </c>
      <c r="BM611" t="s">
        <v>11199</v>
      </c>
      <c r="BN611" t="s">
        <v>74</v>
      </c>
      <c r="BO611" t="s">
        <v>74</v>
      </c>
      <c r="BP611" t="s">
        <v>74</v>
      </c>
      <c r="BQ611" t="s">
        <v>74</v>
      </c>
      <c r="BR611" t="s">
        <v>104</v>
      </c>
      <c r="BS611" t="s">
        <v>11233</v>
      </c>
      <c r="BT611" t="str">
        <f>HYPERLINK("https%3A%2F%2Fwww.webofscience.com%2Fwos%2Fwoscc%2Ffull-record%2FWOS:000280297000226","View Full Record in Web of Science")</f>
        <v>View Full Record in Web of Science</v>
      </c>
    </row>
    <row r="612" spans="1:72" x14ac:dyDescent="0.15">
      <c r="A612" t="s">
        <v>72</v>
      </c>
      <c r="B612" t="s">
        <v>11234</v>
      </c>
      <c r="C612" t="s">
        <v>74</v>
      </c>
      <c r="D612" t="s">
        <v>74</v>
      </c>
      <c r="E612" t="s">
        <v>74</v>
      </c>
      <c r="F612" t="s">
        <v>11235</v>
      </c>
      <c r="G612" t="s">
        <v>74</v>
      </c>
      <c r="H612" t="s">
        <v>74</v>
      </c>
      <c r="I612" t="s">
        <v>11236</v>
      </c>
      <c r="J612" t="s">
        <v>11189</v>
      </c>
      <c r="K612" t="s">
        <v>74</v>
      </c>
      <c r="L612" t="s">
        <v>74</v>
      </c>
      <c r="M612" t="s">
        <v>78</v>
      </c>
      <c r="N612" t="s">
        <v>52</v>
      </c>
      <c r="O612" t="s">
        <v>11190</v>
      </c>
      <c r="P612" t="s">
        <v>11191</v>
      </c>
      <c r="Q612" t="s">
        <v>11192</v>
      </c>
      <c r="R612" t="s">
        <v>74</v>
      </c>
      <c r="S612" t="s">
        <v>74</v>
      </c>
      <c r="T612" t="s">
        <v>74</v>
      </c>
      <c r="U612" t="s">
        <v>74</v>
      </c>
      <c r="V612" t="s">
        <v>74</v>
      </c>
      <c r="W612" t="s">
        <v>11237</v>
      </c>
      <c r="X612" t="s">
        <v>11238</v>
      </c>
      <c r="Y612" t="s">
        <v>74</v>
      </c>
      <c r="Z612" t="s">
        <v>11239</v>
      </c>
      <c r="AA612" t="s">
        <v>74</v>
      </c>
      <c r="AB612" t="s">
        <v>74</v>
      </c>
      <c r="AC612" t="s">
        <v>74</v>
      </c>
      <c r="AD612" t="s">
        <v>74</v>
      </c>
      <c r="AE612" t="s">
        <v>74</v>
      </c>
      <c r="AF612" t="s">
        <v>74</v>
      </c>
      <c r="AG612">
        <v>0</v>
      </c>
      <c r="AH612">
        <v>0</v>
      </c>
      <c r="AI612">
        <v>0</v>
      </c>
      <c r="AJ612">
        <v>0</v>
      </c>
      <c r="AK612">
        <v>19</v>
      </c>
      <c r="AL612" t="s">
        <v>826</v>
      </c>
      <c r="AM612" t="s">
        <v>827</v>
      </c>
      <c r="AN612" t="s">
        <v>828</v>
      </c>
      <c r="AO612" t="s">
        <v>11195</v>
      </c>
      <c r="AP612" t="s">
        <v>74</v>
      </c>
      <c r="AQ612" t="s">
        <v>74</v>
      </c>
      <c r="AR612" t="s">
        <v>11196</v>
      </c>
      <c r="AS612" t="s">
        <v>11197</v>
      </c>
      <c r="AT612" t="s">
        <v>10610</v>
      </c>
      <c r="AU612">
        <v>2010</v>
      </c>
      <c r="AV612">
        <v>50</v>
      </c>
      <c r="AW612" t="s">
        <v>74</v>
      </c>
      <c r="AX612" t="s">
        <v>74</v>
      </c>
      <c r="AY612">
        <v>1</v>
      </c>
      <c r="AZ612" t="s">
        <v>74</v>
      </c>
      <c r="BA612" t="s">
        <v>74</v>
      </c>
      <c r="BB612" t="s">
        <v>11232</v>
      </c>
      <c r="BC612" t="s">
        <v>11232</v>
      </c>
      <c r="BD612" t="s">
        <v>74</v>
      </c>
      <c r="BE612" t="s">
        <v>74</v>
      </c>
      <c r="BF612" t="s">
        <v>74</v>
      </c>
      <c r="BG612" t="s">
        <v>74</v>
      </c>
      <c r="BH612" t="s">
        <v>74</v>
      </c>
      <c r="BI612">
        <v>1</v>
      </c>
      <c r="BJ612" t="s">
        <v>492</v>
      </c>
      <c r="BK612" t="s">
        <v>1219</v>
      </c>
      <c r="BL612" t="s">
        <v>492</v>
      </c>
      <c r="BM612" t="s">
        <v>11199</v>
      </c>
      <c r="BN612" t="s">
        <v>74</v>
      </c>
      <c r="BO612" t="s">
        <v>74</v>
      </c>
      <c r="BP612" t="s">
        <v>74</v>
      </c>
      <c r="BQ612" t="s">
        <v>74</v>
      </c>
      <c r="BR612" t="s">
        <v>104</v>
      </c>
      <c r="BS612" t="s">
        <v>11240</v>
      </c>
      <c r="BT612" t="str">
        <f>HYPERLINK("https%3A%2F%2Fwww.webofscience.com%2Fwos%2Fwoscc%2Ffull-record%2FWOS:000280297000228","View Full Record in Web of Science")</f>
        <v>View Full Record in Web of Science</v>
      </c>
    </row>
    <row r="613" spans="1:72" x14ac:dyDescent="0.15">
      <c r="A613" t="s">
        <v>72</v>
      </c>
      <c r="B613" t="s">
        <v>11241</v>
      </c>
      <c r="C613" t="s">
        <v>74</v>
      </c>
      <c r="D613" t="s">
        <v>74</v>
      </c>
      <c r="E613" t="s">
        <v>74</v>
      </c>
      <c r="F613" t="s">
        <v>11242</v>
      </c>
      <c r="G613" t="s">
        <v>74</v>
      </c>
      <c r="H613" t="s">
        <v>74</v>
      </c>
      <c r="I613" t="s">
        <v>11243</v>
      </c>
      <c r="J613" t="s">
        <v>11189</v>
      </c>
      <c r="K613" t="s">
        <v>74</v>
      </c>
      <c r="L613" t="s">
        <v>74</v>
      </c>
      <c r="M613" t="s">
        <v>78</v>
      </c>
      <c r="N613" t="s">
        <v>52</v>
      </c>
      <c r="O613" t="s">
        <v>11190</v>
      </c>
      <c r="P613" t="s">
        <v>11191</v>
      </c>
      <c r="Q613" t="s">
        <v>11192</v>
      </c>
      <c r="R613" t="s">
        <v>74</v>
      </c>
      <c r="S613" t="s">
        <v>74</v>
      </c>
      <c r="T613" t="s">
        <v>74</v>
      </c>
      <c r="U613" t="s">
        <v>74</v>
      </c>
      <c r="V613" t="s">
        <v>74</v>
      </c>
      <c r="W613" t="s">
        <v>11244</v>
      </c>
      <c r="X613" t="s">
        <v>11245</v>
      </c>
      <c r="Y613" t="s">
        <v>74</v>
      </c>
      <c r="Z613" t="s">
        <v>11246</v>
      </c>
      <c r="AA613" t="s">
        <v>7044</v>
      </c>
      <c r="AB613" t="s">
        <v>7045</v>
      </c>
      <c r="AC613" t="s">
        <v>74</v>
      </c>
      <c r="AD613" t="s">
        <v>74</v>
      </c>
      <c r="AE613" t="s">
        <v>74</v>
      </c>
      <c r="AF613" t="s">
        <v>74</v>
      </c>
      <c r="AG613">
        <v>0</v>
      </c>
      <c r="AH613">
        <v>0</v>
      </c>
      <c r="AI613">
        <v>0</v>
      </c>
      <c r="AJ613">
        <v>0</v>
      </c>
      <c r="AK613">
        <v>0</v>
      </c>
      <c r="AL613" t="s">
        <v>826</v>
      </c>
      <c r="AM613" t="s">
        <v>827</v>
      </c>
      <c r="AN613" t="s">
        <v>828</v>
      </c>
      <c r="AO613" t="s">
        <v>11195</v>
      </c>
      <c r="AP613" t="s">
        <v>74</v>
      </c>
      <c r="AQ613" t="s">
        <v>74</v>
      </c>
      <c r="AR613" t="s">
        <v>11196</v>
      </c>
      <c r="AS613" t="s">
        <v>11197</v>
      </c>
      <c r="AT613" t="s">
        <v>10610</v>
      </c>
      <c r="AU613">
        <v>2010</v>
      </c>
      <c r="AV613">
        <v>50</v>
      </c>
      <c r="AW613" t="s">
        <v>74</v>
      </c>
      <c r="AX613" t="s">
        <v>74</v>
      </c>
      <c r="AY613">
        <v>1</v>
      </c>
      <c r="AZ613" t="s">
        <v>74</v>
      </c>
      <c r="BA613" t="s">
        <v>74</v>
      </c>
      <c r="BB613" t="s">
        <v>11247</v>
      </c>
      <c r="BC613" t="s">
        <v>11247</v>
      </c>
      <c r="BD613" t="s">
        <v>74</v>
      </c>
      <c r="BE613" t="s">
        <v>74</v>
      </c>
      <c r="BF613" t="s">
        <v>74</v>
      </c>
      <c r="BG613" t="s">
        <v>74</v>
      </c>
      <c r="BH613" t="s">
        <v>74</v>
      </c>
      <c r="BI613">
        <v>1</v>
      </c>
      <c r="BJ613" t="s">
        <v>492</v>
      </c>
      <c r="BK613" t="s">
        <v>1219</v>
      </c>
      <c r="BL613" t="s">
        <v>492</v>
      </c>
      <c r="BM613" t="s">
        <v>11199</v>
      </c>
      <c r="BN613" t="s">
        <v>74</v>
      </c>
      <c r="BO613" t="s">
        <v>74</v>
      </c>
      <c r="BP613" t="s">
        <v>74</v>
      </c>
      <c r="BQ613" t="s">
        <v>74</v>
      </c>
      <c r="BR613" t="s">
        <v>104</v>
      </c>
      <c r="BS613" t="s">
        <v>11248</v>
      </c>
      <c r="BT613" t="str">
        <f>HYPERLINK("https%3A%2F%2Fwww.webofscience.com%2Fwos%2Fwoscc%2Ffull-record%2FWOS:000280297000266","View Full Record in Web of Science")</f>
        <v>View Full Record in Web of Science</v>
      </c>
    </row>
    <row r="614" spans="1:72" x14ac:dyDescent="0.15">
      <c r="A614" t="s">
        <v>72</v>
      </c>
      <c r="B614" t="s">
        <v>11249</v>
      </c>
      <c r="C614" t="s">
        <v>74</v>
      </c>
      <c r="D614" t="s">
        <v>74</v>
      </c>
      <c r="E614" t="s">
        <v>74</v>
      </c>
      <c r="F614" t="s">
        <v>11250</v>
      </c>
      <c r="G614" t="s">
        <v>74</v>
      </c>
      <c r="H614" t="s">
        <v>74</v>
      </c>
      <c r="I614" t="s">
        <v>11251</v>
      </c>
      <c r="J614" t="s">
        <v>11189</v>
      </c>
      <c r="K614" t="s">
        <v>74</v>
      </c>
      <c r="L614" t="s">
        <v>74</v>
      </c>
      <c r="M614" t="s">
        <v>78</v>
      </c>
      <c r="N614" t="s">
        <v>52</v>
      </c>
      <c r="O614" t="s">
        <v>11190</v>
      </c>
      <c r="P614" t="s">
        <v>11191</v>
      </c>
      <c r="Q614" t="s">
        <v>11192</v>
      </c>
      <c r="R614" t="s">
        <v>74</v>
      </c>
      <c r="S614" t="s">
        <v>74</v>
      </c>
      <c r="T614" t="s">
        <v>74</v>
      </c>
      <c r="U614" t="s">
        <v>74</v>
      </c>
      <c r="V614" t="s">
        <v>74</v>
      </c>
      <c r="W614" t="s">
        <v>11252</v>
      </c>
      <c r="X614" t="s">
        <v>11253</v>
      </c>
      <c r="Y614" t="s">
        <v>74</v>
      </c>
      <c r="Z614" t="s">
        <v>11254</v>
      </c>
      <c r="AA614" t="s">
        <v>74</v>
      </c>
      <c r="AB614" t="s">
        <v>74</v>
      </c>
      <c r="AC614" t="s">
        <v>74</v>
      </c>
      <c r="AD614" t="s">
        <v>74</v>
      </c>
      <c r="AE614" t="s">
        <v>74</v>
      </c>
      <c r="AF614" t="s">
        <v>74</v>
      </c>
      <c r="AG614">
        <v>0</v>
      </c>
      <c r="AH614">
        <v>0</v>
      </c>
      <c r="AI614">
        <v>0</v>
      </c>
      <c r="AJ614">
        <v>0</v>
      </c>
      <c r="AK614">
        <v>1</v>
      </c>
      <c r="AL614" t="s">
        <v>826</v>
      </c>
      <c r="AM614" t="s">
        <v>827</v>
      </c>
      <c r="AN614" t="s">
        <v>828</v>
      </c>
      <c r="AO614" t="s">
        <v>11195</v>
      </c>
      <c r="AP614" t="s">
        <v>74</v>
      </c>
      <c r="AQ614" t="s">
        <v>74</v>
      </c>
      <c r="AR614" t="s">
        <v>11196</v>
      </c>
      <c r="AS614" t="s">
        <v>11197</v>
      </c>
      <c r="AT614" t="s">
        <v>10610</v>
      </c>
      <c r="AU614">
        <v>2010</v>
      </c>
      <c r="AV614">
        <v>50</v>
      </c>
      <c r="AW614" t="s">
        <v>74</v>
      </c>
      <c r="AX614" t="s">
        <v>74</v>
      </c>
      <c r="AY614">
        <v>1</v>
      </c>
      <c r="AZ614" t="s">
        <v>74</v>
      </c>
      <c r="BA614" t="s">
        <v>74</v>
      </c>
      <c r="BB614" t="s">
        <v>11255</v>
      </c>
      <c r="BC614" t="s">
        <v>11255</v>
      </c>
      <c r="BD614" t="s">
        <v>74</v>
      </c>
      <c r="BE614" t="s">
        <v>74</v>
      </c>
      <c r="BF614" t="s">
        <v>74</v>
      </c>
      <c r="BG614" t="s">
        <v>74</v>
      </c>
      <c r="BH614" t="s">
        <v>74</v>
      </c>
      <c r="BI614">
        <v>1</v>
      </c>
      <c r="BJ614" t="s">
        <v>492</v>
      </c>
      <c r="BK614" t="s">
        <v>1219</v>
      </c>
      <c r="BL614" t="s">
        <v>492</v>
      </c>
      <c r="BM614" t="s">
        <v>11199</v>
      </c>
      <c r="BN614" t="s">
        <v>74</v>
      </c>
      <c r="BO614" t="s">
        <v>74</v>
      </c>
      <c r="BP614" t="s">
        <v>74</v>
      </c>
      <c r="BQ614" t="s">
        <v>74</v>
      </c>
      <c r="BR614" t="s">
        <v>104</v>
      </c>
      <c r="BS614" t="s">
        <v>11256</v>
      </c>
      <c r="BT614" t="str">
        <f>HYPERLINK("https%3A%2F%2Fwww.webofscience.com%2Fwos%2Fwoscc%2Ffull-record%2FWOS:000280297001163","View Full Record in Web of Science")</f>
        <v>View Full Record in Web of Science</v>
      </c>
    </row>
    <row r="615" spans="1:72" x14ac:dyDescent="0.15">
      <c r="A615" t="s">
        <v>72</v>
      </c>
      <c r="B615" t="s">
        <v>11257</v>
      </c>
      <c r="C615" t="s">
        <v>74</v>
      </c>
      <c r="D615" t="s">
        <v>74</v>
      </c>
      <c r="E615" t="s">
        <v>74</v>
      </c>
      <c r="F615" t="s">
        <v>11258</v>
      </c>
      <c r="G615" t="s">
        <v>74</v>
      </c>
      <c r="H615" t="s">
        <v>74</v>
      </c>
      <c r="I615" t="s">
        <v>11259</v>
      </c>
      <c r="J615" t="s">
        <v>11189</v>
      </c>
      <c r="K615" t="s">
        <v>74</v>
      </c>
      <c r="L615" t="s">
        <v>74</v>
      </c>
      <c r="M615" t="s">
        <v>78</v>
      </c>
      <c r="N615" t="s">
        <v>52</v>
      </c>
      <c r="O615" t="s">
        <v>11190</v>
      </c>
      <c r="P615" t="s">
        <v>11191</v>
      </c>
      <c r="Q615" t="s">
        <v>11192</v>
      </c>
      <c r="R615" t="s">
        <v>74</v>
      </c>
      <c r="S615" t="s">
        <v>74</v>
      </c>
      <c r="T615" t="s">
        <v>74</v>
      </c>
      <c r="U615" t="s">
        <v>74</v>
      </c>
      <c r="V615" t="s">
        <v>74</v>
      </c>
      <c r="W615" t="s">
        <v>11260</v>
      </c>
      <c r="X615" t="s">
        <v>11261</v>
      </c>
      <c r="Y615" t="s">
        <v>74</v>
      </c>
      <c r="Z615" t="s">
        <v>11262</v>
      </c>
      <c r="AA615" t="s">
        <v>74</v>
      </c>
      <c r="AB615" t="s">
        <v>74</v>
      </c>
      <c r="AC615" t="s">
        <v>74</v>
      </c>
      <c r="AD615" t="s">
        <v>74</v>
      </c>
      <c r="AE615" t="s">
        <v>74</v>
      </c>
      <c r="AF615" t="s">
        <v>74</v>
      </c>
      <c r="AG615">
        <v>0</v>
      </c>
      <c r="AH615">
        <v>0</v>
      </c>
      <c r="AI615">
        <v>0</v>
      </c>
      <c r="AJ615">
        <v>0</v>
      </c>
      <c r="AK615">
        <v>2</v>
      </c>
      <c r="AL615" t="s">
        <v>826</v>
      </c>
      <c r="AM615" t="s">
        <v>827</v>
      </c>
      <c r="AN615" t="s">
        <v>828</v>
      </c>
      <c r="AO615" t="s">
        <v>11195</v>
      </c>
      <c r="AP615" t="s">
        <v>74</v>
      </c>
      <c r="AQ615" t="s">
        <v>74</v>
      </c>
      <c r="AR615" t="s">
        <v>11196</v>
      </c>
      <c r="AS615" t="s">
        <v>11197</v>
      </c>
      <c r="AT615" t="s">
        <v>10610</v>
      </c>
      <c r="AU615">
        <v>2010</v>
      </c>
      <c r="AV615">
        <v>50</v>
      </c>
      <c r="AW615" t="s">
        <v>74</v>
      </c>
      <c r="AX615" t="s">
        <v>74</v>
      </c>
      <c r="AY615">
        <v>1</v>
      </c>
      <c r="AZ615" t="s">
        <v>74</v>
      </c>
      <c r="BA615" t="s">
        <v>74</v>
      </c>
      <c r="BB615" t="s">
        <v>11263</v>
      </c>
      <c r="BC615" t="s">
        <v>11263</v>
      </c>
      <c r="BD615" t="s">
        <v>74</v>
      </c>
      <c r="BE615" t="s">
        <v>74</v>
      </c>
      <c r="BF615" t="s">
        <v>74</v>
      </c>
      <c r="BG615" t="s">
        <v>74</v>
      </c>
      <c r="BH615" t="s">
        <v>74</v>
      </c>
      <c r="BI615">
        <v>1</v>
      </c>
      <c r="BJ615" t="s">
        <v>492</v>
      </c>
      <c r="BK615" t="s">
        <v>1219</v>
      </c>
      <c r="BL615" t="s">
        <v>492</v>
      </c>
      <c r="BM615" t="s">
        <v>11199</v>
      </c>
      <c r="BN615" t="s">
        <v>74</v>
      </c>
      <c r="BO615" t="s">
        <v>74</v>
      </c>
      <c r="BP615" t="s">
        <v>74</v>
      </c>
      <c r="BQ615" t="s">
        <v>74</v>
      </c>
      <c r="BR615" t="s">
        <v>104</v>
      </c>
      <c r="BS615" t="s">
        <v>11264</v>
      </c>
      <c r="BT615" t="str">
        <f>HYPERLINK("https%3A%2F%2Fwww.webofscience.com%2Fwos%2Fwoscc%2Ffull-record%2FWOS:000280297000359","View Full Record in Web of Science")</f>
        <v>View Full Record in Web of Science</v>
      </c>
    </row>
    <row r="616" spans="1:72" x14ac:dyDescent="0.15">
      <c r="A616" t="s">
        <v>72</v>
      </c>
      <c r="B616" t="s">
        <v>11265</v>
      </c>
      <c r="C616" t="s">
        <v>74</v>
      </c>
      <c r="D616" t="s">
        <v>74</v>
      </c>
      <c r="E616" t="s">
        <v>74</v>
      </c>
      <c r="F616" t="s">
        <v>11266</v>
      </c>
      <c r="G616" t="s">
        <v>74</v>
      </c>
      <c r="H616" t="s">
        <v>74</v>
      </c>
      <c r="I616" t="s">
        <v>11267</v>
      </c>
      <c r="J616" t="s">
        <v>11189</v>
      </c>
      <c r="K616" t="s">
        <v>74</v>
      </c>
      <c r="L616" t="s">
        <v>74</v>
      </c>
      <c r="M616" t="s">
        <v>78</v>
      </c>
      <c r="N616" t="s">
        <v>52</v>
      </c>
      <c r="O616" t="s">
        <v>11190</v>
      </c>
      <c r="P616" t="s">
        <v>11191</v>
      </c>
      <c r="Q616" t="s">
        <v>11192</v>
      </c>
      <c r="R616" t="s">
        <v>74</v>
      </c>
      <c r="S616" t="s">
        <v>74</v>
      </c>
      <c r="T616" t="s">
        <v>74</v>
      </c>
      <c r="U616" t="s">
        <v>74</v>
      </c>
      <c r="V616" t="s">
        <v>74</v>
      </c>
      <c r="W616" t="s">
        <v>11268</v>
      </c>
      <c r="X616" t="s">
        <v>11269</v>
      </c>
      <c r="Y616" t="s">
        <v>74</v>
      </c>
      <c r="Z616" t="s">
        <v>11270</v>
      </c>
      <c r="AA616" t="s">
        <v>11271</v>
      </c>
      <c r="AB616" t="s">
        <v>74</v>
      </c>
      <c r="AC616" t="s">
        <v>74</v>
      </c>
      <c r="AD616" t="s">
        <v>74</v>
      </c>
      <c r="AE616" t="s">
        <v>74</v>
      </c>
      <c r="AF616" t="s">
        <v>74</v>
      </c>
      <c r="AG616">
        <v>0</v>
      </c>
      <c r="AH616">
        <v>0</v>
      </c>
      <c r="AI616">
        <v>0</v>
      </c>
      <c r="AJ616">
        <v>0</v>
      </c>
      <c r="AK616">
        <v>0</v>
      </c>
      <c r="AL616" t="s">
        <v>826</v>
      </c>
      <c r="AM616" t="s">
        <v>827</v>
      </c>
      <c r="AN616" t="s">
        <v>828</v>
      </c>
      <c r="AO616" t="s">
        <v>11195</v>
      </c>
      <c r="AP616" t="s">
        <v>74</v>
      </c>
      <c r="AQ616" t="s">
        <v>74</v>
      </c>
      <c r="AR616" t="s">
        <v>11196</v>
      </c>
      <c r="AS616" t="s">
        <v>11197</v>
      </c>
      <c r="AT616" t="s">
        <v>10610</v>
      </c>
      <c r="AU616">
        <v>2010</v>
      </c>
      <c r="AV616">
        <v>50</v>
      </c>
      <c r="AW616" t="s">
        <v>74</v>
      </c>
      <c r="AX616" t="s">
        <v>74</v>
      </c>
      <c r="AY616">
        <v>1</v>
      </c>
      <c r="AZ616" t="s">
        <v>74</v>
      </c>
      <c r="BA616" t="s">
        <v>74</v>
      </c>
      <c r="BB616" t="s">
        <v>11272</v>
      </c>
      <c r="BC616" t="s">
        <v>11272</v>
      </c>
      <c r="BD616" t="s">
        <v>74</v>
      </c>
      <c r="BE616" t="s">
        <v>74</v>
      </c>
      <c r="BF616" t="s">
        <v>74</v>
      </c>
      <c r="BG616" t="s">
        <v>74</v>
      </c>
      <c r="BH616" t="s">
        <v>74</v>
      </c>
      <c r="BI616">
        <v>1</v>
      </c>
      <c r="BJ616" t="s">
        <v>492</v>
      </c>
      <c r="BK616" t="s">
        <v>1219</v>
      </c>
      <c r="BL616" t="s">
        <v>492</v>
      </c>
      <c r="BM616" t="s">
        <v>11199</v>
      </c>
      <c r="BN616" t="s">
        <v>74</v>
      </c>
      <c r="BO616" t="s">
        <v>74</v>
      </c>
      <c r="BP616" t="s">
        <v>74</v>
      </c>
      <c r="BQ616" t="s">
        <v>74</v>
      </c>
      <c r="BR616" t="s">
        <v>104</v>
      </c>
      <c r="BS616" t="s">
        <v>11273</v>
      </c>
      <c r="BT616" t="str">
        <f>HYPERLINK("https%3A%2F%2Fwww.webofscience.com%2Fwos%2Fwoscc%2Ffull-record%2FWOS:000280297001223","View Full Record in Web of Science")</f>
        <v>View Full Record in Web of Science</v>
      </c>
    </row>
    <row r="617" spans="1:72" x14ac:dyDescent="0.15">
      <c r="A617" t="s">
        <v>72</v>
      </c>
      <c r="B617" t="s">
        <v>11274</v>
      </c>
      <c r="C617" t="s">
        <v>74</v>
      </c>
      <c r="D617" t="s">
        <v>74</v>
      </c>
      <c r="E617" t="s">
        <v>74</v>
      </c>
      <c r="F617" t="s">
        <v>11275</v>
      </c>
      <c r="G617" t="s">
        <v>74</v>
      </c>
      <c r="H617" t="s">
        <v>74</v>
      </c>
      <c r="I617" t="s">
        <v>11276</v>
      </c>
      <c r="J617" t="s">
        <v>11189</v>
      </c>
      <c r="K617" t="s">
        <v>74</v>
      </c>
      <c r="L617" t="s">
        <v>74</v>
      </c>
      <c r="M617" t="s">
        <v>78</v>
      </c>
      <c r="N617" t="s">
        <v>52</v>
      </c>
      <c r="O617" t="s">
        <v>11190</v>
      </c>
      <c r="P617" t="s">
        <v>11191</v>
      </c>
      <c r="Q617" t="s">
        <v>11192</v>
      </c>
      <c r="R617" t="s">
        <v>74</v>
      </c>
      <c r="S617" t="s">
        <v>74</v>
      </c>
      <c r="T617" t="s">
        <v>74</v>
      </c>
      <c r="U617" t="s">
        <v>74</v>
      </c>
      <c r="V617" t="s">
        <v>74</v>
      </c>
      <c r="W617" t="s">
        <v>11277</v>
      </c>
      <c r="X617" t="s">
        <v>11278</v>
      </c>
      <c r="Y617" t="s">
        <v>74</v>
      </c>
      <c r="Z617" t="s">
        <v>11279</v>
      </c>
      <c r="AA617" t="s">
        <v>74</v>
      </c>
      <c r="AB617" t="s">
        <v>74</v>
      </c>
      <c r="AC617" t="s">
        <v>74</v>
      </c>
      <c r="AD617" t="s">
        <v>74</v>
      </c>
      <c r="AE617" t="s">
        <v>74</v>
      </c>
      <c r="AF617" t="s">
        <v>74</v>
      </c>
      <c r="AG617">
        <v>0</v>
      </c>
      <c r="AH617">
        <v>0</v>
      </c>
      <c r="AI617">
        <v>0</v>
      </c>
      <c r="AJ617">
        <v>0</v>
      </c>
      <c r="AK617">
        <v>20</v>
      </c>
      <c r="AL617" t="s">
        <v>826</v>
      </c>
      <c r="AM617" t="s">
        <v>827</v>
      </c>
      <c r="AN617" t="s">
        <v>828</v>
      </c>
      <c r="AO617" t="s">
        <v>11195</v>
      </c>
      <c r="AP617" t="s">
        <v>74</v>
      </c>
      <c r="AQ617" t="s">
        <v>74</v>
      </c>
      <c r="AR617" t="s">
        <v>11196</v>
      </c>
      <c r="AS617" t="s">
        <v>11197</v>
      </c>
      <c r="AT617" t="s">
        <v>10610</v>
      </c>
      <c r="AU617">
        <v>2010</v>
      </c>
      <c r="AV617">
        <v>50</v>
      </c>
      <c r="AW617" t="s">
        <v>74</v>
      </c>
      <c r="AX617" t="s">
        <v>74</v>
      </c>
      <c r="AY617">
        <v>1</v>
      </c>
      <c r="AZ617" t="s">
        <v>74</v>
      </c>
      <c r="BA617" t="s">
        <v>74</v>
      </c>
      <c r="BB617" t="s">
        <v>11280</v>
      </c>
      <c r="BC617" t="s">
        <v>11280</v>
      </c>
      <c r="BD617" t="s">
        <v>74</v>
      </c>
      <c r="BE617" t="s">
        <v>74</v>
      </c>
      <c r="BF617" t="s">
        <v>74</v>
      </c>
      <c r="BG617" t="s">
        <v>74</v>
      </c>
      <c r="BH617" t="s">
        <v>74</v>
      </c>
      <c r="BI617">
        <v>1</v>
      </c>
      <c r="BJ617" t="s">
        <v>492</v>
      </c>
      <c r="BK617" t="s">
        <v>1219</v>
      </c>
      <c r="BL617" t="s">
        <v>492</v>
      </c>
      <c r="BM617" t="s">
        <v>11199</v>
      </c>
      <c r="BN617" t="s">
        <v>74</v>
      </c>
      <c r="BO617" t="s">
        <v>74</v>
      </c>
      <c r="BP617" t="s">
        <v>74</v>
      </c>
      <c r="BQ617" t="s">
        <v>74</v>
      </c>
      <c r="BR617" t="s">
        <v>104</v>
      </c>
      <c r="BS617" t="s">
        <v>11281</v>
      </c>
      <c r="BT617" t="str">
        <f>HYPERLINK("https%3A%2F%2Fwww.webofscience.com%2Fwos%2Fwoscc%2Ffull-record%2FWOS:000280297000434","View Full Record in Web of Science")</f>
        <v>View Full Record in Web of Science</v>
      </c>
    </row>
    <row r="618" spans="1:72" x14ac:dyDescent="0.15">
      <c r="A618" t="s">
        <v>72</v>
      </c>
      <c r="B618" t="s">
        <v>11282</v>
      </c>
      <c r="C618" t="s">
        <v>74</v>
      </c>
      <c r="D618" t="s">
        <v>74</v>
      </c>
      <c r="E618" t="s">
        <v>74</v>
      </c>
      <c r="F618" t="s">
        <v>11283</v>
      </c>
      <c r="G618" t="s">
        <v>74</v>
      </c>
      <c r="H618" t="s">
        <v>74</v>
      </c>
      <c r="I618" t="s">
        <v>11284</v>
      </c>
      <c r="J618" t="s">
        <v>11189</v>
      </c>
      <c r="K618" t="s">
        <v>74</v>
      </c>
      <c r="L618" t="s">
        <v>74</v>
      </c>
      <c r="M618" t="s">
        <v>78</v>
      </c>
      <c r="N618" t="s">
        <v>52</v>
      </c>
      <c r="O618" t="s">
        <v>11190</v>
      </c>
      <c r="P618" t="s">
        <v>11191</v>
      </c>
      <c r="Q618" t="s">
        <v>11192</v>
      </c>
      <c r="R618" t="s">
        <v>74</v>
      </c>
      <c r="S618" t="s">
        <v>74</v>
      </c>
      <c r="T618" t="s">
        <v>74</v>
      </c>
      <c r="U618" t="s">
        <v>74</v>
      </c>
      <c r="V618" t="s">
        <v>74</v>
      </c>
      <c r="W618" t="s">
        <v>11285</v>
      </c>
      <c r="X618" t="s">
        <v>11286</v>
      </c>
      <c r="Y618" t="s">
        <v>74</v>
      </c>
      <c r="Z618" t="s">
        <v>11287</v>
      </c>
      <c r="AA618" t="s">
        <v>11271</v>
      </c>
      <c r="AB618" t="s">
        <v>74</v>
      </c>
      <c r="AC618" t="s">
        <v>74</v>
      </c>
      <c r="AD618" t="s">
        <v>74</v>
      </c>
      <c r="AE618" t="s">
        <v>74</v>
      </c>
      <c r="AF618" t="s">
        <v>74</v>
      </c>
      <c r="AG618">
        <v>0</v>
      </c>
      <c r="AH618">
        <v>0</v>
      </c>
      <c r="AI618">
        <v>0</v>
      </c>
      <c r="AJ618">
        <v>0</v>
      </c>
      <c r="AK618">
        <v>5</v>
      </c>
      <c r="AL618" t="s">
        <v>826</v>
      </c>
      <c r="AM618" t="s">
        <v>827</v>
      </c>
      <c r="AN618" t="s">
        <v>828</v>
      </c>
      <c r="AO618" t="s">
        <v>11195</v>
      </c>
      <c r="AP618" t="s">
        <v>74</v>
      </c>
      <c r="AQ618" t="s">
        <v>74</v>
      </c>
      <c r="AR618" t="s">
        <v>11196</v>
      </c>
      <c r="AS618" t="s">
        <v>11197</v>
      </c>
      <c r="AT618" t="s">
        <v>10610</v>
      </c>
      <c r="AU618">
        <v>2010</v>
      </c>
      <c r="AV618">
        <v>50</v>
      </c>
      <c r="AW618" t="s">
        <v>74</v>
      </c>
      <c r="AX618" t="s">
        <v>74</v>
      </c>
      <c r="AY618">
        <v>1</v>
      </c>
      <c r="AZ618" t="s">
        <v>74</v>
      </c>
      <c r="BA618" t="s">
        <v>74</v>
      </c>
      <c r="BB618" t="s">
        <v>11288</v>
      </c>
      <c r="BC618" t="s">
        <v>11288</v>
      </c>
      <c r="BD618" t="s">
        <v>74</v>
      </c>
      <c r="BE618" t="s">
        <v>74</v>
      </c>
      <c r="BF618" t="s">
        <v>74</v>
      </c>
      <c r="BG618" t="s">
        <v>74</v>
      </c>
      <c r="BH618" t="s">
        <v>74</v>
      </c>
      <c r="BI618">
        <v>1</v>
      </c>
      <c r="BJ618" t="s">
        <v>492</v>
      </c>
      <c r="BK618" t="s">
        <v>1219</v>
      </c>
      <c r="BL618" t="s">
        <v>492</v>
      </c>
      <c r="BM618" t="s">
        <v>11199</v>
      </c>
      <c r="BN618" t="s">
        <v>74</v>
      </c>
      <c r="BO618" t="s">
        <v>74</v>
      </c>
      <c r="BP618" t="s">
        <v>74</v>
      </c>
      <c r="BQ618" t="s">
        <v>74</v>
      </c>
      <c r="BR618" t="s">
        <v>104</v>
      </c>
      <c r="BS618" t="s">
        <v>11289</v>
      </c>
      <c r="BT618" t="str">
        <f>HYPERLINK("https%3A%2F%2Fwww.webofscience.com%2Fwos%2Fwoscc%2Ffull-record%2FWOS:000280297000445","View Full Record in Web of Science")</f>
        <v>View Full Record in Web of Science</v>
      </c>
    </row>
    <row r="619" spans="1:72" x14ac:dyDescent="0.15">
      <c r="A619" t="s">
        <v>72</v>
      </c>
      <c r="B619" t="s">
        <v>11290</v>
      </c>
      <c r="C619" t="s">
        <v>74</v>
      </c>
      <c r="D619" t="s">
        <v>74</v>
      </c>
      <c r="E619" t="s">
        <v>74</v>
      </c>
      <c r="F619" t="s">
        <v>11291</v>
      </c>
      <c r="G619" t="s">
        <v>74</v>
      </c>
      <c r="H619" t="s">
        <v>74</v>
      </c>
      <c r="I619" t="s">
        <v>11292</v>
      </c>
      <c r="J619" t="s">
        <v>11189</v>
      </c>
      <c r="K619" t="s">
        <v>74</v>
      </c>
      <c r="L619" t="s">
        <v>74</v>
      </c>
      <c r="M619" t="s">
        <v>78</v>
      </c>
      <c r="N619" t="s">
        <v>52</v>
      </c>
      <c r="O619" t="s">
        <v>11190</v>
      </c>
      <c r="P619" t="s">
        <v>11191</v>
      </c>
      <c r="Q619" t="s">
        <v>11192</v>
      </c>
      <c r="R619" t="s">
        <v>74</v>
      </c>
      <c r="S619" t="s">
        <v>74</v>
      </c>
      <c r="T619" t="s">
        <v>74</v>
      </c>
      <c r="U619" t="s">
        <v>74</v>
      </c>
      <c r="V619" t="s">
        <v>74</v>
      </c>
      <c r="W619" t="s">
        <v>11293</v>
      </c>
      <c r="X619" t="s">
        <v>11294</v>
      </c>
      <c r="Y619" t="s">
        <v>74</v>
      </c>
      <c r="Z619" t="s">
        <v>11295</v>
      </c>
      <c r="AA619" t="s">
        <v>11296</v>
      </c>
      <c r="AB619" t="s">
        <v>11297</v>
      </c>
      <c r="AC619" t="s">
        <v>74</v>
      </c>
      <c r="AD619" t="s">
        <v>74</v>
      </c>
      <c r="AE619" t="s">
        <v>74</v>
      </c>
      <c r="AF619" t="s">
        <v>74</v>
      </c>
      <c r="AG619">
        <v>0</v>
      </c>
      <c r="AH619">
        <v>0</v>
      </c>
      <c r="AI619">
        <v>0</v>
      </c>
      <c r="AJ619">
        <v>0</v>
      </c>
      <c r="AK619">
        <v>4</v>
      </c>
      <c r="AL619" t="s">
        <v>826</v>
      </c>
      <c r="AM619" t="s">
        <v>827</v>
      </c>
      <c r="AN619" t="s">
        <v>828</v>
      </c>
      <c r="AO619" t="s">
        <v>11195</v>
      </c>
      <c r="AP619" t="s">
        <v>74</v>
      </c>
      <c r="AQ619" t="s">
        <v>74</v>
      </c>
      <c r="AR619" t="s">
        <v>11196</v>
      </c>
      <c r="AS619" t="s">
        <v>11197</v>
      </c>
      <c r="AT619" t="s">
        <v>10610</v>
      </c>
      <c r="AU619">
        <v>2010</v>
      </c>
      <c r="AV619">
        <v>50</v>
      </c>
      <c r="AW619" t="s">
        <v>74</v>
      </c>
      <c r="AX619" t="s">
        <v>74</v>
      </c>
      <c r="AY619">
        <v>1</v>
      </c>
      <c r="AZ619" t="s">
        <v>74</v>
      </c>
      <c r="BA619" t="s">
        <v>74</v>
      </c>
      <c r="BB619" t="s">
        <v>11298</v>
      </c>
      <c r="BC619" t="s">
        <v>11298</v>
      </c>
      <c r="BD619" t="s">
        <v>74</v>
      </c>
      <c r="BE619" t="s">
        <v>74</v>
      </c>
      <c r="BF619" t="s">
        <v>74</v>
      </c>
      <c r="BG619" t="s">
        <v>74</v>
      </c>
      <c r="BH619" t="s">
        <v>74</v>
      </c>
      <c r="BI619">
        <v>1</v>
      </c>
      <c r="BJ619" t="s">
        <v>492</v>
      </c>
      <c r="BK619" t="s">
        <v>1219</v>
      </c>
      <c r="BL619" t="s">
        <v>492</v>
      </c>
      <c r="BM619" t="s">
        <v>11199</v>
      </c>
      <c r="BN619" t="s">
        <v>74</v>
      </c>
      <c r="BO619" t="s">
        <v>74</v>
      </c>
      <c r="BP619" t="s">
        <v>74</v>
      </c>
      <c r="BQ619" t="s">
        <v>74</v>
      </c>
      <c r="BR619" t="s">
        <v>104</v>
      </c>
      <c r="BS619" t="s">
        <v>11299</v>
      </c>
      <c r="BT619" t="str">
        <f>HYPERLINK("https%3A%2F%2Fwww.webofscience.com%2Fwos%2Fwoscc%2Ffull-record%2FWOS:000280297000450","View Full Record in Web of Science")</f>
        <v>View Full Record in Web of Science</v>
      </c>
    </row>
    <row r="620" spans="1:72" x14ac:dyDescent="0.15">
      <c r="A620" t="s">
        <v>72</v>
      </c>
      <c r="B620" t="s">
        <v>11300</v>
      </c>
      <c r="C620" t="s">
        <v>74</v>
      </c>
      <c r="D620" t="s">
        <v>74</v>
      </c>
      <c r="E620" t="s">
        <v>74</v>
      </c>
      <c r="F620" t="s">
        <v>11301</v>
      </c>
      <c r="G620" t="s">
        <v>74</v>
      </c>
      <c r="H620" t="s">
        <v>74</v>
      </c>
      <c r="I620" t="s">
        <v>11302</v>
      </c>
      <c r="J620" t="s">
        <v>11189</v>
      </c>
      <c r="K620" t="s">
        <v>74</v>
      </c>
      <c r="L620" t="s">
        <v>74</v>
      </c>
      <c r="M620" t="s">
        <v>78</v>
      </c>
      <c r="N620" t="s">
        <v>52</v>
      </c>
      <c r="O620" t="s">
        <v>11190</v>
      </c>
      <c r="P620" t="s">
        <v>11191</v>
      </c>
      <c r="Q620" t="s">
        <v>11192</v>
      </c>
      <c r="R620" t="s">
        <v>74</v>
      </c>
      <c r="S620" t="s">
        <v>74</v>
      </c>
      <c r="T620" t="s">
        <v>74</v>
      </c>
      <c r="U620" t="s">
        <v>74</v>
      </c>
      <c r="V620" t="s">
        <v>74</v>
      </c>
      <c r="W620" t="s">
        <v>11303</v>
      </c>
      <c r="X620" t="s">
        <v>7943</v>
      </c>
      <c r="Y620" t="s">
        <v>74</v>
      </c>
      <c r="Z620" t="s">
        <v>11304</v>
      </c>
      <c r="AA620" t="s">
        <v>74</v>
      </c>
      <c r="AB620" t="s">
        <v>74</v>
      </c>
      <c r="AC620" t="s">
        <v>74</v>
      </c>
      <c r="AD620" t="s">
        <v>74</v>
      </c>
      <c r="AE620" t="s">
        <v>74</v>
      </c>
      <c r="AF620" t="s">
        <v>74</v>
      </c>
      <c r="AG620">
        <v>0</v>
      </c>
      <c r="AH620">
        <v>0</v>
      </c>
      <c r="AI620">
        <v>0</v>
      </c>
      <c r="AJ620">
        <v>0</v>
      </c>
      <c r="AK620">
        <v>0</v>
      </c>
      <c r="AL620" t="s">
        <v>826</v>
      </c>
      <c r="AM620" t="s">
        <v>827</v>
      </c>
      <c r="AN620" t="s">
        <v>828</v>
      </c>
      <c r="AO620" t="s">
        <v>11195</v>
      </c>
      <c r="AP620" t="s">
        <v>74</v>
      </c>
      <c r="AQ620" t="s">
        <v>74</v>
      </c>
      <c r="AR620" t="s">
        <v>11196</v>
      </c>
      <c r="AS620" t="s">
        <v>11197</v>
      </c>
      <c r="AT620" t="s">
        <v>10610</v>
      </c>
      <c r="AU620">
        <v>2010</v>
      </c>
      <c r="AV620">
        <v>50</v>
      </c>
      <c r="AW620" t="s">
        <v>74</v>
      </c>
      <c r="AX620" t="s">
        <v>74</v>
      </c>
      <c r="AY620">
        <v>1</v>
      </c>
      <c r="AZ620" t="s">
        <v>74</v>
      </c>
      <c r="BA620" t="s">
        <v>74</v>
      </c>
      <c r="BB620" t="s">
        <v>11305</v>
      </c>
      <c r="BC620" t="s">
        <v>11305</v>
      </c>
      <c r="BD620" t="s">
        <v>74</v>
      </c>
      <c r="BE620" t="s">
        <v>74</v>
      </c>
      <c r="BF620" t="s">
        <v>74</v>
      </c>
      <c r="BG620" t="s">
        <v>74</v>
      </c>
      <c r="BH620" t="s">
        <v>74</v>
      </c>
      <c r="BI620">
        <v>1</v>
      </c>
      <c r="BJ620" t="s">
        <v>492</v>
      </c>
      <c r="BK620" t="s">
        <v>1219</v>
      </c>
      <c r="BL620" t="s">
        <v>492</v>
      </c>
      <c r="BM620" t="s">
        <v>11199</v>
      </c>
      <c r="BN620" t="s">
        <v>74</v>
      </c>
      <c r="BO620" t="s">
        <v>74</v>
      </c>
      <c r="BP620" t="s">
        <v>74</v>
      </c>
      <c r="BQ620" t="s">
        <v>74</v>
      </c>
      <c r="BR620" t="s">
        <v>104</v>
      </c>
      <c r="BS620" t="s">
        <v>11306</v>
      </c>
      <c r="BT620" t="str">
        <f>HYPERLINK("https%3A%2F%2Fwww.webofscience.com%2Fwos%2Fwoscc%2Ffull-record%2FWOS:000280297001293","View Full Record in Web of Science")</f>
        <v>View Full Record in Web of Science</v>
      </c>
    </row>
    <row r="621" spans="1:72" x14ac:dyDescent="0.15">
      <c r="A621" t="s">
        <v>72</v>
      </c>
      <c r="B621" t="s">
        <v>11307</v>
      </c>
      <c r="C621" t="s">
        <v>74</v>
      </c>
      <c r="D621" t="s">
        <v>74</v>
      </c>
      <c r="E621" t="s">
        <v>74</v>
      </c>
      <c r="F621" t="s">
        <v>11308</v>
      </c>
      <c r="G621" t="s">
        <v>74</v>
      </c>
      <c r="H621" t="s">
        <v>74</v>
      </c>
      <c r="I621" t="s">
        <v>11309</v>
      </c>
      <c r="J621" t="s">
        <v>11189</v>
      </c>
      <c r="K621" t="s">
        <v>74</v>
      </c>
      <c r="L621" t="s">
        <v>74</v>
      </c>
      <c r="M621" t="s">
        <v>78</v>
      </c>
      <c r="N621" t="s">
        <v>52</v>
      </c>
      <c r="O621" t="s">
        <v>11190</v>
      </c>
      <c r="P621" t="s">
        <v>11191</v>
      </c>
      <c r="Q621" t="s">
        <v>11192</v>
      </c>
      <c r="R621" t="s">
        <v>74</v>
      </c>
      <c r="S621" t="s">
        <v>74</v>
      </c>
      <c r="T621" t="s">
        <v>74</v>
      </c>
      <c r="U621" t="s">
        <v>74</v>
      </c>
      <c r="V621" t="s">
        <v>74</v>
      </c>
      <c r="W621" t="s">
        <v>11310</v>
      </c>
      <c r="X621" t="s">
        <v>11311</v>
      </c>
      <c r="Y621" t="s">
        <v>74</v>
      </c>
      <c r="Z621" t="s">
        <v>11312</v>
      </c>
      <c r="AA621" t="s">
        <v>74</v>
      </c>
      <c r="AB621" t="s">
        <v>11313</v>
      </c>
      <c r="AC621" t="s">
        <v>74</v>
      </c>
      <c r="AD621" t="s">
        <v>74</v>
      </c>
      <c r="AE621" t="s">
        <v>74</v>
      </c>
      <c r="AF621" t="s">
        <v>74</v>
      </c>
      <c r="AG621">
        <v>0</v>
      </c>
      <c r="AH621">
        <v>0</v>
      </c>
      <c r="AI621">
        <v>0</v>
      </c>
      <c r="AJ621">
        <v>0</v>
      </c>
      <c r="AK621">
        <v>6</v>
      </c>
      <c r="AL621" t="s">
        <v>826</v>
      </c>
      <c r="AM621" t="s">
        <v>827</v>
      </c>
      <c r="AN621" t="s">
        <v>828</v>
      </c>
      <c r="AO621" t="s">
        <v>11195</v>
      </c>
      <c r="AP621" t="s">
        <v>74</v>
      </c>
      <c r="AQ621" t="s">
        <v>74</v>
      </c>
      <c r="AR621" t="s">
        <v>11196</v>
      </c>
      <c r="AS621" t="s">
        <v>11197</v>
      </c>
      <c r="AT621" t="s">
        <v>10610</v>
      </c>
      <c r="AU621">
        <v>2010</v>
      </c>
      <c r="AV621">
        <v>50</v>
      </c>
      <c r="AW621" t="s">
        <v>74</v>
      </c>
      <c r="AX621" t="s">
        <v>74</v>
      </c>
      <c r="AY621">
        <v>1</v>
      </c>
      <c r="AZ621" t="s">
        <v>74</v>
      </c>
      <c r="BA621" t="s">
        <v>74</v>
      </c>
      <c r="BB621" t="s">
        <v>11314</v>
      </c>
      <c r="BC621" t="s">
        <v>11314</v>
      </c>
      <c r="BD621" t="s">
        <v>74</v>
      </c>
      <c r="BE621" t="s">
        <v>74</v>
      </c>
      <c r="BF621" t="s">
        <v>74</v>
      </c>
      <c r="BG621" t="s">
        <v>74</v>
      </c>
      <c r="BH621" t="s">
        <v>74</v>
      </c>
      <c r="BI621">
        <v>1</v>
      </c>
      <c r="BJ621" t="s">
        <v>492</v>
      </c>
      <c r="BK621" t="s">
        <v>1219</v>
      </c>
      <c r="BL621" t="s">
        <v>492</v>
      </c>
      <c r="BM621" t="s">
        <v>11199</v>
      </c>
      <c r="BN621" t="s">
        <v>74</v>
      </c>
      <c r="BO621" t="s">
        <v>74</v>
      </c>
      <c r="BP621" t="s">
        <v>74</v>
      </c>
      <c r="BQ621" t="s">
        <v>74</v>
      </c>
      <c r="BR621" t="s">
        <v>104</v>
      </c>
      <c r="BS621" t="s">
        <v>11315</v>
      </c>
      <c r="BT621" t="str">
        <f>HYPERLINK("https%3A%2F%2Fwww.webofscience.com%2Fwos%2Fwoscc%2Ffull-record%2FWOS:000280297000492","View Full Record in Web of Science")</f>
        <v>View Full Record in Web of Science</v>
      </c>
    </row>
    <row r="622" spans="1:72" x14ac:dyDescent="0.15">
      <c r="A622" t="s">
        <v>72</v>
      </c>
      <c r="B622" t="s">
        <v>11316</v>
      </c>
      <c r="C622" t="s">
        <v>74</v>
      </c>
      <c r="D622" t="s">
        <v>74</v>
      </c>
      <c r="E622" t="s">
        <v>74</v>
      </c>
      <c r="F622" t="s">
        <v>11317</v>
      </c>
      <c r="G622" t="s">
        <v>74</v>
      </c>
      <c r="H622" t="s">
        <v>74</v>
      </c>
      <c r="I622" t="s">
        <v>11318</v>
      </c>
      <c r="J622" t="s">
        <v>11189</v>
      </c>
      <c r="K622" t="s">
        <v>74</v>
      </c>
      <c r="L622" t="s">
        <v>74</v>
      </c>
      <c r="M622" t="s">
        <v>78</v>
      </c>
      <c r="N622" t="s">
        <v>52</v>
      </c>
      <c r="O622" t="s">
        <v>11190</v>
      </c>
      <c r="P622" t="s">
        <v>11191</v>
      </c>
      <c r="Q622" t="s">
        <v>11192</v>
      </c>
      <c r="R622" t="s">
        <v>74</v>
      </c>
      <c r="S622" t="s">
        <v>74</v>
      </c>
      <c r="T622" t="s">
        <v>74</v>
      </c>
      <c r="U622" t="s">
        <v>74</v>
      </c>
      <c r="V622" t="s">
        <v>74</v>
      </c>
      <c r="W622" t="s">
        <v>11319</v>
      </c>
      <c r="X622" t="s">
        <v>11320</v>
      </c>
      <c r="Y622" t="s">
        <v>74</v>
      </c>
      <c r="Z622" t="s">
        <v>11321</v>
      </c>
      <c r="AA622" t="s">
        <v>11322</v>
      </c>
      <c r="AB622" t="s">
        <v>11323</v>
      </c>
      <c r="AC622" t="s">
        <v>74</v>
      </c>
      <c r="AD622" t="s">
        <v>74</v>
      </c>
      <c r="AE622" t="s">
        <v>74</v>
      </c>
      <c r="AF622" t="s">
        <v>74</v>
      </c>
      <c r="AG622">
        <v>0</v>
      </c>
      <c r="AH622">
        <v>0</v>
      </c>
      <c r="AI622">
        <v>0</v>
      </c>
      <c r="AJ622">
        <v>0</v>
      </c>
      <c r="AK622">
        <v>14</v>
      </c>
      <c r="AL622" t="s">
        <v>826</v>
      </c>
      <c r="AM622" t="s">
        <v>827</v>
      </c>
      <c r="AN622" t="s">
        <v>828</v>
      </c>
      <c r="AO622" t="s">
        <v>11195</v>
      </c>
      <c r="AP622" t="s">
        <v>74</v>
      </c>
      <c r="AQ622" t="s">
        <v>74</v>
      </c>
      <c r="AR622" t="s">
        <v>11196</v>
      </c>
      <c r="AS622" t="s">
        <v>11197</v>
      </c>
      <c r="AT622" t="s">
        <v>10610</v>
      </c>
      <c r="AU622">
        <v>2010</v>
      </c>
      <c r="AV622">
        <v>50</v>
      </c>
      <c r="AW622" t="s">
        <v>74</v>
      </c>
      <c r="AX622" t="s">
        <v>74</v>
      </c>
      <c r="AY622">
        <v>1</v>
      </c>
      <c r="AZ622" t="s">
        <v>74</v>
      </c>
      <c r="BA622" t="s">
        <v>74</v>
      </c>
      <c r="BB622" t="s">
        <v>11324</v>
      </c>
      <c r="BC622" t="s">
        <v>11324</v>
      </c>
      <c r="BD622" t="s">
        <v>74</v>
      </c>
      <c r="BE622" t="s">
        <v>74</v>
      </c>
      <c r="BF622" t="s">
        <v>74</v>
      </c>
      <c r="BG622" t="s">
        <v>74</v>
      </c>
      <c r="BH622" t="s">
        <v>74</v>
      </c>
      <c r="BI622">
        <v>1</v>
      </c>
      <c r="BJ622" t="s">
        <v>492</v>
      </c>
      <c r="BK622" t="s">
        <v>1219</v>
      </c>
      <c r="BL622" t="s">
        <v>492</v>
      </c>
      <c r="BM622" t="s">
        <v>11199</v>
      </c>
      <c r="BN622" t="s">
        <v>74</v>
      </c>
      <c r="BO622" t="s">
        <v>74</v>
      </c>
      <c r="BP622" t="s">
        <v>74</v>
      </c>
      <c r="BQ622" t="s">
        <v>74</v>
      </c>
      <c r="BR622" t="s">
        <v>104</v>
      </c>
      <c r="BS622" t="s">
        <v>11325</v>
      </c>
      <c r="BT622" t="str">
        <f>HYPERLINK("https%3A%2F%2Fwww.webofscience.com%2Fwos%2Fwoscc%2Ffull-record%2FWOS:000280297000675","View Full Record in Web of Science")</f>
        <v>View Full Record in Web of Science</v>
      </c>
    </row>
    <row r="623" spans="1:72" x14ac:dyDescent="0.15">
      <c r="A623" t="s">
        <v>72</v>
      </c>
      <c r="B623" t="s">
        <v>11326</v>
      </c>
      <c r="C623" t="s">
        <v>74</v>
      </c>
      <c r="D623" t="s">
        <v>74</v>
      </c>
      <c r="E623" t="s">
        <v>74</v>
      </c>
      <c r="F623" t="s">
        <v>11327</v>
      </c>
      <c r="G623" t="s">
        <v>74</v>
      </c>
      <c r="H623" t="s">
        <v>74</v>
      </c>
      <c r="I623" t="s">
        <v>11328</v>
      </c>
      <c r="J623" t="s">
        <v>8639</v>
      </c>
      <c r="K623" t="s">
        <v>74</v>
      </c>
      <c r="L623" t="s">
        <v>74</v>
      </c>
      <c r="M623" t="s">
        <v>78</v>
      </c>
      <c r="N623" t="s">
        <v>79</v>
      </c>
      <c r="O623" t="s">
        <v>74</v>
      </c>
      <c r="P623" t="s">
        <v>74</v>
      </c>
      <c r="Q623" t="s">
        <v>74</v>
      </c>
      <c r="R623" t="s">
        <v>74</v>
      </c>
      <c r="S623" t="s">
        <v>74</v>
      </c>
      <c r="T623" t="s">
        <v>11329</v>
      </c>
      <c r="U623" t="s">
        <v>11330</v>
      </c>
      <c r="V623" t="s">
        <v>11331</v>
      </c>
      <c r="W623" t="s">
        <v>11332</v>
      </c>
      <c r="X623" t="s">
        <v>11333</v>
      </c>
      <c r="Y623" t="s">
        <v>11334</v>
      </c>
      <c r="Z623" t="s">
        <v>11335</v>
      </c>
      <c r="AA623" t="s">
        <v>11336</v>
      </c>
      <c r="AB623" t="s">
        <v>11337</v>
      </c>
      <c r="AC623" t="s">
        <v>11338</v>
      </c>
      <c r="AD623" t="s">
        <v>11339</v>
      </c>
      <c r="AE623" t="s">
        <v>11340</v>
      </c>
      <c r="AF623" t="s">
        <v>74</v>
      </c>
      <c r="AG623">
        <v>31</v>
      </c>
      <c r="AH623">
        <v>77</v>
      </c>
      <c r="AI623">
        <v>80</v>
      </c>
      <c r="AJ623">
        <v>2</v>
      </c>
      <c r="AK623">
        <v>20</v>
      </c>
      <c r="AL623" t="s">
        <v>923</v>
      </c>
      <c r="AM623" t="s">
        <v>339</v>
      </c>
      <c r="AN623" t="s">
        <v>340</v>
      </c>
      <c r="AO623" t="s">
        <v>8649</v>
      </c>
      <c r="AP623" t="s">
        <v>8650</v>
      </c>
      <c r="AQ623" t="s">
        <v>74</v>
      </c>
      <c r="AR623" t="s">
        <v>8651</v>
      </c>
      <c r="AS623" t="s">
        <v>8652</v>
      </c>
      <c r="AT623" t="s">
        <v>10610</v>
      </c>
      <c r="AU623">
        <v>2010</v>
      </c>
      <c r="AV623">
        <v>30</v>
      </c>
      <c r="AW623">
        <v>9</v>
      </c>
      <c r="AX623" t="s">
        <v>74</v>
      </c>
      <c r="AY623" t="s">
        <v>74</v>
      </c>
      <c r="AZ623" t="s">
        <v>74</v>
      </c>
      <c r="BA623" t="s">
        <v>74</v>
      </c>
      <c r="BB623">
        <v>1322</v>
      </c>
      <c r="BC623">
        <v>1335</v>
      </c>
      <c r="BD623" t="s">
        <v>74</v>
      </c>
      <c r="BE623" t="s">
        <v>11341</v>
      </c>
      <c r="BF623" t="str">
        <f>HYPERLINK("http://dx.doi.org/10.1002/joc.1962","http://dx.doi.org/10.1002/joc.1962")</f>
        <v>http://dx.doi.org/10.1002/joc.1962</v>
      </c>
      <c r="BG623" t="s">
        <v>74</v>
      </c>
      <c r="BH623" t="s">
        <v>74</v>
      </c>
      <c r="BI623">
        <v>14</v>
      </c>
      <c r="BJ623" t="s">
        <v>319</v>
      </c>
      <c r="BK623" t="s">
        <v>100</v>
      </c>
      <c r="BL623" t="s">
        <v>319</v>
      </c>
      <c r="BM623" t="s">
        <v>11342</v>
      </c>
      <c r="BN623" t="s">
        <v>74</v>
      </c>
      <c r="BO623" t="s">
        <v>74</v>
      </c>
      <c r="BP623" t="s">
        <v>74</v>
      </c>
      <c r="BQ623" t="s">
        <v>74</v>
      </c>
      <c r="BR623" t="s">
        <v>104</v>
      </c>
      <c r="BS623" t="s">
        <v>11343</v>
      </c>
      <c r="BT623" t="str">
        <f>HYPERLINK("https%3A%2F%2Fwww.webofscience.com%2Fwos%2Fwoscc%2Ffull-record%2FWOS:000280867500006","View Full Record in Web of Science")</f>
        <v>View Full Record in Web of Science</v>
      </c>
    </row>
    <row r="624" spans="1:72" x14ac:dyDescent="0.15">
      <c r="A624" t="s">
        <v>72</v>
      </c>
      <c r="B624" t="s">
        <v>11344</v>
      </c>
      <c r="C624" t="s">
        <v>74</v>
      </c>
      <c r="D624" t="s">
        <v>74</v>
      </c>
      <c r="E624" t="s">
        <v>74</v>
      </c>
      <c r="F624" t="s">
        <v>11345</v>
      </c>
      <c r="G624" t="s">
        <v>74</v>
      </c>
      <c r="H624" t="s">
        <v>74</v>
      </c>
      <c r="I624" t="s">
        <v>11346</v>
      </c>
      <c r="J624" t="s">
        <v>11347</v>
      </c>
      <c r="K624" t="s">
        <v>74</v>
      </c>
      <c r="L624" t="s">
        <v>74</v>
      </c>
      <c r="M624" t="s">
        <v>78</v>
      </c>
      <c r="N624" t="s">
        <v>79</v>
      </c>
      <c r="O624" t="s">
        <v>74</v>
      </c>
      <c r="P624" t="s">
        <v>74</v>
      </c>
      <c r="Q624" t="s">
        <v>74</v>
      </c>
      <c r="R624" t="s">
        <v>74</v>
      </c>
      <c r="S624" t="s">
        <v>74</v>
      </c>
      <c r="T624" t="s">
        <v>11348</v>
      </c>
      <c r="U624" t="s">
        <v>11349</v>
      </c>
      <c r="V624" t="s">
        <v>11350</v>
      </c>
      <c r="W624" t="s">
        <v>11351</v>
      </c>
      <c r="X624" t="s">
        <v>2599</v>
      </c>
      <c r="Y624" t="s">
        <v>11352</v>
      </c>
      <c r="Z624" t="s">
        <v>11353</v>
      </c>
      <c r="AA624" t="s">
        <v>74</v>
      </c>
      <c r="AB624" t="s">
        <v>11354</v>
      </c>
      <c r="AC624" t="s">
        <v>11355</v>
      </c>
      <c r="AD624" t="s">
        <v>11356</v>
      </c>
      <c r="AE624" t="s">
        <v>11357</v>
      </c>
      <c r="AF624" t="s">
        <v>74</v>
      </c>
      <c r="AG624">
        <v>24</v>
      </c>
      <c r="AH624">
        <v>16</v>
      </c>
      <c r="AI624">
        <v>17</v>
      </c>
      <c r="AJ624">
        <v>0</v>
      </c>
      <c r="AK624">
        <v>13</v>
      </c>
      <c r="AL624" t="s">
        <v>3701</v>
      </c>
      <c r="AM624" t="s">
        <v>3702</v>
      </c>
      <c r="AN624" t="s">
        <v>3703</v>
      </c>
      <c r="AO624" t="s">
        <v>11358</v>
      </c>
      <c r="AP624" t="s">
        <v>74</v>
      </c>
      <c r="AQ624" t="s">
        <v>74</v>
      </c>
      <c r="AR624" t="s">
        <v>11359</v>
      </c>
      <c r="AS624" t="s">
        <v>11360</v>
      </c>
      <c r="AT624" t="s">
        <v>10610</v>
      </c>
      <c r="AU624">
        <v>2010</v>
      </c>
      <c r="AV624">
        <v>34</v>
      </c>
      <c r="AW624">
        <v>9</v>
      </c>
      <c r="AX624" t="s">
        <v>74</v>
      </c>
      <c r="AY624" t="s">
        <v>74</v>
      </c>
      <c r="AZ624" t="s">
        <v>74</v>
      </c>
      <c r="BA624" t="s">
        <v>74</v>
      </c>
      <c r="BB624">
        <v>827</v>
      </c>
      <c r="BC624">
        <v>838</v>
      </c>
      <c r="BD624" t="s">
        <v>74</v>
      </c>
      <c r="BE624" t="s">
        <v>11361</v>
      </c>
      <c r="BF624" t="str">
        <f>HYPERLINK("http://dx.doi.org/10.1002/er.1595","http://dx.doi.org/10.1002/er.1595")</f>
        <v>http://dx.doi.org/10.1002/er.1595</v>
      </c>
      <c r="BG624" t="s">
        <v>74</v>
      </c>
      <c r="BH624" t="s">
        <v>74</v>
      </c>
      <c r="BI624">
        <v>12</v>
      </c>
      <c r="BJ624" t="s">
        <v>11362</v>
      </c>
      <c r="BK624" t="s">
        <v>100</v>
      </c>
      <c r="BL624" t="s">
        <v>11362</v>
      </c>
      <c r="BM624" t="s">
        <v>11363</v>
      </c>
      <c r="BN624" t="s">
        <v>74</v>
      </c>
      <c r="BO624" t="s">
        <v>10613</v>
      </c>
      <c r="BP624" t="s">
        <v>74</v>
      </c>
      <c r="BQ624" t="s">
        <v>74</v>
      </c>
      <c r="BR624" t="s">
        <v>104</v>
      </c>
      <c r="BS624" t="s">
        <v>11364</v>
      </c>
      <c r="BT624" t="str">
        <f>HYPERLINK("https%3A%2F%2Fwww.webofscience.com%2Fwos%2Fwoscc%2Ffull-record%2FWOS:000279971000007","View Full Record in Web of Science")</f>
        <v>View Full Record in Web of Science</v>
      </c>
    </row>
    <row r="625" spans="1:72" x14ac:dyDescent="0.15">
      <c r="A625" t="s">
        <v>72</v>
      </c>
      <c r="B625" t="s">
        <v>11365</v>
      </c>
      <c r="C625" t="s">
        <v>74</v>
      </c>
      <c r="D625" t="s">
        <v>74</v>
      </c>
      <c r="E625" t="s">
        <v>74</v>
      </c>
      <c r="F625" t="s">
        <v>11366</v>
      </c>
      <c r="G625" t="s">
        <v>74</v>
      </c>
      <c r="H625" t="s">
        <v>74</v>
      </c>
      <c r="I625" t="s">
        <v>11367</v>
      </c>
      <c r="J625" t="s">
        <v>6155</v>
      </c>
      <c r="K625" t="s">
        <v>74</v>
      </c>
      <c r="L625" t="s">
        <v>74</v>
      </c>
      <c r="M625" t="s">
        <v>78</v>
      </c>
      <c r="N625" t="s">
        <v>79</v>
      </c>
      <c r="O625" t="s">
        <v>74</v>
      </c>
      <c r="P625" t="s">
        <v>74</v>
      </c>
      <c r="Q625" t="s">
        <v>74</v>
      </c>
      <c r="R625" t="s">
        <v>74</v>
      </c>
      <c r="S625" t="s">
        <v>74</v>
      </c>
      <c r="T625" t="s">
        <v>74</v>
      </c>
      <c r="U625" t="s">
        <v>11368</v>
      </c>
      <c r="V625" t="s">
        <v>11369</v>
      </c>
      <c r="W625" t="s">
        <v>11370</v>
      </c>
      <c r="X625" t="s">
        <v>11371</v>
      </c>
      <c r="Y625" t="s">
        <v>11372</v>
      </c>
      <c r="Z625" t="s">
        <v>11373</v>
      </c>
      <c r="AA625" t="s">
        <v>11374</v>
      </c>
      <c r="AB625" t="s">
        <v>11375</v>
      </c>
      <c r="AC625" t="s">
        <v>11376</v>
      </c>
      <c r="AD625" t="s">
        <v>11377</v>
      </c>
      <c r="AE625" t="s">
        <v>11378</v>
      </c>
      <c r="AF625" t="s">
        <v>74</v>
      </c>
      <c r="AG625">
        <v>29</v>
      </c>
      <c r="AH625">
        <v>14</v>
      </c>
      <c r="AI625">
        <v>16</v>
      </c>
      <c r="AJ625">
        <v>0</v>
      </c>
      <c r="AK625">
        <v>23</v>
      </c>
      <c r="AL625" t="s">
        <v>923</v>
      </c>
      <c r="AM625" t="s">
        <v>339</v>
      </c>
      <c r="AN625" t="s">
        <v>340</v>
      </c>
      <c r="AO625" t="s">
        <v>6167</v>
      </c>
      <c r="AP625" t="s">
        <v>6168</v>
      </c>
      <c r="AQ625" t="s">
        <v>74</v>
      </c>
      <c r="AR625" t="s">
        <v>6169</v>
      </c>
      <c r="AS625" t="s">
        <v>6170</v>
      </c>
      <c r="AT625" t="s">
        <v>10610</v>
      </c>
      <c r="AU625">
        <v>2010</v>
      </c>
      <c r="AV625">
        <v>41</v>
      </c>
      <c r="AW625">
        <v>4</v>
      </c>
      <c r="AX625" t="s">
        <v>74</v>
      </c>
      <c r="AY625" t="s">
        <v>74</v>
      </c>
      <c r="AZ625" t="s">
        <v>74</v>
      </c>
      <c r="BA625" t="s">
        <v>74</v>
      </c>
      <c r="BB625">
        <v>460</v>
      </c>
      <c r="BC625">
        <v>469</v>
      </c>
      <c r="BD625" t="s">
        <v>74</v>
      </c>
      <c r="BE625" t="s">
        <v>11379</v>
      </c>
      <c r="BF625" t="str">
        <f>HYPERLINK("http://dx.doi.org/10.1111/j.1600-048X.2010.05029.x","http://dx.doi.org/10.1111/j.1600-048X.2010.05029.x")</f>
        <v>http://dx.doi.org/10.1111/j.1600-048X.2010.05029.x</v>
      </c>
      <c r="BG625" t="s">
        <v>74</v>
      </c>
      <c r="BH625" t="s">
        <v>74</v>
      </c>
      <c r="BI625">
        <v>10</v>
      </c>
      <c r="BJ625" t="s">
        <v>491</v>
      </c>
      <c r="BK625" t="s">
        <v>100</v>
      </c>
      <c r="BL625" t="s">
        <v>492</v>
      </c>
      <c r="BM625" t="s">
        <v>11380</v>
      </c>
      <c r="BN625" t="s">
        <v>74</v>
      </c>
      <c r="BO625" t="s">
        <v>74</v>
      </c>
      <c r="BP625" t="s">
        <v>74</v>
      </c>
      <c r="BQ625" t="s">
        <v>74</v>
      </c>
      <c r="BR625" t="s">
        <v>104</v>
      </c>
      <c r="BS625" t="s">
        <v>11381</v>
      </c>
      <c r="BT625" t="str">
        <f>HYPERLINK("https%3A%2F%2Fwww.webofscience.com%2Fwos%2Fwoscc%2Ffull-record%2FWOS:000279733000012","View Full Record in Web of Science")</f>
        <v>View Full Record in Web of Science</v>
      </c>
    </row>
    <row r="626" spans="1:72" x14ac:dyDescent="0.15">
      <c r="A626" t="s">
        <v>72</v>
      </c>
      <c r="B626" t="s">
        <v>11382</v>
      </c>
      <c r="C626" t="s">
        <v>74</v>
      </c>
      <c r="D626" t="s">
        <v>74</v>
      </c>
      <c r="E626" t="s">
        <v>74</v>
      </c>
      <c r="F626" t="s">
        <v>11383</v>
      </c>
      <c r="G626" t="s">
        <v>74</v>
      </c>
      <c r="H626" t="s">
        <v>74</v>
      </c>
      <c r="I626" t="s">
        <v>11384</v>
      </c>
      <c r="J626" t="s">
        <v>6177</v>
      </c>
      <c r="K626" t="s">
        <v>74</v>
      </c>
      <c r="L626" t="s">
        <v>74</v>
      </c>
      <c r="M626" t="s">
        <v>78</v>
      </c>
      <c r="N626" t="s">
        <v>79</v>
      </c>
      <c r="O626" t="s">
        <v>74</v>
      </c>
      <c r="P626" t="s">
        <v>74</v>
      </c>
      <c r="Q626" t="s">
        <v>74</v>
      </c>
      <c r="R626" t="s">
        <v>74</v>
      </c>
      <c r="S626" t="s">
        <v>74</v>
      </c>
      <c r="T626" t="s">
        <v>11385</v>
      </c>
      <c r="U626" t="s">
        <v>11386</v>
      </c>
      <c r="V626" t="s">
        <v>11387</v>
      </c>
      <c r="W626" t="s">
        <v>11388</v>
      </c>
      <c r="X626" t="s">
        <v>11389</v>
      </c>
      <c r="Y626" t="s">
        <v>11390</v>
      </c>
      <c r="Z626" t="s">
        <v>11391</v>
      </c>
      <c r="AA626" t="s">
        <v>74</v>
      </c>
      <c r="AB626" t="s">
        <v>11392</v>
      </c>
      <c r="AC626" t="s">
        <v>11355</v>
      </c>
      <c r="AD626" t="s">
        <v>11356</v>
      </c>
      <c r="AE626" t="s">
        <v>11393</v>
      </c>
      <c r="AF626" t="s">
        <v>74</v>
      </c>
      <c r="AG626">
        <v>100</v>
      </c>
      <c r="AH626">
        <v>25</v>
      </c>
      <c r="AI626">
        <v>29</v>
      </c>
      <c r="AJ626">
        <v>0</v>
      </c>
      <c r="AK626">
        <v>25</v>
      </c>
      <c r="AL626" t="s">
        <v>923</v>
      </c>
      <c r="AM626" t="s">
        <v>339</v>
      </c>
      <c r="AN626" t="s">
        <v>340</v>
      </c>
      <c r="AO626" t="s">
        <v>6186</v>
      </c>
      <c r="AP626" t="s">
        <v>11394</v>
      </c>
      <c r="AQ626" t="s">
        <v>74</v>
      </c>
      <c r="AR626" t="s">
        <v>6187</v>
      </c>
      <c r="AS626" t="s">
        <v>6188</v>
      </c>
      <c r="AT626" t="s">
        <v>10610</v>
      </c>
      <c r="AU626">
        <v>2010</v>
      </c>
      <c r="AV626">
        <v>37</v>
      </c>
      <c r="AW626">
        <v>7</v>
      </c>
      <c r="AX626" t="s">
        <v>74</v>
      </c>
      <c r="AY626" t="s">
        <v>74</v>
      </c>
      <c r="AZ626" t="s">
        <v>74</v>
      </c>
      <c r="BA626" t="s">
        <v>74</v>
      </c>
      <c r="BB626">
        <v>1202</v>
      </c>
      <c r="BC626">
        <v>1213</v>
      </c>
      <c r="BD626" t="s">
        <v>74</v>
      </c>
      <c r="BE626" t="s">
        <v>11395</v>
      </c>
      <c r="BF626" t="str">
        <f>HYPERLINK("http://dx.doi.org/10.1111/j.1365-2699.2010.02279.x","http://dx.doi.org/10.1111/j.1365-2699.2010.02279.x")</f>
        <v>http://dx.doi.org/10.1111/j.1365-2699.2010.02279.x</v>
      </c>
      <c r="BG626" t="s">
        <v>74</v>
      </c>
      <c r="BH626" t="s">
        <v>74</v>
      </c>
      <c r="BI626">
        <v>12</v>
      </c>
      <c r="BJ626" t="s">
        <v>6190</v>
      </c>
      <c r="BK626" t="s">
        <v>100</v>
      </c>
      <c r="BL626" t="s">
        <v>101</v>
      </c>
      <c r="BM626" t="s">
        <v>11396</v>
      </c>
      <c r="BN626" t="s">
        <v>74</v>
      </c>
      <c r="BO626" t="s">
        <v>74</v>
      </c>
      <c r="BP626" t="s">
        <v>74</v>
      </c>
      <c r="BQ626" t="s">
        <v>74</v>
      </c>
      <c r="BR626" t="s">
        <v>104</v>
      </c>
      <c r="BS626" t="s">
        <v>11397</v>
      </c>
      <c r="BT626" t="str">
        <f>HYPERLINK("https%3A%2F%2Fwww.webofscience.com%2Fwos%2Fwoscc%2Ffull-record%2FWOS:000278923500004","View Full Record in Web of Science")</f>
        <v>View Full Record in Web of Science</v>
      </c>
    </row>
    <row r="627" spans="1:72" x14ac:dyDescent="0.15">
      <c r="A627" t="s">
        <v>72</v>
      </c>
      <c r="B627" t="s">
        <v>11398</v>
      </c>
      <c r="C627" t="s">
        <v>74</v>
      </c>
      <c r="D627" t="s">
        <v>74</v>
      </c>
      <c r="E627" t="s">
        <v>74</v>
      </c>
      <c r="F627" t="s">
        <v>11399</v>
      </c>
      <c r="G627" t="s">
        <v>74</v>
      </c>
      <c r="H627" t="s">
        <v>74</v>
      </c>
      <c r="I627" t="s">
        <v>11400</v>
      </c>
      <c r="J627" t="s">
        <v>3420</v>
      </c>
      <c r="K627" t="s">
        <v>74</v>
      </c>
      <c r="L627" t="s">
        <v>74</v>
      </c>
      <c r="M627" t="s">
        <v>78</v>
      </c>
      <c r="N627" t="s">
        <v>79</v>
      </c>
      <c r="O627" t="s">
        <v>74</v>
      </c>
      <c r="P627" t="s">
        <v>74</v>
      </c>
      <c r="Q627" t="s">
        <v>74</v>
      </c>
      <c r="R627" t="s">
        <v>74</v>
      </c>
      <c r="S627" t="s">
        <v>74</v>
      </c>
      <c r="T627" t="s">
        <v>74</v>
      </c>
      <c r="U627" t="s">
        <v>11401</v>
      </c>
      <c r="V627" t="s">
        <v>11402</v>
      </c>
      <c r="W627" t="s">
        <v>11403</v>
      </c>
      <c r="X627" t="s">
        <v>11404</v>
      </c>
      <c r="Y627" t="s">
        <v>11405</v>
      </c>
      <c r="Z627" t="s">
        <v>11406</v>
      </c>
      <c r="AA627" t="s">
        <v>11407</v>
      </c>
      <c r="AB627" t="s">
        <v>11408</v>
      </c>
      <c r="AC627" t="s">
        <v>11409</v>
      </c>
      <c r="AD627" t="s">
        <v>11410</v>
      </c>
      <c r="AE627" t="s">
        <v>11411</v>
      </c>
      <c r="AF627" t="s">
        <v>74</v>
      </c>
      <c r="AG627">
        <v>78</v>
      </c>
      <c r="AH627">
        <v>79</v>
      </c>
      <c r="AI627">
        <v>95</v>
      </c>
      <c r="AJ627">
        <v>2</v>
      </c>
      <c r="AK627">
        <v>29</v>
      </c>
      <c r="AL627" t="s">
        <v>3432</v>
      </c>
      <c r="AM627" t="s">
        <v>3433</v>
      </c>
      <c r="AN627" t="s">
        <v>3434</v>
      </c>
      <c r="AO627" t="s">
        <v>3435</v>
      </c>
      <c r="AP627" t="s">
        <v>3436</v>
      </c>
      <c r="AQ627" t="s">
        <v>74</v>
      </c>
      <c r="AR627" t="s">
        <v>3437</v>
      </c>
      <c r="AS627" t="s">
        <v>3438</v>
      </c>
      <c r="AT627" t="s">
        <v>10610</v>
      </c>
      <c r="AU627">
        <v>2010</v>
      </c>
      <c r="AV627">
        <v>23</v>
      </c>
      <c r="AW627">
        <v>13</v>
      </c>
      <c r="AX627" t="s">
        <v>74</v>
      </c>
      <c r="AY627" t="s">
        <v>74</v>
      </c>
      <c r="AZ627" t="s">
        <v>74</v>
      </c>
      <c r="BA627" t="s">
        <v>74</v>
      </c>
      <c r="BB627">
        <v>3577</v>
      </c>
      <c r="BC627">
        <v>3598</v>
      </c>
      <c r="BD627" t="s">
        <v>74</v>
      </c>
      <c r="BE627" t="s">
        <v>11412</v>
      </c>
      <c r="BF627" t="str">
        <f>HYPERLINK("http://dx.doi.org/10.1175/2010JCLI3382.1","http://dx.doi.org/10.1175/2010JCLI3382.1")</f>
        <v>http://dx.doi.org/10.1175/2010JCLI3382.1</v>
      </c>
      <c r="BG627" t="s">
        <v>74</v>
      </c>
      <c r="BH627" t="s">
        <v>74</v>
      </c>
      <c r="BI627">
        <v>22</v>
      </c>
      <c r="BJ627" t="s">
        <v>319</v>
      </c>
      <c r="BK627" t="s">
        <v>100</v>
      </c>
      <c r="BL627" t="s">
        <v>319</v>
      </c>
      <c r="BM627" t="s">
        <v>11413</v>
      </c>
      <c r="BN627" t="s">
        <v>74</v>
      </c>
      <c r="BO627" t="s">
        <v>394</v>
      </c>
      <c r="BP627" t="s">
        <v>74</v>
      </c>
      <c r="BQ627" t="s">
        <v>74</v>
      </c>
      <c r="BR627" t="s">
        <v>104</v>
      </c>
      <c r="BS627" t="s">
        <v>11414</v>
      </c>
      <c r="BT627" t="str">
        <f>HYPERLINK("https%3A%2F%2Fwww.webofscience.com%2Fwos%2Fwoscc%2Ffull-record%2FWOS:000280101500010","View Full Record in Web of Science")</f>
        <v>View Full Record in Web of Science</v>
      </c>
    </row>
    <row r="628" spans="1:72" x14ac:dyDescent="0.15">
      <c r="A628" t="s">
        <v>72</v>
      </c>
      <c r="B628" t="s">
        <v>11415</v>
      </c>
      <c r="C628" t="s">
        <v>74</v>
      </c>
      <c r="D628" t="s">
        <v>74</v>
      </c>
      <c r="E628" t="s">
        <v>74</v>
      </c>
      <c r="F628" t="s">
        <v>11416</v>
      </c>
      <c r="G628" t="s">
        <v>74</v>
      </c>
      <c r="H628" t="s">
        <v>74</v>
      </c>
      <c r="I628" t="s">
        <v>11417</v>
      </c>
      <c r="J628" t="s">
        <v>762</v>
      </c>
      <c r="K628" t="s">
        <v>74</v>
      </c>
      <c r="L628" t="s">
        <v>74</v>
      </c>
      <c r="M628" t="s">
        <v>78</v>
      </c>
      <c r="N628" t="s">
        <v>79</v>
      </c>
      <c r="O628" t="s">
        <v>74</v>
      </c>
      <c r="P628" t="s">
        <v>74</v>
      </c>
      <c r="Q628" t="s">
        <v>74</v>
      </c>
      <c r="R628" t="s">
        <v>74</v>
      </c>
      <c r="S628" t="s">
        <v>74</v>
      </c>
      <c r="T628" t="s">
        <v>11418</v>
      </c>
      <c r="U628" t="s">
        <v>11419</v>
      </c>
      <c r="V628" t="s">
        <v>11420</v>
      </c>
      <c r="W628" t="s">
        <v>11421</v>
      </c>
      <c r="X628" t="s">
        <v>11422</v>
      </c>
      <c r="Y628" t="s">
        <v>11423</v>
      </c>
      <c r="Z628" t="s">
        <v>11424</v>
      </c>
      <c r="AA628" t="s">
        <v>11425</v>
      </c>
      <c r="AB628" t="s">
        <v>11426</v>
      </c>
      <c r="AC628" t="s">
        <v>11427</v>
      </c>
      <c r="AD628" t="s">
        <v>11428</v>
      </c>
      <c r="AE628" t="s">
        <v>11429</v>
      </c>
      <c r="AF628" t="s">
        <v>74</v>
      </c>
      <c r="AG628">
        <v>44</v>
      </c>
      <c r="AH628">
        <v>95</v>
      </c>
      <c r="AI628">
        <v>100</v>
      </c>
      <c r="AJ628">
        <v>1</v>
      </c>
      <c r="AK628">
        <v>89</v>
      </c>
      <c r="AL628" t="s">
        <v>775</v>
      </c>
      <c r="AM628" t="s">
        <v>412</v>
      </c>
      <c r="AN628" t="s">
        <v>776</v>
      </c>
      <c r="AO628" t="s">
        <v>777</v>
      </c>
      <c r="AP628" t="s">
        <v>778</v>
      </c>
      <c r="AQ628" t="s">
        <v>74</v>
      </c>
      <c r="AR628" t="s">
        <v>779</v>
      </c>
      <c r="AS628" t="s">
        <v>780</v>
      </c>
      <c r="AT628" t="s">
        <v>10853</v>
      </c>
      <c r="AU628">
        <v>2010</v>
      </c>
      <c r="AV628">
        <v>213</v>
      </c>
      <c r="AW628">
        <v>13</v>
      </c>
      <c r="AX628" t="s">
        <v>74</v>
      </c>
      <c r="AY628" t="s">
        <v>74</v>
      </c>
      <c r="AZ628" t="s">
        <v>74</v>
      </c>
      <c r="BA628" t="s">
        <v>74</v>
      </c>
      <c r="BB628">
        <v>2209</v>
      </c>
      <c r="BC628">
        <v>2218</v>
      </c>
      <c r="BD628" t="s">
        <v>74</v>
      </c>
      <c r="BE628" t="s">
        <v>11430</v>
      </c>
      <c r="BF628" t="str">
        <f>HYPERLINK("http://dx.doi.org/10.1242/jeb.040170","http://dx.doi.org/10.1242/jeb.040170")</f>
        <v>http://dx.doi.org/10.1242/jeb.040170</v>
      </c>
      <c r="BG628" t="s">
        <v>74</v>
      </c>
      <c r="BH628" t="s">
        <v>74</v>
      </c>
      <c r="BI628">
        <v>10</v>
      </c>
      <c r="BJ628" t="s">
        <v>346</v>
      </c>
      <c r="BK628" t="s">
        <v>100</v>
      </c>
      <c r="BL628" t="s">
        <v>347</v>
      </c>
      <c r="BM628" t="s">
        <v>11431</v>
      </c>
      <c r="BN628">
        <v>20543119</v>
      </c>
      <c r="BO628" t="s">
        <v>394</v>
      </c>
      <c r="BP628" t="s">
        <v>74</v>
      </c>
      <c r="BQ628" t="s">
        <v>74</v>
      </c>
      <c r="BR628" t="s">
        <v>104</v>
      </c>
      <c r="BS628" t="s">
        <v>11432</v>
      </c>
      <c r="BT628" t="str">
        <f>HYPERLINK("https%3A%2F%2Fwww.webofscience.com%2Fwos%2Fwoscc%2Ffull-record%2FWOS:000278671900013","View Full Record in Web of Science")</f>
        <v>View Full Record in Web of Science</v>
      </c>
    </row>
    <row r="629" spans="1:72" x14ac:dyDescent="0.15">
      <c r="A629" t="s">
        <v>72</v>
      </c>
      <c r="B629" t="s">
        <v>11433</v>
      </c>
      <c r="C629" t="s">
        <v>74</v>
      </c>
      <c r="D629" t="s">
        <v>74</v>
      </c>
      <c r="E629" t="s">
        <v>74</v>
      </c>
      <c r="F629" t="s">
        <v>11434</v>
      </c>
      <c r="G629" t="s">
        <v>74</v>
      </c>
      <c r="H629" t="s">
        <v>74</v>
      </c>
      <c r="I629" t="s">
        <v>11435</v>
      </c>
      <c r="J629" t="s">
        <v>11436</v>
      </c>
      <c r="K629" t="s">
        <v>74</v>
      </c>
      <c r="L629" t="s">
        <v>74</v>
      </c>
      <c r="M629" t="s">
        <v>78</v>
      </c>
      <c r="N629" t="s">
        <v>79</v>
      </c>
      <c r="O629" t="s">
        <v>74</v>
      </c>
      <c r="P629" t="s">
        <v>74</v>
      </c>
      <c r="Q629" t="s">
        <v>74</v>
      </c>
      <c r="R629" t="s">
        <v>74</v>
      </c>
      <c r="S629" t="s">
        <v>74</v>
      </c>
      <c r="T629" t="s">
        <v>11437</v>
      </c>
      <c r="U629" t="s">
        <v>11438</v>
      </c>
      <c r="V629" t="s">
        <v>11439</v>
      </c>
      <c r="W629" t="s">
        <v>11440</v>
      </c>
      <c r="X629" t="s">
        <v>11441</v>
      </c>
      <c r="Y629" t="s">
        <v>11442</v>
      </c>
      <c r="Z629" t="s">
        <v>11443</v>
      </c>
      <c r="AA629" t="s">
        <v>11444</v>
      </c>
      <c r="AB629" t="s">
        <v>11445</v>
      </c>
      <c r="AC629" t="s">
        <v>11446</v>
      </c>
      <c r="AD629" t="s">
        <v>11447</v>
      </c>
      <c r="AE629" t="s">
        <v>11448</v>
      </c>
      <c r="AF629" t="s">
        <v>74</v>
      </c>
      <c r="AG629">
        <v>74</v>
      </c>
      <c r="AH629">
        <v>6</v>
      </c>
      <c r="AI629">
        <v>6</v>
      </c>
      <c r="AJ629">
        <v>0</v>
      </c>
      <c r="AK629">
        <v>7</v>
      </c>
      <c r="AL629" t="s">
        <v>264</v>
      </c>
      <c r="AM629" t="s">
        <v>265</v>
      </c>
      <c r="AN629" t="s">
        <v>266</v>
      </c>
      <c r="AO629" t="s">
        <v>11449</v>
      </c>
      <c r="AP629" t="s">
        <v>74</v>
      </c>
      <c r="AQ629" t="s">
        <v>74</v>
      </c>
      <c r="AR629" t="s">
        <v>11450</v>
      </c>
      <c r="AS629" t="s">
        <v>11451</v>
      </c>
      <c r="AT629" t="s">
        <v>10610</v>
      </c>
      <c r="AU629">
        <v>2010</v>
      </c>
      <c r="AV629">
        <v>50</v>
      </c>
      <c r="AW629">
        <v>1</v>
      </c>
      <c r="AX629" t="s">
        <v>74</v>
      </c>
      <c r="AY629" t="s">
        <v>74</v>
      </c>
      <c r="AZ629" t="s">
        <v>11452</v>
      </c>
      <c r="BA629" t="s">
        <v>74</v>
      </c>
      <c r="BB629">
        <v>2</v>
      </c>
      <c r="BC629">
        <v>7</v>
      </c>
      <c r="BD629" t="s">
        <v>74</v>
      </c>
      <c r="BE629" t="s">
        <v>11453</v>
      </c>
      <c r="BF629" t="str">
        <f>HYPERLINK("http://dx.doi.org/10.1016/j.jog.2010.01.014","http://dx.doi.org/10.1016/j.jog.2010.01.014")</f>
        <v>http://dx.doi.org/10.1016/j.jog.2010.01.014</v>
      </c>
      <c r="BG629" t="s">
        <v>74</v>
      </c>
      <c r="BH629" t="s">
        <v>74</v>
      </c>
      <c r="BI629">
        <v>6</v>
      </c>
      <c r="BJ629" t="s">
        <v>558</v>
      </c>
      <c r="BK629" t="s">
        <v>100</v>
      </c>
      <c r="BL629" t="s">
        <v>558</v>
      </c>
      <c r="BM629" t="s">
        <v>11454</v>
      </c>
      <c r="BN629" t="s">
        <v>74</v>
      </c>
      <c r="BO629" t="s">
        <v>74</v>
      </c>
      <c r="BP629" t="s">
        <v>74</v>
      </c>
      <c r="BQ629" t="s">
        <v>74</v>
      </c>
      <c r="BR629" t="s">
        <v>104</v>
      </c>
      <c r="BS629" t="s">
        <v>11455</v>
      </c>
      <c r="BT629" t="str">
        <f>HYPERLINK("https%3A%2F%2Fwww.webofscience.com%2Fwos%2Fwoscc%2Ffull-record%2FWOS:000278287400002","View Full Record in Web of Science")</f>
        <v>View Full Record in Web of Science</v>
      </c>
    </row>
    <row r="630" spans="1:72" x14ac:dyDescent="0.15">
      <c r="A630" t="s">
        <v>72</v>
      </c>
      <c r="B630" t="s">
        <v>11456</v>
      </c>
      <c r="C630" t="s">
        <v>74</v>
      </c>
      <c r="D630" t="s">
        <v>74</v>
      </c>
      <c r="E630" t="s">
        <v>74</v>
      </c>
      <c r="F630" t="s">
        <v>11457</v>
      </c>
      <c r="G630" t="s">
        <v>74</v>
      </c>
      <c r="H630" t="s">
        <v>74</v>
      </c>
      <c r="I630" t="s">
        <v>11458</v>
      </c>
      <c r="J630" t="s">
        <v>3631</v>
      </c>
      <c r="K630" t="s">
        <v>74</v>
      </c>
      <c r="L630" t="s">
        <v>74</v>
      </c>
      <c r="M630" t="s">
        <v>78</v>
      </c>
      <c r="N630" t="s">
        <v>79</v>
      </c>
      <c r="O630" t="s">
        <v>74</v>
      </c>
      <c r="P630" t="s">
        <v>74</v>
      </c>
      <c r="Q630" t="s">
        <v>74</v>
      </c>
      <c r="R630" t="s">
        <v>74</v>
      </c>
      <c r="S630" t="s">
        <v>74</v>
      </c>
      <c r="T630" t="s">
        <v>74</v>
      </c>
      <c r="U630" t="s">
        <v>11459</v>
      </c>
      <c r="V630" t="s">
        <v>11460</v>
      </c>
      <c r="W630" t="s">
        <v>11461</v>
      </c>
      <c r="X630" t="s">
        <v>11462</v>
      </c>
      <c r="Y630" t="s">
        <v>11463</v>
      </c>
      <c r="Z630" t="s">
        <v>11464</v>
      </c>
      <c r="AA630" t="s">
        <v>11465</v>
      </c>
      <c r="AB630" t="s">
        <v>11466</v>
      </c>
      <c r="AC630" t="s">
        <v>11467</v>
      </c>
      <c r="AD630" t="s">
        <v>11468</v>
      </c>
      <c r="AE630" t="s">
        <v>11469</v>
      </c>
      <c r="AF630" t="s">
        <v>74</v>
      </c>
      <c r="AG630">
        <v>67</v>
      </c>
      <c r="AH630">
        <v>185</v>
      </c>
      <c r="AI630">
        <v>202</v>
      </c>
      <c r="AJ630">
        <v>3</v>
      </c>
      <c r="AK630">
        <v>43</v>
      </c>
      <c r="AL630" t="s">
        <v>3432</v>
      </c>
      <c r="AM630" t="s">
        <v>3433</v>
      </c>
      <c r="AN630" t="s">
        <v>3434</v>
      </c>
      <c r="AO630" t="s">
        <v>3640</v>
      </c>
      <c r="AP630" t="s">
        <v>6350</v>
      </c>
      <c r="AQ630" t="s">
        <v>74</v>
      </c>
      <c r="AR630" t="s">
        <v>3641</v>
      </c>
      <c r="AS630" t="s">
        <v>3642</v>
      </c>
      <c r="AT630" t="s">
        <v>10610</v>
      </c>
      <c r="AU630">
        <v>2010</v>
      </c>
      <c r="AV630">
        <v>40</v>
      </c>
      <c r="AW630">
        <v>7</v>
      </c>
      <c r="AX630" t="s">
        <v>74</v>
      </c>
      <c r="AY630" t="s">
        <v>74</v>
      </c>
      <c r="AZ630" t="s">
        <v>74</v>
      </c>
      <c r="BA630" t="s">
        <v>74</v>
      </c>
      <c r="BB630">
        <v>1501</v>
      </c>
      <c r="BC630">
        <v>1519</v>
      </c>
      <c r="BD630" t="s">
        <v>74</v>
      </c>
      <c r="BE630" t="s">
        <v>11470</v>
      </c>
      <c r="BF630" t="str">
        <f>HYPERLINK("http://dx.doi.org/10.1175/2010JPO4278.1","http://dx.doi.org/10.1175/2010JPO4278.1")</f>
        <v>http://dx.doi.org/10.1175/2010JPO4278.1</v>
      </c>
      <c r="BG630" t="s">
        <v>74</v>
      </c>
      <c r="BH630" t="s">
        <v>74</v>
      </c>
      <c r="BI630">
        <v>19</v>
      </c>
      <c r="BJ630" t="s">
        <v>1531</v>
      </c>
      <c r="BK630" t="s">
        <v>100</v>
      </c>
      <c r="BL630" t="s">
        <v>1531</v>
      </c>
      <c r="BM630" t="s">
        <v>11471</v>
      </c>
      <c r="BN630" t="s">
        <v>74</v>
      </c>
      <c r="BO630" t="s">
        <v>123</v>
      </c>
      <c r="BP630" t="s">
        <v>74</v>
      </c>
      <c r="BQ630" t="s">
        <v>74</v>
      </c>
      <c r="BR630" t="s">
        <v>104</v>
      </c>
      <c r="BS630" t="s">
        <v>11472</v>
      </c>
      <c r="BT630" t="str">
        <f>HYPERLINK("https%3A%2F%2Fwww.webofscience.com%2Fwos%2Fwoscc%2Ffull-record%2FWOS:000280899300005","View Full Record in Web of Science")</f>
        <v>View Full Record in Web of Science</v>
      </c>
    </row>
    <row r="631" spans="1:72" x14ac:dyDescent="0.15">
      <c r="A631" t="s">
        <v>72</v>
      </c>
      <c r="B631" t="s">
        <v>11473</v>
      </c>
      <c r="C631" t="s">
        <v>74</v>
      </c>
      <c r="D631" t="s">
        <v>74</v>
      </c>
      <c r="E631" t="s">
        <v>74</v>
      </c>
      <c r="F631" t="s">
        <v>11474</v>
      </c>
      <c r="G631" t="s">
        <v>74</v>
      </c>
      <c r="H631" t="s">
        <v>74</v>
      </c>
      <c r="I631" t="s">
        <v>11475</v>
      </c>
      <c r="J631" t="s">
        <v>3631</v>
      </c>
      <c r="K631" t="s">
        <v>74</v>
      </c>
      <c r="L631" t="s">
        <v>74</v>
      </c>
      <c r="M631" t="s">
        <v>78</v>
      </c>
      <c r="N631" t="s">
        <v>79</v>
      </c>
      <c r="O631" t="s">
        <v>74</v>
      </c>
      <c r="P631" t="s">
        <v>74</v>
      </c>
      <c r="Q631" t="s">
        <v>74</v>
      </c>
      <c r="R631" t="s">
        <v>74</v>
      </c>
      <c r="S631" t="s">
        <v>74</v>
      </c>
      <c r="T631" t="s">
        <v>74</v>
      </c>
      <c r="U631" t="s">
        <v>11476</v>
      </c>
      <c r="V631" t="s">
        <v>11477</v>
      </c>
      <c r="W631" t="s">
        <v>11478</v>
      </c>
      <c r="X631" t="s">
        <v>11479</v>
      </c>
      <c r="Y631" t="s">
        <v>11480</v>
      </c>
      <c r="Z631" t="s">
        <v>11481</v>
      </c>
      <c r="AA631" t="s">
        <v>74</v>
      </c>
      <c r="AB631" t="s">
        <v>11482</v>
      </c>
      <c r="AC631" t="s">
        <v>11483</v>
      </c>
      <c r="AD631" t="s">
        <v>11484</v>
      </c>
      <c r="AE631" t="s">
        <v>11485</v>
      </c>
      <c r="AF631" t="s">
        <v>74</v>
      </c>
      <c r="AG631">
        <v>47</v>
      </c>
      <c r="AH631">
        <v>84</v>
      </c>
      <c r="AI631">
        <v>98</v>
      </c>
      <c r="AJ631">
        <v>0</v>
      </c>
      <c r="AK631">
        <v>16</v>
      </c>
      <c r="AL631" t="s">
        <v>3432</v>
      </c>
      <c r="AM631" t="s">
        <v>3433</v>
      </c>
      <c r="AN631" t="s">
        <v>3434</v>
      </c>
      <c r="AO631" t="s">
        <v>3640</v>
      </c>
      <c r="AP631" t="s">
        <v>74</v>
      </c>
      <c r="AQ631" t="s">
        <v>74</v>
      </c>
      <c r="AR631" t="s">
        <v>3641</v>
      </c>
      <c r="AS631" t="s">
        <v>3642</v>
      </c>
      <c r="AT631" t="s">
        <v>10610</v>
      </c>
      <c r="AU631">
        <v>2010</v>
      </c>
      <c r="AV631">
        <v>40</v>
      </c>
      <c r="AW631">
        <v>7</v>
      </c>
      <c r="AX631" t="s">
        <v>74</v>
      </c>
      <c r="AY631" t="s">
        <v>74</v>
      </c>
      <c r="AZ631" t="s">
        <v>74</v>
      </c>
      <c r="BA631" t="s">
        <v>74</v>
      </c>
      <c r="BB631">
        <v>1520</v>
      </c>
      <c r="BC631">
        <v>1538</v>
      </c>
      <c r="BD631" t="s">
        <v>74</v>
      </c>
      <c r="BE631" t="s">
        <v>11486</v>
      </c>
      <c r="BF631" t="str">
        <f>HYPERLINK("http://dx.doi.org/10.1175/2010JPO4393.1","http://dx.doi.org/10.1175/2010JPO4393.1")</f>
        <v>http://dx.doi.org/10.1175/2010JPO4393.1</v>
      </c>
      <c r="BG631" t="s">
        <v>74</v>
      </c>
      <c r="BH631" t="s">
        <v>74</v>
      </c>
      <c r="BI631">
        <v>19</v>
      </c>
      <c r="BJ631" t="s">
        <v>1531</v>
      </c>
      <c r="BK631" t="s">
        <v>100</v>
      </c>
      <c r="BL631" t="s">
        <v>1531</v>
      </c>
      <c r="BM631" t="s">
        <v>11471</v>
      </c>
      <c r="BN631" t="s">
        <v>74</v>
      </c>
      <c r="BO631" t="s">
        <v>134</v>
      </c>
      <c r="BP631" t="s">
        <v>74</v>
      </c>
      <c r="BQ631" t="s">
        <v>74</v>
      </c>
      <c r="BR631" t="s">
        <v>104</v>
      </c>
      <c r="BS631" t="s">
        <v>11487</v>
      </c>
      <c r="BT631" t="str">
        <f>HYPERLINK("https%3A%2F%2Fwww.webofscience.com%2Fwos%2Fwoscc%2Ffull-record%2FWOS:000280899300006","View Full Record in Web of Science")</f>
        <v>View Full Record in Web of Science</v>
      </c>
    </row>
    <row r="632" spans="1:72" x14ac:dyDescent="0.15">
      <c r="A632" t="s">
        <v>72</v>
      </c>
      <c r="B632" t="s">
        <v>11488</v>
      </c>
      <c r="C632" t="s">
        <v>74</v>
      </c>
      <c r="D632" t="s">
        <v>74</v>
      </c>
      <c r="E632" t="s">
        <v>74</v>
      </c>
      <c r="F632" t="s">
        <v>11489</v>
      </c>
      <c r="G632" t="s">
        <v>74</v>
      </c>
      <c r="H632" t="s">
        <v>74</v>
      </c>
      <c r="I632" t="s">
        <v>11490</v>
      </c>
      <c r="J632" t="s">
        <v>3631</v>
      </c>
      <c r="K632" t="s">
        <v>74</v>
      </c>
      <c r="L632" t="s">
        <v>74</v>
      </c>
      <c r="M632" t="s">
        <v>78</v>
      </c>
      <c r="N632" t="s">
        <v>79</v>
      </c>
      <c r="O632" t="s">
        <v>74</v>
      </c>
      <c r="P632" t="s">
        <v>74</v>
      </c>
      <c r="Q632" t="s">
        <v>74</v>
      </c>
      <c r="R632" t="s">
        <v>74</v>
      </c>
      <c r="S632" t="s">
        <v>74</v>
      </c>
      <c r="T632" t="s">
        <v>74</v>
      </c>
      <c r="U632" t="s">
        <v>11491</v>
      </c>
      <c r="V632" t="s">
        <v>11492</v>
      </c>
      <c r="W632" t="s">
        <v>11493</v>
      </c>
      <c r="X632" t="s">
        <v>11494</v>
      </c>
      <c r="Y632" t="s">
        <v>11495</v>
      </c>
      <c r="Z632" t="s">
        <v>11496</v>
      </c>
      <c r="AA632" t="s">
        <v>11497</v>
      </c>
      <c r="AB632" t="s">
        <v>11498</v>
      </c>
      <c r="AC632" t="s">
        <v>74</v>
      </c>
      <c r="AD632" t="s">
        <v>74</v>
      </c>
      <c r="AE632" t="s">
        <v>74</v>
      </c>
      <c r="AF632" t="s">
        <v>74</v>
      </c>
      <c r="AG632">
        <v>53</v>
      </c>
      <c r="AH632">
        <v>171</v>
      </c>
      <c r="AI632">
        <v>192</v>
      </c>
      <c r="AJ632">
        <v>0</v>
      </c>
      <c r="AK632">
        <v>40</v>
      </c>
      <c r="AL632" t="s">
        <v>3432</v>
      </c>
      <c r="AM632" t="s">
        <v>3433</v>
      </c>
      <c r="AN632" t="s">
        <v>3434</v>
      </c>
      <c r="AO632" t="s">
        <v>3640</v>
      </c>
      <c r="AP632" t="s">
        <v>6350</v>
      </c>
      <c r="AQ632" t="s">
        <v>74</v>
      </c>
      <c r="AR632" t="s">
        <v>3641</v>
      </c>
      <c r="AS632" t="s">
        <v>3642</v>
      </c>
      <c r="AT632" t="s">
        <v>10610</v>
      </c>
      <c r="AU632">
        <v>2010</v>
      </c>
      <c r="AV632">
        <v>40</v>
      </c>
      <c r="AW632">
        <v>7</v>
      </c>
      <c r="AX632" t="s">
        <v>74</v>
      </c>
      <c r="AY632" t="s">
        <v>74</v>
      </c>
      <c r="AZ632" t="s">
        <v>74</v>
      </c>
      <c r="BA632" t="s">
        <v>74</v>
      </c>
      <c r="BB632">
        <v>1539</v>
      </c>
      <c r="BC632">
        <v>1557</v>
      </c>
      <c r="BD632" t="s">
        <v>74</v>
      </c>
      <c r="BE632" t="s">
        <v>11499</v>
      </c>
      <c r="BF632" t="str">
        <f>HYPERLINK("http://dx.doi.org/10.1175/2010JPO4353.1","http://dx.doi.org/10.1175/2010JPO4353.1")</f>
        <v>http://dx.doi.org/10.1175/2010JPO4353.1</v>
      </c>
      <c r="BG632" t="s">
        <v>74</v>
      </c>
      <c r="BH632" t="s">
        <v>74</v>
      </c>
      <c r="BI632">
        <v>19</v>
      </c>
      <c r="BJ632" t="s">
        <v>1531</v>
      </c>
      <c r="BK632" t="s">
        <v>100</v>
      </c>
      <c r="BL632" t="s">
        <v>1531</v>
      </c>
      <c r="BM632" t="s">
        <v>11471</v>
      </c>
      <c r="BN632" t="s">
        <v>74</v>
      </c>
      <c r="BO632" t="s">
        <v>394</v>
      </c>
      <c r="BP632" t="s">
        <v>74</v>
      </c>
      <c r="BQ632" t="s">
        <v>74</v>
      </c>
      <c r="BR632" t="s">
        <v>104</v>
      </c>
      <c r="BS632" t="s">
        <v>11500</v>
      </c>
      <c r="BT632" t="str">
        <f>HYPERLINK("https%3A%2F%2Fwww.webofscience.com%2Fwos%2Fwoscc%2Ffull-record%2FWOS:000280899300007","View Full Record in Web of Science")</f>
        <v>View Full Record in Web of Science</v>
      </c>
    </row>
    <row r="633" spans="1:72" x14ac:dyDescent="0.15">
      <c r="A633" t="s">
        <v>72</v>
      </c>
      <c r="B633" t="s">
        <v>11501</v>
      </c>
      <c r="C633" t="s">
        <v>74</v>
      </c>
      <c r="D633" t="s">
        <v>74</v>
      </c>
      <c r="E633" t="s">
        <v>74</v>
      </c>
      <c r="F633" t="s">
        <v>11502</v>
      </c>
      <c r="G633" t="s">
        <v>74</v>
      </c>
      <c r="H633" t="s">
        <v>74</v>
      </c>
      <c r="I633" t="s">
        <v>11503</v>
      </c>
      <c r="J633" t="s">
        <v>3631</v>
      </c>
      <c r="K633" t="s">
        <v>74</v>
      </c>
      <c r="L633" t="s">
        <v>74</v>
      </c>
      <c r="M633" t="s">
        <v>78</v>
      </c>
      <c r="N633" t="s">
        <v>79</v>
      </c>
      <c r="O633" t="s">
        <v>74</v>
      </c>
      <c r="P633" t="s">
        <v>74</v>
      </c>
      <c r="Q633" t="s">
        <v>74</v>
      </c>
      <c r="R633" t="s">
        <v>74</v>
      </c>
      <c r="S633" t="s">
        <v>74</v>
      </c>
      <c r="T633" t="s">
        <v>74</v>
      </c>
      <c r="U633" t="s">
        <v>11504</v>
      </c>
      <c r="V633" t="s">
        <v>11505</v>
      </c>
      <c r="W633" t="s">
        <v>11506</v>
      </c>
      <c r="X633" t="s">
        <v>11507</v>
      </c>
      <c r="Y633" t="s">
        <v>11508</v>
      </c>
      <c r="Z633" t="s">
        <v>11509</v>
      </c>
      <c r="AA633" t="s">
        <v>11510</v>
      </c>
      <c r="AB633" t="s">
        <v>11511</v>
      </c>
      <c r="AC633" t="s">
        <v>11512</v>
      </c>
      <c r="AD633" t="s">
        <v>11513</v>
      </c>
      <c r="AE633" t="s">
        <v>11514</v>
      </c>
      <c r="AF633" t="s">
        <v>74</v>
      </c>
      <c r="AG633">
        <v>49</v>
      </c>
      <c r="AH633">
        <v>72</v>
      </c>
      <c r="AI633">
        <v>77</v>
      </c>
      <c r="AJ633">
        <v>1</v>
      </c>
      <c r="AK633">
        <v>29</v>
      </c>
      <c r="AL633" t="s">
        <v>3432</v>
      </c>
      <c r="AM633" t="s">
        <v>3433</v>
      </c>
      <c r="AN633" t="s">
        <v>7392</v>
      </c>
      <c r="AO633" t="s">
        <v>3640</v>
      </c>
      <c r="AP633" t="s">
        <v>6350</v>
      </c>
      <c r="AQ633" t="s">
        <v>74</v>
      </c>
      <c r="AR633" t="s">
        <v>3641</v>
      </c>
      <c r="AS633" t="s">
        <v>3642</v>
      </c>
      <c r="AT633" t="s">
        <v>10610</v>
      </c>
      <c r="AU633">
        <v>2010</v>
      </c>
      <c r="AV633">
        <v>40</v>
      </c>
      <c r="AW633">
        <v>7</v>
      </c>
      <c r="AX633" t="s">
        <v>74</v>
      </c>
      <c r="AY633" t="s">
        <v>74</v>
      </c>
      <c r="AZ633" t="s">
        <v>74</v>
      </c>
      <c r="BA633" t="s">
        <v>74</v>
      </c>
      <c r="BB633">
        <v>1558</v>
      </c>
      <c r="BC633">
        <v>1574</v>
      </c>
      <c r="BD633" t="s">
        <v>74</v>
      </c>
      <c r="BE633" t="s">
        <v>11515</v>
      </c>
      <c r="BF633" t="str">
        <f>HYPERLINK("http://dx.doi.org/10.1175/2010JPO4114.1","http://dx.doi.org/10.1175/2010JPO4114.1")</f>
        <v>http://dx.doi.org/10.1175/2010JPO4114.1</v>
      </c>
      <c r="BG633" t="s">
        <v>74</v>
      </c>
      <c r="BH633" t="s">
        <v>74</v>
      </c>
      <c r="BI633">
        <v>17</v>
      </c>
      <c r="BJ633" t="s">
        <v>1531</v>
      </c>
      <c r="BK633" t="s">
        <v>100</v>
      </c>
      <c r="BL633" t="s">
        <v>1531</v>
      </c>
      <c r="BM633" t="s">
        <v>11471</v>
      </c>
      <c r="BN633" t="s">
        <v>74</v>
      </c>
      <c r="BO633" t="s">
        <v>394</v>
      </c>
      <c r="BP633" t="s">
        <v>74</v>
      </c>
      <c r="BQ633" t="s">
        <v>74</v>
      </c>
      <c r="BR633" t="s">
        <v>104</v>
      </c>
      <c r="BS633" t="s">
        <v>11516</v>
      </c>
      <c r="BT633" t="str">
        <f>HYPERLINK("https%3A%2F%2Fwww.webofscience.com%2Fwos%2Fwoscc%2Ffull-record%2FWOS:000280899300008","View Full Record in Web of Science")</f>
        <v>View Full Record in Web of Science</v>
      </c>
    </row>
    <row r="634" spans="1:72" x14ac:dyDescent="0.15">
      <c r="A634" t="s">
        <v>72</v>
      </c>
      <c r="B634" t="s">
        <v>11517</v>
      </c>
      <c r="C634" t="s">
        <v>74</v>
      </c>
      <c r="D634" t="s">
        <v>74</v>
      </c>
      <c r="E634" t="s">
        <v>74</v>
      </c>
      <c r="F634" t="s">
        <v>11518</v>
      </c>
      <c r="G634" t="s">
        <v>74</v>
      </c>
      <c r="H634" t="s">
        <v>74</v>
      </c>
      <c r="I634" t="s">
        <v>11519</v>
      </c>
      <c r="J634" t="s">
        <v>3631</v>
      </c>
      <c r="K634" t="s">
        <v>74</v>
      </c>
      <c r="L634" t="s">
        <v>74</v>
      </c>
      <c r="M634" t="s">
        <v>78</v>
      </c>
      <c r="N634" t="s">
        <v>79</v>
      </c>
      <c r="O634" t="s">
        <v>74</v>
      </c>
      <c r="P634" t="s">
        <v>74</v>
      </c>
      <c r="Q634" t="s">
        <v>74</v>
      </c>
      <c r="R634" t="s">
        <v>74</v>
      </c>
      <c r="S634" t="s">
        <v>74</v>
      </c>
      <c r="T634" t="s">
        <v>74</v>
      </c>
      <c r="U634" t="s">
        <v>11520</v>
      </c>
      <c r="V634" t="s">
        <v>11521</v>
      </c>
      <c r="W634" t="s">
        <v>11522</v>
      </c>
      <c r="X634" t="s">
        <v>11523</v>
      </c>
      <c r="Y634" t="s">
        <v>11524</v>
      </c>
      <c r="Z634" t="s">
        <v>11525</v>
      </c>
      <c r="AA634" t="s">
        <v>11526</v>
      </c>
      <c r="AB634" t="s">
        <v>11527</v>
      </c>
      <c r="AC634" t="s">
        <v>11528</v>
      </c>
      <c r="AD634" t="s">
        <v>11529</v>
      </c>
      <c r="AE634" t="s">
        <v>11530</v>
      </c>
      <c r="AF634" t="s">
        <v>74</v>
      </c>
      <c r="AG634">
        <v>34</v>
      </c>
      <c r="AH634">
        <v>42</v>
      </c>
      <c r="AI634">
        <v>50</v>
      </c>
      <c r="AJ634">
        <v>1</v>
      </c>
      <c r="AK634">
        <v>18</v>
      </c>
      <c r="AL634" t="s">
        <v>3432</v>
      </c>
      <c r="AM634" t="s">
        <v>3433</v>
      </c>
      <c r="AN634" t="s">
        <v>3434</v>
      </c>
      <c r="AO634" t="s">
        <v>3640</v>
      </c>
      <c r="AP634" t="s">
        <v>6350</v>
      </c>
      <c r="AQ634" t="s">
        <v>74</v>
      </c>
      <c r="AR634" t="s">
        <v>3641</v>
      </c>
      <c r="AS634" t="s">
        <v>3642</v>
      </c>
      <c r="AT634" t="s">
        <v>10610</v>
      </c>
      <c r="AU634">
        <v>2010</v>
      </c>
      <c r="AV634">
        <v>40</v>
      </c>
      <c r="AW634">
        <v>7</v>
      </c>
      <c r="AX634" t="s">
        <v>74</v>
      </c>
      <c r="AY634" t="s">
        <v>74</v>
      </c>
      <c r="AZ634" t="s">
        <v>74</v>
      </c>
      <c r="BA634" t="s">
        <v>74</v>
      </c>
      <c r="BB634">
        <v>1659</v>
      </c>
      <c r="BC634">
        <v>1668</v>
      </c>
      <c r="BD634" t="s">
        <v>74</v>
      </c>
      <c r="BE634" t="s">
        <v>11531</v>
      </c>
      <c r="BF634" t="str">
        <f>HYPERLINK("http://dx.doi.org/10.1175/2010JPO4364.1","http://dx.doi.org/10.1175/2010JPO4364.1")</f>
        <v>http://dx.doi.org/10.1175/2010JPO4364.1</v>
      </c>
      <c r="BG634" t="s">
        <v>74</v>
      </c>
      <c r="BH634" t="s">
        <v>74</v>
      </c>
      <c r="BI634">
        <v>10</v>
      </c>
      <c r="BJ634" t="s">
        <v>1531</v>
      </c>
      <c r="BK634" t="s">
        <v>100</v>
      </c>
      <c r="BL634" t="s">
        <v>1531</v>
      </c>
      <c r="BM634" t="s">
        <v>11471</v>
      </c>
      <c r="BN634" t="s">
        <v>74</v>
      </c>
      <c r="BO634" t="s">
        <v>394</v>
      </c>
      <c r="BP634" t="s">
        <v>74</v>
      </c>
      <c r="BQ634" t="s">
        <v>74</v>
      </c>
      <c r="BR634" t="s">
        <v>104</v>
      </c>
      <c r="BS634" t="s">
        <v>11532</v>
      </c>
      <c r="BT634" t="str">
        <f>HYPERLINK("https%3A%2F%2Fwww.webofscience.com%2Fwos%2Fwoscc%2Ffull-record%2FWOS:000280899300015","View Full Record in Web of Science")</f>
        <v>View Full Record in Web of Science</v>
      </c>
    </row>
    <row r="635" spans="1:72" x14ac:dyDescent="0.15">
      <c r="A635" t="s">
        <v>72</v>
      </c>
      <c r="B635" t="s">
        <v>11533</v>
      </c>
      <c r="C635" t="s">
        <v>74</v>
      </c>
      <c r="D635" t="s">
        <v>74</v>
      </c>
      <c r="E635" t="s">
        <v>74</v>
      </c>
      <c r="F635" t="s">
        <v>11534</v>
      </c>
      <c r="G635" t="s">
        <v>74</v>
      </c>
      <c r="H635" t="s">
        <v>74</v>
      </c>
      <c r="I635" t="s">
        <v>11535</v>
      </c>
      <c r="J635" t="s">
        <v>3649</v>
      </c>
      <c r="K635" t="s">
        <v>74</v>
      </c>
      <c r="L635" t="s">
        <v>74</v>
      </c>
      <c r="M635" t="s">
        <v>78</v>
      </c>
      <c r="N635" t="s">
        <v>79</v>
      </c>
      <c r="O635" t="s">
        <v>74</v>
      </c>
      <c r="P635" t="s">
        <v>74</v>
      </c>
      <c r="Q635" t="s">
        <v>74</v>
      </c>
      <c r="R635" t="s">
        <v>74</v>
      </c>
      <c r="S635" t="s">
        <v>74</v>
      </c>
      <c r="T635" t="s">
        <v>11536</v>
      </c>
      <c r="U635" t="s">
        <v>11537</v>
      </c>
      <c r="V635" t="s">
        <v>11538</v>
      </c>
      <c r="W635" t="s">
        <v>11539</v>
      </c>
      <c r="X635" t="s">
        <v>11540</v>
      </c>
      <c r="Y635" t="s">
        <v>11541</v>
      </c>
      <c r="Z635" t="s">
        <v>11542</v>
      </c>
      <c r="AA635" t="s">
        <v>74</v>
      </c>
      <c r="AB635" t="s">
        <v>74</v>
      </c>
      <c r="AC635" t="s">
        <v>11543</v>
      </c>
      <c r="AD635" t="s">
        <v>11544</v>
      </c>
      <c r="AE635" t="s">
        <v>11545</v>
      </c>
      <c r="AF635" t="s">
        <v>74</v>
      </c>
      <c r="AG635">
        <v>55</v>
      </c>
      <c r="AH635">
        <v>29</v>
      </c>
      <c r="AI635">
        <v>30</v>
      </c>
      <c r="AJ635">
        <v>3</v>
      </c>
      <c r="AK635">
        <v>14</v>
      </c>
      <c r="AL635" t="s">
        <v>648</v>
      </c>
      <c r="AM635" t="s">
        <v>265</v>
      </c>
      <c r="AN635" t="s">
        <v>649</v>
      </c>
      <c r="AO635" t="s">
        <v>3662</v>
      </c>
      <c r="AP635" t="s">
        <v>3663</v>
      </c>
      <c r="AQ635" t="s">
        <v>74</v>
      </c>
      <c r="AR635" t="s">
        <v>3664</v>
      </c>
      <c r="AS635" t="s">
        <v>3665</v>
      </c>
      <c r="AT635" t="s">
        <v>10610</v>
      </c>
      <c r="AU635">
        <v>2010</v>
      </c>
      <c r="AV635">
        <v>32</v>
      </c>
      <c r="AW635">
        <v>7</v>
      </c>
      <c r="AX635" t="s">
        <v>74</v>
      </c>
      <c r="AY635" t="s">
        <v>74</v>
      </c>
      <c r="AZ635" t="s">
        <v>74</v>
      </c>
      <c r="BA635" t="s">
        <v>74</v>
      </c>
      <c r="BB635">
        <v>1039</v>
      </c>
      <c r="BC635">
        <v>1050</v>
      </c>
      <c r="BD635" t="s">
        <v>74</v>
      </c>
      <c r="BE635" t="s">
        <v>11546</v>
      </c>
      <c r="BF635" t="str">
        <f>HYPERLINK("http://dx.doi.org/10.1093/plankt/fbq031","http://dx.doi.org/10.1093/plankt/fbq031")</f>
        <v>http://dx.doi.org/10.1093/plankt/fbq031</v>
      </c>
      <c r="BG635" t="s">
        <v>74</v>
      </c>
      <c r="BH635" t="s">
        <v>74</v>
      </c>
      <c r="BI635">
        <v>12</v>
      </c>
      <c r="BJ635" t="s">
        <v>930</v>
      </c>
      <c r="BK635" t="s">
        <v>100</v>
      </c>
      <c r="BL635" t="s">
        <v>930</v>
      </c>
      <c r="BM635" t="s">
        <v>11547</v>
      </c>
      <c r="BN635" t="s">
        <v>74</v>
      </c>
      <c r="BO635" t="s">
        <v>394</v>
      </c>
      <c r="BP635" t="s">
        <v>74</v>
      </c>
      <c r="BQ635" t="s">
        <v>74</v>
      </c>
      <c r="BR635" t="s">
        <v>104</v>
      </c>
      <c r="BS635" t="s">
        <v>11548</v>
      </c>
      <c r="BT635" t="str">
        <f>HYPERLINK("https%3A%2F%2Fwww.webofscience.com%2Fwos%2Fwoscc%2Ffull-record%2FWOS:000278443900006","View Full Record in Web of Science")</f>
        <v>View Full Record in Web of Science</v>
      </c>
    </row>
    <row r="636" spans="1:72" x14ac:dyDescent="0.15">
      <c r="A636" t="s">
        <v>72</v>
      </c>
      <c r="B636" t="s">
        <v>11549</v>
      </c>
      <c r="C636" t="s">
        <v>74</v>
      </c>
      <c r="D636" t="s">
        <v>74</v>
      </c>
      <c r="E636" t="s">
        <v>74</v>
      </c>
      <c r="F636" t="s">
        <v>11550</v>
      </c>
      <c r="G636" t="s">
        <v>74</v>
      </c>
      <c r="H636" t="s">
        <v>74</v>
      </c>
      <c r="I636" t="s">
        <v>11551</v>
      </c>
      <c r="J636" t="s">
        <v>11552</v>
      </c>
      <c r="K636" t="s">
        <v>74</v>
      </c>
      <c r="L636" t="s">
        <v>74</v>
      </c>
      <c r="M636" t="s">
        <v>78</v>
      </c>
      <c r="N636" t="s">
        <v>79</v>
      </c>
      <c r="O636" t="s">
        <v>74</v>
      </c>
      <c r="P636" t="s">
        <v>74</v>
      </c>
      <c r="Q636" t="s">
        <v>74</v>
      </c>
      <c r="R636" t="s">
        <v>74</v>
      </c>
      <c r="S636" t="s">
        <v>74</v>
      </c>
      <c r="T636" t="s">
        <v>11553</v>
      </c>
      <c r="U636" t="s">
        <v>11554</v>
      </c>
      <c r="V636" t="s">
        <v>11555</v>
      </c>
      <c r="W636" t="s">
        <v>11556</v>
      </c>
      <c r="X636" t="s">
        <v>11557</v>
      </c>
      <c r="Y636" t="s">
        <v>11558</v>
      </c>
      <c r="Z636" t="s">
        <v>11559</v>
      </c>
      <c r="AA636" t="s">
        <v>74</v>
      </c>
      <c r="AB636" t="s">
        <v>11560</v>
      </c>
      <c r="AC636" t="s">
        <v>11561</v>
      </c>
      <c r="AD636" t="s">
        <v>11561</v>
      </c>
      <c r="AE636" t="s">
        <v>11562</v>
      </c>
      <c r="AF636" t="s">
        <v>74</v>
      </c>
      <c r="AG636">
        <v>23</v>
      </c>
      <c r="AH636">
        <v>5</v>
      </c>
      <c r="AI636">
        <v>5</v>
      </c>
      <c r="AJ636">
        <v>0</v>
      </c>
      <c r="AK636">
        <v>4</v>
      </c>
      <c r="AL636" t="s">
        <v>851</v>
      </c>
      <c r="AM636" t="s">
        <v>412</v>
      </c>
      <c r="AN636" t="s">
        <v>11563</v>
      </c>
      <c r="AO636" t="s">
        <v>11564</v>
      </c>
      <c r="AP636" t="s">
        <v>11565</v>
      </c>
      <c r="AQ636" t="s">
        <v>74</v>
      </c>
      <c r="AR636" t="s">
        <v>11552</v>
      </c>
      <c r="AS636" t="s">
        <v>11566</v>
      </c>
      <c r="AT636" t="s">
        <v>10610</v>
      </c>
      <c r="AU636">
        <v>2010</v>
      </c>
      <c r="AV636">
        <v>42</v>
      </c>
      <c r="AW636" t="s">
        <v>74</v>
      </c>
      <c r="AX636">
        <v>4</v>
      </c>
      <c r="AY636" t="s">
        <v>74</v>
      </c>
      <c r="AZ636" t="s">
        <v>74</v>
      </c>
      <c r="BA636" t="s">
        <v>74</v>
      </c>
      <c r="BB636">
        <v>429</v>
      </c>
      <c r="BC636">
        <v>437</v>
      </c>
      <c r="BD636" t="s">
        <v>74</v>
      </c>
      <c r="BE636" t="s">
        <v>11567</v>
      </c>
      <c r="BF636" t="str">
        <f>HYPERLINK("http://dx.doi.org/10.1017/S0024282909990740","http://dx.doi.org/10.1017/S0024282909990740")</f>
        <v>http://dx.doi.org/10.1017/S0024282909990740</v>
      </c>
      <c r="BG636" t="s">
        <v>74</v>
      </c>
      <c r="BH636" t="s">
        <v>74</v>
      </c>
      <c r="BI636">
        <v>9</v>
      </c>
      <c r="BJ636" t="s">
        <v>11568</v>
      </c>
      <c r="BK636" t="s">
        <v>100</v>
      </c>
      <c r="BL636" t="s">
        <v>11568</v>
      </c>
      <c r="BM636" t="s">
        <v>11569</v>
      </c>
      <c r="BN636" t="s">
        <v>74</v>
      </c>
      <c r="BO636" t="s">
        <v>74</v>
      </c>
      <c r="BP636" t="s">
        <v>74</v>
      </c>
      <c r="BQ636" t="s">
        <v>74</v>
      </c>
      <c r="BR636" t="s">
        <v>104</v>
      </c>
      <c r="BS636" t="s">
        <v>11570</v>
      </c>
      <c r="BT636" t="str">
        <f>HYPERLINK("https%3A%2F%2Fwww.webofscience.com%2Fwos%2Fwoscc%2Ffull-record%2FWOS:000279442300011","View Full Record in Web of Science")</f>
        <v>View Full Record in Web of Science</v>
      </c>
    </row>
    <row r="637" spans="1:72" x14ac:dyDescent="0.15">
      <c r="A637" t="s">
        <v>72</v>
      </c>
      <c r="B637" t="s">
        <v>11571</v>
      </c>
      <c r="C637" t="s">
        <v>74</v>
      </c>
      <c r="D637" t="s">
        <v>74</v>
      </c>
      <c r="E637" t="s">
        <v>74</v>
      </c>
      <c r="F637" t="s">
        <v>11572</v>
      </c>
      <c r="G637" t="s">
        <v>74</v>
      </c>
      <c r="H637" t="s">
        <v>74</v>
      </c>
      <c r="I637" t="s">
        <v>11573</v>
      </c>
      <c r="J637" t="s">
        <v>936</v>
      </c>
      <c r="K637" t="s">
        <v>74</v>
      </c>
      <c r="L637" t="s">
        <v>74</v>
      </c>
      <c r="M637" t="s">
        <v>78</v>
      </c>
      <c r="N637" t="s">
        <v>79</v>
      </c>
      <c r="O637" t="s">
        <v>74</v>
      </c>
      <c r="P637" t="s">
        <v>74</v>
      </c>
      <c r="Q637" t="s">
        <v>74</v>
      </c>
      <c r="R637" t="s">
        <v>74</v>
      </c>
      <c r="S637" t="s">
        <v>74</v>
      </c>
      <c r="T637" t="s">
        <v>74</v>
      </c>
      <c r="U637" t="s">
        <v>11574</v>
      </c>
      <c r="V637" t="s">
        <v>11575</v>
      </c>
      <c r="W637" t="s">
        <v>11576</v>
      </c>
      <c r="X637" t="s">
        <v>11577</v>
      </c>
      <c r="Y637" t="s">
        <v>11578</v>
      </c>
      <c r="Z637" t="s">
        <v>11579</v>
      </c>
      <c r="AA637" t="s">
        <v>11580</v>
      </c>
      <c r="AB637" t="s">
        <v>11581</v>
      </c>
      <c r="AC637" t="s">
        <v>11582</v>
      </c>
      <c r="AD637" t="s">
        <v>11583</v>
      </c>
      <c r="AE637" t="s">
        <v>11584</v>
      </c>
      <c r="AF637" t="s">
        <v>74</v>
      </c>
      <c r="AG637">
        <v>78</v>
      </c>
      <c r="AH637">
        <v>18</v>
      </c>
      <c r="AI637">
        <v>22</v>
      </c>
      <c r="AJ637">
        <v>0</v>
      </c>
      <c r="AK637">
        <v>37</v>
      </c>
      <c r="AL637" t="s">
        <v>945</v>
      </c>
      <c r="AM637" t="s">
        <v>946</v>
      </c>
      <c r="AN637" t="s">
        <v>947</v>
      </c>
      <c r="AO637" t="s">
        <v>948</v>
      </c>
      <c r="AP637" t="s">
        <v>949</v>
      </c>
      <c r="AQ637" t="s">
        <v>74</v>
      </c>
      <c r="AR637" t="s">
        <v>950</v>
      </c>
      <c r="AS637" t="s">
        <v>951</v>
      </c>
      <c r="AT637" t="s">
        <v>10610</v>
      </c>
      <c r="AU637">
        <v>2010</v>
      </c>
      <c r="AV637">
        <v>157</v>
      </c>
      <c r="AW637">
        <v>7</v>
      </c>
      <c r="AX637" t="s">
        <v>74</v>
      </c>
      <c r="AY637" t="s">
        <v>74</v>
      </c>
      <c r="AZ637" t="s">
        <v>74</v>
      </c>
      <c r="BA637" t="s">
        <v>74</v>
      </c>
      <c r="BB637">
        <v>1543</v>
      </c>
      <c r="BC637">
        <v>1553</v>
      </c>
      <c r="BD637" t="s">
        <v>74</v>
      </c>
      <c r="BE637" t="s">
        <v>11585</v>
      </c>
      <c r="BF637" t="str">
        <f>HYPERLINK("http://dx.doi.org/10.1007/s00227-010-1428-2","http://dx.doi.org/10.1007/s00227-010-1428-2")</f>
        <v>http://dx.doi.org/10.1007/s00227-010-1428-2</v>
      </c>
      <c r="BG637" t="s">
        <v>74</v>
      </c>
      <c r="BH637" t="s">
        <v>74</v>
      </c>
      <c r="BI637">
        <v>11</v>
      </c>
      <c r="BJ637" t="s">
        <v>515</v>
      </c>
      <c r="BK637" t="s">
        <v>100</v>
      </c>
      <c r="BL637" t="s">
        <v>515</v>
      </c>
      <c r="BM637" t="s">
        <v>11586</v>
      </c>
      <c r="BN637" t="s">
        <v>74</v>
      </c>
      <c r="BO637" t="s">
        <v>74</v>
      </c>
      <c r="BP637" t="s">
        <v>74</v>
      </c>
      <c r="BQ637" t="s">
        <v>74</v>
      </c>
      <c r="BR637" t="s">
        <v>104</v>
      </c>
      <c r="BS637" t="s">
        <v>11587</v>
      </c>
      <c r="BT637" t="str">
        <f>HYPERLINK("https%3A%2F%2Fwww.webofscience.com%2Fwos%2Fwoscc%2Ffull-record%2FWOS:000278837600010","View Full Record in Web of Science")</f>
        <v>View Full Record in Web of Science</v>
      </c>
    </row>
    <row r="638" spans="1:72" x14ac:dyDescent="0.15">
      <c r="A638" t="s">
        <v>72</v>
      </c>
      <c r="B638" t="s">
        <v>8394</v>
      </c>
      <c r="C638" t="s">
        <v>74</v>
      </c>
      <c r="D638" t="s">
        <v>74</v>
      </c>
      <c r="E638" t="s">
        <v>74</v>
      </c>
      <c r="F638" t="s">
        <v>8394</v>
      </c>
      <c r="G638" t="s">
        <v>74</v>
      </c>
      <c r="H638" t="s">
        <v>74</v>
      </c>
      <c r="I638" t="s">
        <v>11588</v>
      </c>
      <c r="J638" t="s">
        <v>6598</v>
      </c>
      <c r="K638" t="s">
        <v>74</v>
      </c>
      <c r="L638" t="s">
        <v>74</v>
      </c>
      <c r="M638" t="s">
        <v>78</v>
      </c>
      <c r="N638" t="s">
        <v>3953</v>
      </c>
      <c r="O638" t="s">
        <v>74</v>
      </c>
      <c r="P638" t="s">
        <v>74</v>
      </c>
      <c r="Q638" t="s">
        <v>74</v>
      </c>
      <c r="R638" t="s">
        <v>74</v>
      </c>
      <c r="S638" t="s">
        <v>74</v>
      </c>
      <c r="T638" t="s">
        <v>74</v>
      </c>
      <c r="U638" t="s">
        <v>74</v>
      </c>
      <c r="V638" t="s">
        <v>74</v>
      </c>
      <c r="W638" t="s">
        <v>74</v>
      </c>
      <c r="X638" t="s">
        <v>74</v>
      </c>
      <c r="Y638" t="s">
        <v>74</v>
      </c>
      <c r="Z638" t="s">
        <v>74</v>
      </c>
      <c r="AA638" t="s">
        <v>74</v>
      </c>
      <c r="AB638" t="s">
        <v>74</v>
      </c>
      <c r="AC638" t="s">
        <v>74</v>
      </c>
      <c r="AD638" t="s">
        <v>74</v>
      </c>
      <c r="AE638" t="s">
        <v>74</v>
      </c>
      <c r="AF638" t="s">
        <v>74</v>
      </c>
      <c r="AG638">
        <v>0</v>
      </c>
      <c r="AH638">
        <v>0</v>
      </c>
      <c r="AI638">
        <v>0</v>
      </c>
      <c r="AJ638">
        <v>0</v>
      </c>
      <c r="AK638">
        <v>1</v>
      </c>
      <c r="AL638" t="s">
        <v>264</v>
      </c>
      <c r="AM638" t="s">
        <v>265</v>
      </c>
      <c r="AN638" t="s">
        <v>266</v>
      </c>
      <c r="AO638" t="s">
        <v>6611</v>
      </c>
      <c r="AP638" t="s">
        <v>6612</v>
      </c>
      <c r="AQ638" t="s">
        <v>74</v>
      </c>
      <c r="AR638" t="s">
        <v>6613</v>
      </c>
      <c r="AS638" t="s">
        <v>6614</v>
      </c>
      <c r="AT638" t="s">
        <v>10610</v>
      </c>
      <c r="AU638">
        <v>2010</v>
      </c>
      <c r="AV638">
        <v>60</v>
      </c>
      <c r="AW638">
        <v>7</v>
      </c>
      <c r="AX638" t="s">
        <v>74</v>
      </c>
      <c r="AY638" t="s">
        <v>74</v>
      </c>
      <c r="AZ638" t="s">
        <v>74</v>
      </c>
      <c r="BA638" t="s">
        <v>74</v>
      </c>
      <c r="BB638">
        <v>945</v>
      </c>
      <c r="BC638">
        <v>945</v>
      </c>
      <c r="BD638" t="s">
        <v>74</v>
      </c>
      <c r="BE638" t="s">
        <v>74</v>
      </c>
      <c r="BF638" t="s">
        <v>74</v>
      </c>
      <c r="BG638" t="s">
        <v>74</v>
      </c>
      <c r="BH638" t="s">
        <v>74</v>
      </c>
      <c r="BI638">
        <v>1</v>
      </c>
      <c r="BJ638" t="s">
        <v>6616</v>
      </c>
      <c r="BK638" t="s">
        <v>100</v>
      </c>
      <c r="BL638" t="s">
        <v>4516</v>
      </c>
      <c r="BM638" t="s">
        <v>11589</v>
      </c>
      <c r="BN638" t="s">
        <v>74</v>
      </c>
      <c r="BO638" t="s">
        <v>74</v>
      </c>
      <c r="BP638" t="s">
        <v>74</v>
      </c>
      <c r="BQ638" t="s">
        <v>74</v>
      </c>
      <c r="BR638" t="s">
        <v>104</v>
      </c>
      <c r="BS638" t="s">
        <v>11590</v>
      </c>
      <c r="BT638" t="str">
        <f>HYPERLINK("https%3A%2F%2Fwww.webofscience.com%2Fwos%2Fwoscc%2Ffull-record%2FWOS:000279857600009","View Full Record in Web of Science")</f>
        <v>View Full Record in Web of Science</v>
      </c>
    </row>
    <row r="639" spans="1:72" x14ac:dyDescent="0.15">
      <c r="A639" t="s">
        <v>72</v>
      </c>
      <c r="B639" t="s">
        <v>11591</v>
      </c>
      <c r="C639" t="s">
        <v>74</v>
      </c>
      <c r="D639" t="s">
        <v>74</v>
      </c>
      <c r="E639" t="s">
        <v>74</v>
      </c>
      <c r="F639" t="s">
        <v>11592</v>
      </c>
      <c r="G639" t="s">
        <v>74</v>
      </c>
      <c r="H639" t="s">
        <v>74</v>
      </c>
      <c r="I639" t="s">
        <v>11593</v>
      </c>
      <c r="J639" t="s">
        <v>2234</v>
      </c>
      <c r="K639" t="s">
        <v>74</v>
      </c>
      <c r="L639" t="s">
        <v>74</v>
      </c>
      <c r="M639" t="s">
        <v>78</v>
      </c>
      <c r="N639" t="s">
        <v>79</v>
      </c>
      <c r="O639" t="s">
        <v>74</v>
      </c>
      <c r="P639" t="s">
        <v>74</v>
      </c>
      <c r="Q639" t="s">
        <v>74</v>
      </c>
      <c r="R639" t="s">
        <v>74</v>
      </c>
      <c r="S639" t="s">
        <v>74</v>
      </c>
      <c r="T639" t="s">
        <v>74</v>
      </c>
      <c r="U639" t="s">
        <v>11594</v>
      </c>
      <c r="V639" t="s">
        <v>11595</v>
      </c>
      <c r="W639" t="s">
        <v>11596</v>
      </c>
      <c r="X639" t="s">
        <v>11597</v>
      </c>
      <c r="Y639" t="s">
        <v>11598</v>
      </c>
      <c r="Z639" t="s">
        <v>11599</v>
      </c>
      <c r="AA639" t="s">
        <v>11600</v>
      </c>
      <c r="AB639" t="s">
        <v>11601</v>
      </c>
      <c r="AC639" t="s">
        <v>11602</v>
      </c>
      <c r="AD639" t="s">
        <v>11603</v>
      </c>
      <c r="AE639" t="s">
        <v>11604</v>
      </c>
      <c r="AF639" t="s">
        <v>74</v>
      </c>
      <c r="AG639">
        <v>43</v>
      </c>
      <c r="AH639">
        <v>24</v>
      </c>
      <c r="AI639">
        <v>25</v>
      </c>
      <c r="AJ639">
        <v>0</v>
      </c>
      <c r="AK639">
        <v>17</v>
      </c>
      <c r="AL639" t="s">
        <v>923</v>
      </c>
      <c r="AM639" t="s">
        <v>339</v>
      </c>
      <c r="AN639" t="s">
        <v>340</v>
      </c>
      <c r="AO639" t="s">
        <v>2246</v>
      </c>
      <c r="AP639" t="s">
        <v>3908</v>
      </c>
      <c r="AQ639" t="s">
        <v>74</v>
      </c>
      <c r="AR639" t="s">
        <v>2247</v>
      </c>
      <c r="AS639" t="s">
        <v>2248</v>
      </c>
      <c r="AT639" t="s">
        <v>10610</v>
      </c>
      <c r="AU639">
        <v>2010</v>
      </c>
      <c r="AV639">
        <v>45</v>
      </c>
      <c r="AW639">
        <v>7</v>
      </c>
      <c r="AX639" t="s">
        <v>74</v>
      </c>
      <c r="AY639" t="s">
        <v>74</v>
      </c>
      <c r="AZ639" t="s">
        <v>74</v>
      </c>
      <c r="BA639" t="s">
        <v>74</v>
      </c>
      <c r="BB639">
        <v>1108</v>
      </c>
      <c r="BC639">
        <v>1123</v>
      </c>
      <c r="BD639" t="s">
        <v>74</v>
      </c>
      <c r="BE639" t="s">
        <v>11605</v>
      </c>
      <c r="BF639" t="str">
        <f>HYPERLINK("http://dx.doi.org/10.1111/j.1945-5100.2010.01064.x","http://dx.doi.org/10.1111/j.1945-5100.2010.01064.x")</f>
        <v>http://dx.doi.org/10.1111/j.1945-5100.2010.01064.x</v>
      </c>
      <c r="BG639" t="s">
        <v>74</v>
      </c>
      <c r="BH639" t="s">
        <v>74</v>
      </c>
      <c r="BI639">
        <v>16</v>
      </c>
      <c r="BJ639" t="s">
        <v>558</v>
      </c>
      <c r="BK639" t="s">
        <v>100</v>
      </c>
      <c r="BL639" t="s">
        <v>558</v>
      </c>
      <c r="BM639" t="s">
        <v>11606</v>
      </c>
      <c r="BN639" t="s">
        <v>74</v>
      </c>
      <c r="BO639" t="s">
        <v>394</v>
      </c>
      <c r="BP639" t="s">
        <v>74</v>
      </c>
      <c r="BQ639" t="s">
        <v>74</v>
      </c>
      <c r="BR639" t="s">
        <v>104</v>
      </c>
      <c r="BS639" t="s">
        <v>11607</v>
      </c>
      <c r="BT639" t="str">
        <f>HYPERLINK("https%3A%2F%2Fwww.webofscience.com%2Fwos%2Fwoscc%2Ffull-record%2FWOS:000283712300008","View Full Record in Web of Science")</f>
        <v>View Full Record in Web of Science</v>
      </c>
    </row>
    <row r="640" spans="1:72" x14ac:dyDescent="0.15">
      <c r="A640" t="s">
        <v>72</v>
      </c>
      <c r="B640" t="s">
        <v>11608</v>
      </c>
      <c r="C640" t="s">
        <v>74</v>
      </c>
      <c r="D640" t="s">
        <v>74</v>
      </c>
      <c r="E640" t="s">
        <v>74</v>
      </c>
      <c r="F640" t="s">
        <v>11609</v>
      </c>
      <c r="G640" t="s">
        <v>74</v>
      </c>
      <c r="H640" t="s">
        <v>74</v>
      </c>
      <c r="I640" t="s">
        <v>11610</v>
      </c>
      <c r="J640" t="s">
        <v>2234</v>
      </c>
      <c r="K640" t="s">
        <v>74</v>
      </c>
      <c r="L640" t="s">
        <v>74</v>
      </c>
      <c r="M640" t="s">
        <v>78</v>
      </c>
      <c r="N640" t="s">
        <v>52</v>
      </c>
      <c r="O640" t="s">
        <v>11611</v>
      </c>
      <c r="P640" t="s">
        <v>11612</v>
      </c>
      <c r="Q640" t="s">
        <v>11613</v>
      </c>
      <c r="R640" t="s">
        <v>74</v>
      </c>
      <c r="S640" t="s">
        <v>74</v>
      </c>
      <c r="T640" t="s">
        <v>74</v>
      </c>
      <c r="U640" t="s">
        <v>74</v>
      </c>
      <c r="V640" t="s">
        <v>74</v>
      </c>
      <c r="W640" t="s">
        <v>11614</v>
      </c>
      <c r="X640" t="s">
        <v>11615</v>
      </c>
      <c r="Y640" t="s">
        <v>74</v>
      </c>
      <c r="Z640" t="s">
        <v>11616</v>
      </c>
      <c r="AA640" t="s">
        <v>74</v>
      </c>
      <c r="AB640" t="s">
        <v>11617</v>
      </c>
      <c r="AC640" t="s">
        <v>74</v>
      </c>
      <c r="AD640" t="s">
        <v>74</v>
      </c>
      <c r="AE640" t="s">
        <v>74</v>
      </c>
      <c r="AF640" t="s">
        <v>74</v>
      </c>
      <c r="AG640">
        <v>7</v>
      </c>
      <c r="AH640">
        <v>5</v>
      </c>
      <c r="AI640">
        <v>5</v>
      </c>
      <c r="AJ640">
        <v>0</v>
      </c>
      <c r="AK640">
        <v>0</v>
      </c>
      <c r="AL640" t="s">
        <v>923</v>
      </c>
      <c r="AM640" t="s">
        <v>339</v>
      </c>
      <c r="AN640" t="s">
        <v>340</v>
      </c>
      <c r="AO640" t="s">
        <v>2246</v>
      </c>
      <c r="AP640" t="s">
        <v>3908</v>
      </c>
      <c r="AQ640" t="s">
        <v>74</v>
      </c>
      <c r="AR640" t="s">
        <v>2247</v>
      </c>
      <c r="AS640" t="s">
        <v>2248</v>
      </c>
      <c r="AT640" t="s">
        <v>10610</v>
      </c>
      <c r="AU640">
        <v>2010</v>
      </c>
      <c r="AV640">
        <v>45</v>
      </c>
      <c r="AW640" t="s">
        <v>74</v>
      </c>
      <c r="AX640" t="s">
        <v>74</v>
      </c>
      <c r="AY640" t="s">
        <v>2718</v>
      </c>
      <c r="AZ640" t="s">
        <v>74</v>
      </c>
      <c r="BA640" t="s">
        <v>74</v>
      </c>
      <c r="BB640" t="s">
        <v>11618</v>
      </c>
      <c r="BC640" t="s">
        <v>11618</v>
      </c>
      <c r="BD640" t="s">
        <v>74</v>
      </c>
      <c r="BE640" t="s">
        <v>74</v>
      </c>
      <c r="BF640" t="s">
        <v>74</v>
      </c>
      <c r="BG640" t="s">
        <v>74</v>
      </c>
      <c r="BH640" t="s">
        <v>74</v>
      </c>
      <c r="BI640">
        <v>1</v>
      </c>
      <c r="BJ640" t="s">
        <v>558</v>
      </c>
      <c r="BK640" t="s">
        <v>1219</v>
      </c>
      <c r="BL640" t="s">
        <v>558</v>
      </c>
      <c r="BM640" t="s">
        <v>11619</v>
      </c>
      <c r="BN640" t="s">
        <v>74</v>
      </c>
      <c r="BO640" t="s">
        <v>74</v>
      </c>
      <c r="BP640" t="s">
        <v>74</v>
      </c>
      <c r="BQ640" t="s">
        <v>74</v>
      </c>
      <c r="BR640" t="s">
        <v>104</v>
      </c>
      <c r="BS640" t="s">
        <v>11620</v>
      </c>
      <c r="BT640" t="str">
        <f>HYPERLINK("https%3A%2F%2Fwww.webofscience.com%2Fwos%2Fwoscc%2Ffull-record%2FWOS:000280478700083","View Full Record in Web of Science")</f>
        <v>View Full Record in Web of Science</v>
      </c>
    </row>
    <row r="641" spans="1:72" x14ac:dyDescent="0.15">
      <c r="A641" t="s">
        <v>72</v>
      </c>
      <c r="B641" t="s">
        <v>11621</v>
      </c>
      <c r="C641" t="s">
        <v>74</v>
      </c>
      <c r="D641" t="s">
        <v>74</v>
      </c>
      <c r="E641" t="s">
        <v>74</v>
      </c>
      <c r="F641" t="s">
        <v>11622</v>
      </c>
      <c r="G641" t="s">
        <v>74</v>
      </c>
      <c r="H641" t="s">
        <v>74</v>
      </c>
      <c r="I641" t="s">
        <v>11623</v>
      </c>
      <c r="J641" t="s">
        <v>2234</v>
      </c>
      <c r="K641" t="s">
        <v>74</v>
      </c>
      <c r="L641" t="s">
        <v>74</v>
      </c>
      <c r="M641" t="s">
        <v>78</v>
      </c>
      <c r="N641" t="s">
        <v>52</v>
      </c>
      <c r="O641" t="s">
        <v>11611</v>
      </c>
      <c r="P641" t="s">
        <v>11612</v>
      </c>
      <c r="Q641" t="s">
        <v>11613</v>
      </c>
      <c r="R641" t="s">
        <v>74</v>
      </c>
      <c r="S641" t="s">
        <v>74</v>
      </c>
      <c r="T641" t="s">
        <v>74</v>
      </c>
      <c r="U641" t="s">
        <v>74</v>
      </c>
      <c r="V641" t="s">
        <v>74</v>
      </c>
      <c r="W641" t="s">
        <v>11624</v>
      </c>
      <c r="X641" t="s">
        <v>11625</v>
      </c>
      <c r="Y641" t="s">
        <v>74</v>
      </c>
      <c r="Z641" t="s">
        <v>11626</v>
      </c>
      <c r="AA641" t="s">
        <v>11627</v>
      </c>
      <c r="AB641" t="s">
        <v>11628</v>
      </c>
      <c r="AC641" t="s">
        <v>74</v>
      </c>
      <c r="AD641" t="s">
        <v>74</v>
      </c>
      <c r="AE641" t="s">
        <v>74</v>
      </c>
      <c r="AF641" t="s">
        <v>74</v>
      </c>
      <c r="AG641">
        <v>1</v>
      </c>
      <c r="AH641">
        <v>0</v>
      </c>
      <c r="AI641">
        <v>0</v>
      </c>
      <c r="AJ641">
        <v>0</v>
      </c>
      <c r="AK641">
        <v>3</v>
      </c>
      <c r="AL641" t="s">
        <v>2245</v>
      </c>
      <c r="AM641" t="s">
        <v>673</v>
      </c>
      <c r="AN641" t="s">
        <v>674</v>
      </c>
      <c r="AO641" t="s">
        <v>2246</v>
      </c>
      <c r="AP641" t="s">
        <v>74</v>
      </c>
      <c r="AQ641" t="s">
        <v>74</v>
      </c>
      <c r="AR641" t="s">
        <v>2247</v>
      </c>
      <c r="AS641" t="s">
        <v>2248</v>
      </c>
      <c r="AT641" t="s">
        <v>10610</v>
      </c>
      <c r="AU641">
        <v>2010</v>
      </c>
      <c r="AV641">
        <v>45</v>
      </c>
      <c r="AW641" t="s">
        <v>74</v>
      </c>
      <c r="AX641" t="s">
        <v>74</v>
      </c>
      <c r="AY641" t="s">
        <v>2718</v>
      </c>
      <c r="AZ641" t="s">
        <v>74</v>
      </c>
      <c r="BA641" t="s">
        <v>74</v>
      </c>
      <c r="BB641" t="s">
        <v>11629</v>
      </c>
      <c r="BC641" t="s">
        <v>11629</v>
      </c>
      <c r="BD641" t="s">
        <v>74</v>
      </c>
      <c r="BE641" t="s">
        <v>74</v>
      </c>
      <c r="BF641" t="s">
        <v>74</v>
      </c>
      <c r="BG641" t="s">
        <v>74</v>
      </c>
      <c r="BH641" t="s">
        <v>74</v>
      </c>
      <c r="BI641">
        <v>1</v>
      </c>
      <c r="BJ641" t="s">
        <v>558</v>
      </c>
      <c r="BK641" t="s">
        <v>1219</v>
      </c>
      <c r="BL641" t="s">
        <v>558</v>
      </c>
      <c r="BM641" t="s">
        <v>11619</v>
      </c>
      <c r="BN641" t="s">
        <v>74</v>
      </c>
      <c r="BO641" t="s">
        <v>74</v>
      </c>
      <c r="BP641" t="s">
        <v>74</v>
      </c>
      <c r="BQ641" t="s">
        <v>74</v>
      </c>
      <c r="BR641" t="s">
        <v>104</v>
      </c>
      <c r="BS641" t="s">
        <v>11630</v>
      </c>
      <c r="BT641" t="str">
        <f>HYPERLINK("https%3A%2F%2Fwww.webofscience.com%2Fwos%2Fwoscc%2Ffull-record%2FWOS:000280478700109","View Full Record in Web of Science")</f>
        <v>View Full Record in Web of Science</v>
      </c>
    </row>
    <row r="642" spans="1:72" x14ac:dyDescent="0.15">
      <c r="A642" t="s">
        <v>72</v>
      </c>
      <c r="B642" t="s">
        <v>11631</v>
      </c>
      <c r="C642" t="s">
        <v>74</v>
      </c>
      <c r="D642" t="s">
        <v>74</v>
      </c>
      <c r="E642" t="s">
        <v>74</v>
      </c>
      <c r="F642" t="s">
        <v>11632</v>
      </c>
      <c r="G642" t="s">
        <v>74</v>
      </c>
      <c r="H642" t="s">
        <v>74</v>
      </c>
      <c r="I642" t="s">
        <v>11633</v>
      </c>
      <c r="J642" t="s">
        <v>2234</v>
      </c>
      <c r="K642" t="s">
        <v>74</v>
      </c>
      <c r="L642" t="s">
        <v>74</v>
      </c>
      <c r="M642" t="s">
        <v>78</v>
      </c>
      <c r="N642" t="s">
        <v>52</v>
      </c>
      <c r="O642" t="s">
        <v>11611</v>
      </c>
      <c r="P642" t="s">
        <v>11612</v>
      </c>
      <c r="Q642" t="s">
        <v>11613</v>
      </c>
      <c r="R642" t="s">
        <v>74</v>
      </c>
      <c r="S642" t="s">
        <v>74</v>
      </c>
      <c r="T642" t="s">
        <v>74</v>
      </c>
      <c r="U642" t="s">
        <v>11634</v>
      </c>
      <c r="V642" t="s">
        <v>74</v>
      </c>
      <c r="W642" t="s">
        <v>11635</v>
      </c>
      <c r="X642" t="s">
        <v>11636</v>
      </c>
      <c r="Y642" t="s">
        <v>74</v>
      </c>
      <c r="Z642" t="s">
        <v>11637</v>
      </c>
      <c r="AA642" t="s">
        <v>74</v>
      </c>
      <c r="AB642" t="s">
        <v>74</v>
      </c>
      <c r="AC642" t="s">
        <v>11638</v>
      </c>
      <c r="AD642" t="s">
        <v>2116</v>
      </c>
      <c r="AE642" t="s">
        <v>74</v>
      </c>
      <c r="AF642" t="s">
        <v>74</v>
      </c>
      <c r="AG642">
        <v>5</v>
      </c>
      <c r="AH642">
        <v>0</v>
      </c>
      <c r="AI642">
        <v>0</v>
      </c>
      <c r="AJ642">
        <v>0</v>
      </c>
      <c r="AK642">
        <v>2</v>
      </c>
      <c r="AL642" t="s">
        <v>338</v>
      </c>
      <c r="AM642" t="s">
        <v>673</v>
      </c>
      <c r="AN642" t="s">
        <v>674</v>
      </c>
      <c r="AO642" t="s">
        <v>2246</v>
      </c>
      <c r="AP642" t="s">
        <v>74</v>
      </c>
      <c r="AQ642" t="s">
        <v>74</v>
      </c>
      <c r="AR642" t="s">
        <v>2247</v>
      </c>
      <c r="AS642" t="s">
        <v>2248</v>
      </c>
      <c r="AT642" t="s">
        <v>10610</v>
      </c>
      <c r="AU642">
        <v>2010</v>
      </c>
      <c r="AV642">
        <v>45</v>
      </c>
      <c r="AW642" t="s">
        <v>74</v>
      </c>
      <c r="AX642" t="s">
        <v>74</v>
      </c>
      <c r="AY642" t="s">
        <v>2718</v>
      </c>
      <c r="AZ642" t="s">
        <v>74</v>
      </c>
      <c r="BA642" t="s">
        <v>74</v>
      </c>
      <c r="BB642" t="s">
        <v>11639</v>
      </c>
      <c r="BC642" t="s">
        <v>11639</v>
      </c>
      <c r="BD642" t="s">
        <v>74</v>
      </c>
      <c r="BE642" t="s">
        <v>74</v>
      </c>
      <c r="BF642" t="s">
        <v>74</v>
      </c>
      <c r="BG642" t="s">
        <v>74</v>
      </c>
      <c r="BH642" t="s">
        <v>74</v>
      </c>
      <c r="BI642">
        <v>1</v>
      </c>
      <c r="BJ642" t="s">
        <v>558</v>
      </c>
      <c r="BK642" t="s">
        <v>1219</v>
      </c>
      <c r="BL642" t="s">
        <v>558</v>
      </c>
      <c r="BM642" t="s">
        <v>11619</v>
      </c>
      <c r="BN642" t="s">
        <v>74</v>
      </c>
      <c r="BO642" t="s">
        <v>74</v>
      </c>
      <c r="BP642" t="s">
        <v>74</v>
      </c>
      <c r="BQ642" t="s">
        <v>74</v>
      </c>
      <c r="BR642" t="s">
        <v>104</v>
      </c>
      <c r="BS642" t="s">
        <v>11640</v>
      </c>
      <c r="BT642" t="str">
        <f>HYPERLINK("https%3A%2F%2Fwww.webofscience.com%2Fwos%2Fwoscc%2Ffull-record%2FWOS:000280478700116","View Full Record in Web of Science")</f>
        <v>View Full Record in Web of Science</v>
      </c>
    </row>
    <row r="643" spans="1:72" x14ac:dyDescent="0.15">
      <c r="A643" t="s">
        <v>72</v>
      </c>
      <c r="B643" t="s">
        <v>11641</v>
      </c>
      <c r="C643" t="s">
        <v>74</v>
      </c>
      <c r="D643" t="s">
        <v>74</v>
      </c>
      <c r="E643" t="s">
        <v>74</v>
      </c>
      <c r="F643" t="s">
        <v>11642</v>
      </c>
      <c r="G643" t="s">
        <v>74</v>
      </c>
      <c r="H643" t="s">
        <v>74</v>
      </c>
      <c r="I643" t="s">
        <v>11643</v>
      </c>
      <c r="J643" t="s">
        <v>2234</v>
      </c>
      <c r="K643" t="s">
        <v>74</v>
      </c>
      <c r="L643" t="s">
        <v>74</v>
      </c>
      <c r="M643" t="s">
        <v>78</v>
      </c>
      <c r="N643" t="s">
        <v>52</v>
      </c>
      <c r="O643" t="s">
        <v>11611</v>
      </c>
      <c r="P643" t="s">
        <v>11612</v>
      </c>
      <c r="Q643" t="s">
        <v>11613</v>
      </c>
      <c r="R643" t="s">
        <v>74</v>
      </c>
      <c r="S643" t="s">
        <v>74</v>
      </c>
      <c r="T643" t="s">
        <v>74</v>
      </c>
      <c r="U643" t="s">
        <v>74</v>
      </c>
      <c r="V643" t="s">
        <v>74</v>
      </c>
      <c r="W643" t="s">
        <v>11644</v>
      </c>
      <c r="X643" t="s">
        <v>11645</v>
      </c>
      <c r="Y643" t="s">
        <v>74</v>
      </c>
      <c r="Z643" t="s">
        <v>11646</v>
      </c>
      <c r="AA643" t="s">
        <v>74</v>
      </c>
      <c r="AB643" t="s">
        <v>74</v>
      </c>
      <c r="AC643" t="s">
        <v>74</v>
      </c>
      <c r="AD643" t="s">
        <v>74</v>
      </c>
      <c r="AE643" t="s">
        <v>74</v>
      </c>
      <c r="AF643" t="s">
        <v>74</v>
      </c>
      <c r="AG643">
        <v>4</v>
      </c>
      <c r="AH643">
        <v>0</v>
      </c>
      <c r="AI643">
        <v>0</v>
      </c>
      <c r="AJ643">
        <v>0</v>
      </c>
      <c r="AK643">
        <v>2</v>
      </c>
      <c r="AL643" t="s">
        <v>2245</v>
      </c>
      <c r="AM643" t="s">
        <v>673</v>
      </c>
      <c r="AN643" t="s">
        <v>674</v>
      </c>
      <c r="AO643" t="s">
        <v>2246</v>
      </c>
      <c r="AP643" t="s">
        <v>74</v>
      </c>
      <c r="AQ643" t="s">
        <v>74</v>
      </c>
      <c r="AR643" t="s">
        <v>2247</v>
      </c>
      <c r="AS643" t="s">
        <v>2248</v>
      </c>
      <c r="AT643" t="s">
        <v>10610</v>
      </c>
      <c r="AU643">
        <v>2010</v>
      </c>
      <c r="AV643">
        <v>45</v>
      </c>
      <c r="AW643" t="s">
        <v>74</v>
      </c>
      <c r="AX643" t="s">
        <v>74</v>
      </c>
      <c r="AY643" t="s">
        <v>2718</v>
      </c>
      <c r="AZ643" t="s">
        <v>74</v>
      </c>
      <c r="BA643" t="s">
        <v>74</v>
      </c>
      <c r="BB643" t="s">
        <v>11647</v>
      </c>
      <c r="BC643" t="s">
        <v>11647</v>
      </c>
      <c r="BD643" t="s">
        <v>74</v>
      </c>
      <c r="BE643" t="s">
        <v>74</v>
      </c>
      <c r="BF643" t="s">
        <v>74</v>
      </c>
      <c r="BG643" t="s">
        <v>74</v>
      </c>
      <c r="BH643" t="s">
        <v>74</v>
      </c>
      <c r="BI643">
        <v>1</v>
      </c>
      <c r="BJ643" t="s">
        <v>558</v>
      </c>
      <c r="BK643" t="s">
        <v>1219</v>
      </c>
      <c r="BL643" t="s">
        <v>558</v>
      </c>
      <c r="BM643" t="s">
        <v>11619</v>
      </c>
      <c r="BN643" t="s">
        <v>74</v>
      </c>
      <c r="BO643" t="s">
        <v>74</v>
      </c>
      <c r="BP643" t="s">
        <v>74</v>
      </c>
      <c r="BQ643" t="s">
        <v>74</v>
      </c>
      <c r="BR643" t="s">
        <v>104</v>
      </c>
      <c r="BS643" t="s">
        <v>11648</v>
      </c>
      <c r="BT643" t="str">
        <f>HYPERLINK("https%3A%2F%2Fwww.webofscience.com%2Fwos%2Fwoscc%2Ffull-record%2FWOS:000280478700146","View Full Record in Web of Science")</f>
        <v>View Full Record in Web of Science</v>
      </c>
    </row>
    <row r="644" spans="1:72" x14ac:dyDescent="0.15">
      <c r="A644" t="s">
        <v>72</v>
      </c>
      <c r="B644" t="s">
        <v>11649</v>
      </c>
      <c r="C644" t="s">
        <v>74</v>
      </c>
      <c r="D644" t="s">
        <v>74</v>
      </c>
      <c r="E644" t="s">
        <v>74</v>
      </c>
      <c r="F644" t="s">
        <v>11650</v>
      </c>
      <c r="G644" t="s">
        <v>74</v>
      </c>
      <c r="H644" t="s">
        <v>74</v>
      </c>
      <c r="I644" t="s">
        <v>11651</v>
      </c>
      <c r="J644" t="s">
        <v>2234</v>
      </c>
      <c r="K644" t="s">
        <v>74</v>
      </c>
      <c r="L644" t="s">
        <v>74</v>
      </c>
      <c r="M644" t="s">
        <v>78</v>
      </c>
      <c r="N644" t="s">
        <v>52</v>
      </c>
      <c r="O644" t="s">
        <v>11611</v>
      </c>
      <c r="P644" t="s">
        <v>11612</v>
      </c>
      <c r="Q644" t="s">
        <v>11613</v>
      </c>
      <c r="R644" t="s">
        <v>74</v>
      </c>
      <c r="S644" t="s">
        <v>74</v>
      </c>
      <c r="T644" t="s">
        <v>74</v>
      </c>
      <c r="U644" t="s">
        <v>74</v>
      </c>
      <c r="V644" t="s">
        <v>74</v>
      </c>
      <c r="W644" t="s">
        <v>11652</v>
      </c>
      <c r="X644" t="s">
        <v>11653</v>
      </c>
      <c r="Y644" t="s">
        <v>74</v>
      </c>
      <c r="Z644" t="s">
        <v>11654</v>
      </c>
      <c r="AA644" t="s">
        <v>11655</v>
      </c>
      <c r="AB644" t="s">
        <v>11656</v>
      </c>
      <c r="AC644" t="s">
        <v>74</v>
      </c>
      <c r="AD644" t="s">
        <v>74</v>
      </c>
      <c r="AE644" t="s">
        <v>74</v>
      </c>
      <c r="AF644" t="s">
        <v>74</v>
      </c>
      <c r="AG644">
        <v>4</v>
      </c>
      <c r="AH644">
        <v>1</v>
      </c>
      <c r="AI644">
        <v>1</v>
      </c>
      <c r="AJ644">
        <v>0</v>
      </c>
      <c r="AK644">
        <v>2</v>
      </c>
      <c r="AL644" t="s">
        <v>2245</v>
      </c>
      <c r="AM644" t="s">
        <v>673</v>
      </c>
      <c r="AN644" t="s">
        <v>674</v>
      </c>
      <c r="AO644" t="s">
        <v>2246</v>
      </c>
      <c r="AP644" t="s">
        <v>74</v>
      </c>
      <c r="AQ644" t="s">
        <v>74</v>
      </c>
      <c r="AR644" t="s">
        <v>2247</v>
      </c>
      <c r="AS644" t="s">
        <v>2248</v>
      </c>
      <c r="AT644" t="s">
        <v>10610</v>
      </c>
      <c r="AU644">
        <v>2010</v>
      </c>
      <c r="AV644">
        <v>45</v>
      </c>
      <c r="AW644" t="s">
        <v>74</v>
      </c>
      <c r="AX644" t="s">
        <v>74</v>
      </c>
      <c r="AY644" t="s">
        <v>2718</v>
      </c>
      <c r="AZ644" t="s">
        <v>74</v>
      </c>
      <c r="BA644" t="s">
        <v>74</v>
      </c>
      <c r="BB644" t="s">
        <v>11657</v>
      </c>
      <c r="BC644" t="s">
        <v>11657</v>
      </c>
      <c r="BD644" t="s">
        <v>74</v>
      </c>
      <c r="BE644" t="s">
        <v>74</v>
      </c>
      <c r="BF644" t="s">
        <v>74</v>
      </c>
      <c r="BG644" t="s">
        <v>74</v>
      </c>
      <c r="BH644" t="s">
        <v>74</v>
      </c>
      <c r="BI644">
        <v>1</v>
      </c>
      <c r="BJ644" t="s">
        <v>558</v>
      </c>
      <c r="BK644" t="s">
        <v>1219</v>
      </c>
      <c r="BL644" t="s">
        <v>558</v>
      </c>
      <c r="BM644" t="s">
        <v>11619</v>
      </c>
      <c r="BN644" t="s">
        <v>74</v>
      </c>
      <c r="BO644" t="s">
        <v>74</v>
      </c>
      <c r="BP644" t="s">
        <v>74</v>
      </c>
      <c r="BQ644" t="s">
        <v>74</v>
      </c>
      <c r="BR644" t="s">
        <v>104</v>
      </c>
      <c r="BS644" t="s">
        <v>11658</v>
      </c>
      <c r="BT644" t="str">
        <f>HYPERLINK("https%3A%2F%2Fwww.webofscience.com%2Fwos%2Fwoscc%2Ffull-record%2FWOS:000280478700190","View Full Record in Web of Science")</f>
        <v>View Full Record in Web of Science</v>
      </c>
    </row>
    <row r="645" spans="1:72" x14ac:dyDescent="0.15">
      <c r="A645" t="s">
        <v>72</v>
      </c>
      <c r="B645" t="s">
        <v>11659</v>
      </c>
      <c r="C645" t="s">
        <v>74</v>
      </c>
      <c r="D645" t="s">
        <v>74</v>
      </c>
      <c r="E645" t="s">
        <v>74</v>
      </c>
      <c r="F645" t="s">
        <v>11660</v>
      </c>
      <c r="G645" t="s">
        <v>74</v>
      </c>
      <c r="H645" t="s">
        <v>74</v>
      </c>
      <c r="I645" t="s">
        <v>11661</v>
      </c>
      <c r="J645" t="s">
        <v>2234</v>
      </c>
      <c r="K645" t="s">
        <v>74</v>
      </c>
      <c r="L645" t="s">
        <v>74</v>
      </c>
      <c r="M645" t="s">
        <v>78</v>
      </c>
      <c r="N645" t="s">
        <v>52</v>
      </c>
      <c r="O645" t="s">
        <v>11611</v>
      </c>
      <c r="P645" t="s">
        <v>11612</v>
      </c>
      <c r="Q645" t="s">
        <v>11613</v>
      </c>
      <c r="R645" t="s">
        <v>74</v>
      </c>
      <c r="S645" t="s">
        <v>74</v>
      </c>
      <c r="T645" t="s">
        <v>74</v>
      </c>
      <c r="U645" t="s">
        <v>74</v>
      </c>
      <c r="V645" t="s">
        <v>74</v>
      </c>
      <c r="W645" t="s">
        <v>11662</v>
      </c>
      <c r="X645" t="s">
        <v>11663</v>
      </c>
      <c r="Y645" t="s">
        <v>74</v>
      </c>
      <c r="Z645" t="s">
        <v>11664</v>
      </c>
      <c r="AA645" t="s">
        <v>74</v>
      </c>
      <c r="AB645" t="s">
        <v>74</v>
      </c>
      <c r="AC645" t="s">
        <v>74</v>
      </c>
      <c r="AD645" t="s">
        <v>74</v>
      </c>
      <c r="AE645" t="s">
        <v>74</v>
      </c>
      <c r="AF645" t="s">
        <v>74</v>
      </c>
      <c r="AG645">
        <v>7</v>
      </c>
      <c r="AH645">
        <v>0</v>
      </c>
      <c r="AI645">
        <v>0</v>
      </c>
      <c r="AJ645">
        <v>0</v>
      </c>
      <c r="AK645">
        <v>1</v>
      </c>
      <c r="AL645" t="s">
        <v>2245</v>
      </c>
      <c r="AM645" t="s">
        <v>673</v>
      </c>
      <c r="AN645" t="s">
        <v>674</v>
      </c>
      <c r="AO645" t="s">
        <v>2246</v>
      </c>
      <c r="AP645" t="s">
        <v>74</v>
      </c>
      <c r="AQ645" t="s">
        <v>74</v>
      </c>
      <c r="AR645" t="s">
        <v>2247</v>
      </c>
      <c r="AS645" t="s">
        <v>2248</v>
      </c>
      <c r="AT645" t="s">
        <v>10610</v>
      </c>
      <c r="AU645">
        <v>2010</v>
      </c>
      <c r="AV645">
        <v>45</v>
      </c>
      <c r="AW645" t="s">
        <v>74</v>
      </c>
      <c r="AX645" t="s">
        <v>74</v>
      </c>
      <c r="AY645" t="s">
        <v>2718</v>
      </c>
      <c r="AZ645" t="s">
        <v>74</v>
      </c>
      <c r="BA645" t="s">
        <v>74</v>
      </c>
      <c r="BB645" t="s">
        <v>11665</v>
      </c>
      <c r="BC645" t="s">
        <v>11665</v>
      </c>
      <c r="BD645" t="s">
        <v>74</v>
      </c>
      <c r="BE645" t="s">
        <v>74</v>
      </c>
      <c r="BF645" t="s">
        <v>74</v>
      </c>
      <c r="BG645" t="s">
        <v>74</v>
      </c>
      <c r="BH645" t="s">
        <v>74</v>
      </c>
      <c r="BI645">
        <v>1</v>
      </c>
      <c r="BJ645" t="s">
        <v>558</v>
      </c>
      <c r="BK645" t="s">
        <v>1219</v>
      </c>
      <c r="BL645" t="s">
        <v>558</v>
      </c>
      <c r="BM645" t="s">
        <v>11619</v>
      </c>
      <c r="BN645" t="s">
        <v>74</v>
      </c>
      <c r="BO645" t="s">
        <v>74</v>
      </c>
      <c r="BP645" t="s">
        <v>74</v>
      </c>
      <c r="BQ645" t="s">
        <v>74</v>
      </c>
      <c r="BR645" t="s">
        <v>104</v>
      </c>
      <c r="BS645" t="s">
        <v>11666</v>
      </c>
      <c r="BT645" t="str">
        <f>HYPERLINK("https%3A%2F%2Fwww.webofscience.com%2Fwos%2Fwoscc%2Ffull-record%2FWOS:000280478700247","View Full Record in Web of Science")</f>
        <v>View Full Record in Web of Science</v>
      </c>
    </row>
    <row r="646" spans="1:72" x14ac:dyDescent="0.15">
      <c r="A646" t="s">
        <v>72</v>
      </c>
      <c r="B646" t="s">
        <v>11667</v>
      </c>
      <c r="C646" t="s">
        <v>74</v>
      </c>
      <c r="D646" t="s">
        <v>74</v>
      </c>
      <c r="E646" t="s">
        <v>74</v>
      </c>
      <c r="F646" t="s">
        <v>11668</v>
      </c>
      <c r="G646" t="s">
        <v>74</v>
      </c>
      <c r="H646" t="s">
        <v>74</v>
      </c>
      <c r="I646" t="s">
        <v>11669</v>
      </c>
      <c r="J646" t="s">
        <v>2234</v>
      </c>
      <c r="K646" t="s">
        <v>74</v>
      </c>
      <c r="L646" t="s">
        <v>74</v>
      </c>
      <c r="M646" t="s">
        <v>78</v>
      </c>
      <c r="N646" t="s">
        <v>52</v>
      </c>
      <c r="O646" t="s">
        <v>11611</v>
      </c>
      <c r="P646" t="s">
        <v>11612</v>
      </c>
      <c r="Q646" t="s">
        <v>11613</v>
      </c>
      <c r="R646" t="s">
        <v>74</v>
      </c>
      <c r="S646" t="s">
        <v>74</v>
      </c>
      <c r="T646" t="s">
        <v>74</v>
      </c>
      <c r="U646" t="s">
        <v>11670</v>
      </c>
      <c r="V646" t="s">
        <v>74</v>
      </c>
      <c r="W646" t="s">
        <v>11671</v>
      </c>
      <c r="X646" t="s">
        <v>11672</v>
      </c>
      <c r="Y646" t="s">
        <v>74</v>
      </c>
      <c r="Z646" t="s">
        <v>11673</v>
      </c>
      <c r="AA646" t="s">
        <v>74</v>
      </c>
      <c r="AB646" t="s">
        <v>74</v>
      </c>
      <c r="AC646" t="s">
        <v>74</v>
      </c>
      <c r="AD646" t="s">
        <v>74</v>
      </c>
      <c r="AE646" t="s">
        <v>74</v>
      </c>
      <c r="AF646" t="s">
        <v>74</v>
      </c>
      <c r="AG646">
        <v>7</v>
      </c>
      <c r="AH646">
        <v>0</v>
      </c>
      <c r="AI646">
        <v>0</v>
      </c>
      <c r="AJ646">
        <v>0</v>
      </c>
      <c r="AK646">
        <v>3</v>
      </c>
      <c r="AL646" t="s">
        <v>338</v>
      </c>
      <c r="AM646" t="s">
        <v>673</v>
      </c>
      <c r="AN646" t="s">
        <v>674</v>
      </c>
      <c r="AO646" t="s">
        <v>2246</v>
      </c>
      <c r="AP646" t="s">
        <v>74</v>
      </c>
      <c r="AQ646" t="s">
        <v>74</v>
      </c>
      <c r="AR646" t="s">
        <v>2247</v>
      </c>
      <c r="AS646" t="s">
        <v>2248</v>
      </c>
      <c r="AT646" t="s">
        <v>10610</v>
      </c>
      <c r="AU646">
        <v>2010</v>
      </c>
      <c r="AV646">
        <v>45</v>
      </c>
      <c r="AW646" t="s">
        <v>74</v>
      </c>
      <c r="AX646" t="s">
        <v>74</v>
      </c>
      <c r="AY646" t="s">
        <v>2718</v>
      </c>
      <c r="AZ646" t="s">
        <v>74</v>
      </c>
      <c r="BA646" t="s">
        <v>74</v>
      </c>
      <c r="BB646" t="s">
        <v>11674</v>
      </c>
      <c r="BC646" t="s">
        <v>11674</v>
      </c>
      <c r="BD646" t="s">
        <v>74</v>
      </c>
      <c r="BE646" t="s">
        <v>74</v>
      </c>
      <c r="BF646" t="s">
        <v>74</v>
      </c>
      <c r="BG646" t="s">
        <v>74</v>
      </c>
      <c r="BH646" t="s">
        <v>74</v>
      </c>
      <c r="BI646">
        <v>1</v>
      </c>
      <c r="BJ646" t="s">
        <v>558</v>
      </c>
      <c r="BK646" t="s">
        <v>1219</v>
      </c>
      <c r="BL646" t="s">
        <v>558</v>
      </c>
      <c r="BM646" t="s">
        <v>11619</v>
      </c>
      <c r="BN646" t="s">
        <v>74</v>
      </c>
      <c r="BO646" t="s">
        <v>74</v>
      </c>
      <c r="BP646" t="s">
        <v>74</v>
      </c>
      <c r="BQ646" t="s">
        <v>74</v>
      </c>
      <c r="BR646" t="s">
        <v>104</v>
      </c>
      <c r="BS646" t="s">
        <v>11675</v>
      </c>
      <c r="BT646" t="str">
        <f>HYPERLINK("https%3A%2F%2Fwww.webofscience.com%2Fwos%2Fwoscc%2Ffull-record%2FWOS:000280478700251","View Full Record in Web of Science")</f>
        <v>View Full Record in Web of Science</v>
      </c>
    </row>
    <row r="647" spans="1:72" x14ac:dyDescent="0.15">
      <c r="A647" t="s">
        <v>72</v>
      </c>
      <c r="B647" t="s">
        <v>11676</v>
      </c>
      <c r="C647" t="s">
        <v>74</v>
      </c>
      <c r="D647" t="s">
        <v>74</v>
      </c>
      <c r="E647" t="s">
        <v>74</v>
      </c>
      <c r="F647" t="s">
        <v>11677</v>
      </c>
      <c r="G647" t="s">
        <v>74</v>
      </c>
      <c r="H647" t="s">
        <v>74</v>
      </c>
      <c r="I647" t="s">
        <v>11678</v>
      </c>
      <c r="J647" t="s">
        <v>2234</v>
      </c>
      <c r="K647" t="s">
        <v>74</v>
      </c>
      <c r="L647" t="s">
        <v>74</v>
      </c>
      <c r="M647" t="s">
        <v>78</v>
      </c>
      <c r="N647" t="s">
        <v>52</v>
      </c>
      <c r="O647" t="s">
        <v>11611</v>
      </c>
      <c r="P647" t="s">
        <v>11612</v>
      </c>
      <c r="Q647" t="s">
        <v>11613</v>
      </c>
      <c r="R647" t="s">
        <v>74</v>
      </c>
      <c r="S647" t="s">
        <v>74</v>
      </c>
      <c r="T647" t="s">
        <v>74</v>
      </c>
      <c r="U647" t="s">
        <v>74</v>
      </c>
      <c r="V647" t="s">
        <v>74</v>
      </c>
      <c r="W647" t="s">
        <v>11679</v>
      </c>
      <c r="X647" t="s">
        <v>11680</v>
      </c>
      <c r="Y647" t="s">
        <v>74</v>
      </c>
      <c r="Z647" t="s">
        <v>11673</v>
      </c>
      <c r="AA647" t="s">
        <v>74</v>
      </c>
      <c r="AB647" t="s">
        <v>74</v>
      </c>
      <c r="AC647" t="s">
        <v>74</v>
      </c>
      <c r="AD647" t="s">
        <v>74</v>
      </c>
      <c r="AE647" t="s">
        <v>74</v>
      </c>
      <c r="AF647" t="s">
        <v>74</v>
      </c>
      <c r="AG647">
        <v>0</v>
      </c>
      <c r="AH647">
        <v>0</v>
      </c>
      <c r="AI647">
        <v>0</v>
      </c>
      <c r="AJ647">
        <v>0</v>
      </c>
      <c r="AK647">
        <v>0</v>
      </c>
      <c r="AL647" t="s">
        <v>338</v>
      </c>
      <c r="AM647" t="s">
        <v>673</v>
      </c>
      <c r="AN647" t="s">
        <v>674</v>
      </c>
      <c r="AO647" t="s">
        <v>2246</v>
      </c>
      <c r="AP647" t="s">
        <v>74</v>
      </c>
      <c r="AQ647" t="s">
        <v>74</v>
      </c>
      <c r="AR647" t="s">
        <v>2247</v>
      </c>
      <c r="AS647" t="s">
        <v>2248</v>
      </c>
      <c r="AT647" t="s">
        <v>10610</v>
      </c>
      <c r="AU647">
        <v>2010</v>
      </c>
      <c r="AV647">
        <v>45</v>
      </c>
      <c r="AW647" t="s">
        <v>74</v>
      </c>
      <c r="AX647" t="s">
        <v>74</v>
      </c>
      <c r="AY647" t="s">
        <v>2718</v>
      </c>
      <c r="AZ647" t="s">
        <v>74</v>
      </c>
      <c r="BA647" t="s">
        <v>74</v>
      </c>
      <c r="BB647" t="s">
        <v>11674</v>
      </c>
      <c r="BC647" t="s">
        <v>11674</v>
      </c>
      <c r="BD647" t="s">
        <v>74</v>
      </c>
      <c r="BE647" t="s">
        <v>74</v>
      </c>
      <c r="BF647" t="s">
        <v>74</v>
      </c>
      <c r="BG647" t="s">
        <v>74</v>
      </c>
      <c r="BH647" t="s">
        <v>74</v>
      </c>
      <c r="BI647">
        <v>1</v>
      </c>
      <c r="BJ647" t="s">
        <v>558</v>
      </c>
      <c r="BK647" t="s">
        <v>1219</v>
      </c>
      <c r="BL647" t="s">
        <v>558</v>
      </c>
      <c r="BM647" t="s">
        <v>11619</v>
      </c>
      <c r="BN647" t="s">
        <v>74</v>
      </c>
      <c r="BO647" t="s">
        <v>74</v>
      </c>
      <c r="BP647" t="s">
        <v>74</v>
      </c>
      <c r="BQ647" t="s">
        <v>74</v>
      </c>
      <c r="BR647" t="s">
        <v>104</v>
      </c>
      <c r="BS647" t="s">
        <v>11681</v>
      </c>
      <c r="BT647" t="str">
        <f>HYPERLINK("https%3A%2F%2Fwww.webofscience.com%2Fwos%2Fwoscc%2Ffull-record%2FWOS:000280478700252","View Full Record in Web of Science")</f>
        <v>View Full Record in Web of Science</v>
      </c>
    </row>
    <row r="648" spans="1:72" x14ac:dyDescent="0.15">
      <c r="A648" t="s">
        <v>72</v>
      </c>
      <c r="B648" t="s">
        <v>11682</v>
      </c>
      <c r="C648" t="s">
        <v>74</v>
      </c>
      <c r="D648" t="s">
        <v>74</v>
      </c>
      <c r="E648" t="s">
        <v>74</v>
      </c>
      <c r="F648" t="s">
        <v>11683</v>
      </c>
      <c r="G648" t="s">
        <v>74</v>
      </c>
      <c r="H648" t="s">
        <v>74</v>
      </c>
      <c r="I648" t="s">
        <v>11684</v>
      </c>
      <c r="J648" t="s">
        <v>2234</v>
      </c>
      <c r="K648" t="s">
        <v>74</v>
      </c>
      <c r="L648" t="s">
        <v>74</v>
      </c>
      <c r="M648" t="s">
        <v>78</v>
      </c>
      <c r="N648" t="s">
        <v>52</v>
      </c>
      <c r="O648" t="s">
        <v>11611</v>
      </c>
      <c r="P648" t="s">
        <v>11612</v>
      </c>
      <c r="Q648" t="s">
        <v>11613</v>
      </c>
      <c r="R648" t="s">
        <v>74</v>
      </c>
      <c r="S648" t="s">
        <v>74</v>
      </c>
      <c r="T648" t="s">
        <v>74</v>
      </c>
      <c r="U648" t="s">
        <v>74</v>
      </c>
      <c r="V648" t="s">
        <v>74</v>
      </c>
      <c r="W648" t="s">
        <v>11685</v>
      </c>
      <c r="X648" t="s">
        <v>11686</v>
      </c>
      <c r="Y648" t="s">
        <v>74</v>
      </c>
      <c r="Z648" t="s">
        <v>74</v>
      </c>
      <c r="AA648" t="s">
        <v>74</v>
      </c>
      <c r="AB648" t="s">
        <v>74</v>
      </c>
      <c r="AC648" t="s">
        <v>74</v>
      </c>
      <c r="AD648" t="s">
        <v>74</v>
      </c>
      <c r="AE648" t="s">
        <v>74</v>
      </c>
      <c r="AF648" t="s">
        <v>74</v>
      </c>
      <c r="AG648">
        <v>6</v>
      </c>
      <c r="AH648">
        <v>0</v>
      </c>
      <c r="AI648">
        <v>0</v>
      </c>
      <c r="AJ648">
        <v>0</v>
      </c>
      <c r="AK648">
        <v>1</v>
      </c>
      <c r="AL648" t="s">
        <v>2245</v>
      </c>
      <c r="AM648" t="s">
        <v>673</v>
      </c>
      <c r="AN648" t="s">
        <v>674</v>
      </c>
      <c r="AO648" t="s">
        <v>2246</v>
      </c>
      <c r="AP648" t="s">
        <v>74</v>
      </c>
      <c r="AQ648" t="s">
        <v>74</v>
      </c>
      <c r="AR648" t="s">
        <v>2247</v>
      </c>
      <c r="AS648" t="s">
        <v>2248</v>
      </c>
      <c r="AT648" t="s">
        <v>10610</v>
      </c>
      <c r="AU648">
        <v>2010</v>
      </c>
      <c r="AV648">
        <v>45</v>
      </c>
      <c r="AW648" t="s">
        <v>74</v>
      </c>
      <c r="AX648" t="s">
        <v>74</v>
      </c>
      <c r="AY648" t="s">
        <v>2718</v>
      </c>
      <c r="AZ648" t="s">
        <v>74</v>
      </c>
      <c r="BA648" t="s">
        <v>74</v>
      </c>
      <c r="BB648" t="s">
        <v>11687</v>
      </c>
      <c r="BC648" t="s">
        <v>11687</v>
      </c>
      <c r="BD648" t="s">
        <v>74</v>
      </c>
      <c r="BE648" t="s">
        <v>74</v>
      </c>
      <c r="BF648" t="s">
        <v>74</v>
      </c>
      <c r="BG648" t="s">
        <v>74</v>
      </c>
      <c r="BH648" t="s">
        <v>74</v>
      </c>
      <c r="BI648">
        <v>1</v>
      </c>
      <c r="BJ648" t="s">
        <v>558</v>
      </c>
      <c r="BK648" t="s">
        <v>1219</v>
      </c>
      <c r="BL648" t="s">
        <v>558</v>
      </c>
      <c r="BM648" t="s">
        <v>11619</v>
      </c>
      <c r="BN648" t="s">
        <v>74</v>
      </c>
      <c r="BO648" t="s">
        <v>74</v>
      </c>
      <c r="BP648" t="s">
        <v>74</v>
      </c>
      <c r="BQ648" t="s">
        <v>74</v>
      </c>
      <c r="BR648" t="s">
        <v>104</v>
      </c>
      <c r="BS648" t="s">
        <v>11688</v>
      </c>
      <c r="BT648" t="str">
        <f>HYPERLINK("https%3A%2F%2Fwww.webofscience.com%2Fwos%2Fwoscc%2Ffull-record%2FWOS:000280478700254","View Full Record in Web of Science")</f>
        <v>View Full Record in Web of Science</v>
      </c>
    </row>
    <row r="649" spans="1:72" x14ac:dyDescent="0.15">
      <c r="A649" t="s">
        <v>72</v>
      </c>
      <c r="B649" t="s">
        <v>11689</v>
      </c>
      <c r="C649" t="s">
        <v>74</v>
      </c>
      <c r="D649" t="s">
        <v>74</v>
      </c>
      <c r="E649" t="s">
        <v>74</v>
      </c>
      <c r="F649" t="s">
        <v>11690</v>
      </c>
      <c r="G649" t="s">
        <v>74</v>
      </c>
      <c r="H649" t="s">
        <v>74</v>
      </c>
      <c r="I649" t="s">
        <v>11691</v>
      </c>
      <c r="J649" t="s">
        <v>2234</v>
      </c>
      <c r="K649" t="s">
        <v>74</v>
      </c>
      <c r="L649" t="s">
        <v>74</v>
      </c>
      <c r="M649" t="s">
        <v>78</v>
      </c>
      <c r="N649" t="s">
        <v>52</v>
      </c>
      <c r="O649" t="s">
        <v>11611</v>
      </c>
      <c r="P649" t="s">
        <v>11612</v>
      </c>
      <c r="Q649" t="s">
        <v>11613</v>
      </c>
      <c r="R649" t="s">
        <v>74</v>
      </c>
      <c r="S649" t="s">
        <v>74</v>
      </c>
      <c r="T649" t="s">
        <v>74</v>
      </c>
      <c r="U649" t="s">
        <v>74</v>
      </c>
      <c r="V649" t="s">
        <v>74</v>
      </c>
      <c r="W649" t="s">
        <v>74</v>
      </c>
      <c r="X649" t="s">
        <v>74</v>
      </c>
      <c r="Y649" t="s">
        <v>74</v>
      </c>
      <c r="Z649" t="s">
        <v>11692</v>
      </c>
      <c r="AA649" t="s">
        <v>11693</v>
      </c>
      <c r="AB649" t="s">
        <v>11694</v>
      </c>
      <c r="AC649" t="s">
        <v>74</v>
      </c>
      <c r="AD649" t="s">
        <v>74</v>
      </c>
      <c r="AE649" t="s">
        <v>74</v>
      </c>
      <c r="AF649" t="s">
        <v>74</v>
      </c>
      <c r="AG649">
        <v>1</v>
      </c>
      <c r="AH649">
        <v>0</v>
      </c>
      <c r="AI649">
        <v>0</v>
      </c>
      <c r="AJ649">
        <v>0</v>
      </c>
      <c r="AK649">
        <v>3</v>
      </c>
      <c r="AL649" t="s">
        <v>2245</v>
      </c>
      <c r="AM649" t="s">
        <v>673</v>
      </c>
      <c r="AN649" t="s">
        <v>674</v>
      </c>
      <c r="AO649" t="s">
        <v>2246</v>
      </c>
      <c r="AP649" t="s">
        <v>74</v>
      </c>
      <c r="AQ649" t="s">
        <v>74</v>
      </c>
      <c r="AR649" t="s">
        <v>2247</v>
      </c>
      <c r="AS649" t="s">
        <v>2248</v>
      </c>
      <c r="AT649" t="s">
        <v>10610</v>
      </c>
      <c r="AU649">
        <v>2010</v>
      </c>
      <c r="AV649">
        <v>45</v>
      </c>
      <c r="AW649" t="s">
        <v>74</v>
      </c>
      <c r="AX649" t="s">
        <v>74</v>
      </c>
      <c r="AY649" t="s">
        <v>2718</v>
      </c>
      <c r="AZ649" t="s">
        <v>74</v>
      </c>
      <c r="BA649" t="s">
        <v>74</v>
      </c>
      <c r="BB649" t="s">
        <v>11695</v>
      </c>
      <c r="BC649" t="s">
        <v>11695</v>
      </c>
      <c r="BD649" t="s">
        <v>74</v>
      </c>
      <c r="BE649" t="s">
        <v>74</v>
      </c>
      <c r="BF649" t="s">
        <v>74</v>
      </c>
      <c r="BG649" t="s">
        <v>74</v>
      </c>
      <c r="BH649" t="s">
        <v>74</v>
      </c>
      <c r="BI649">
        <v>1</v>
      </c>
      <c r="BJ649" t="s">
        <v>558</v>
      </c>
      <c r="BK649" t="s">
        <v>1219</v>
      </c>
      <c r="BL649" t="s">
        <v>558</v>
      </c>
      <c r="BM649" t="s">
        <v>11619</v>
      </c>
      <c r="BN649" t="s">
        <v>74</v>
      </c>
      <c r="BO649" t="s">
        <v>74</v>
      </c>
      <c r="BP649" t="s">
        <v>74</v>
      </c>
      <c r="BQ649" t="s">
        <v>74</v>
      </c>
      <c r="BR649" t="s">
        <v>104</v>
      </c>
      <c r="BS649" t="s">
        <v>11696</v>
      </c>
      <c r="BT649" t="str">
        <f>HYPERLINK("https%3A%2F%2Fwww.webofscience.com%2Fwos%2Fwoscc%2Ffull-record%2FWOS:000280478700291","View Full Record in Web of Science")</f>
        <v>View Full Record in Web of Science</v>
      </c>
    </row>
    <row r="650" spans="1:72" x14ac:dyDescent="0.15">
      <c r="A650" t="s">
        <v>72</v>
      </c>
      <c r="B650" t="s">
        <v>11697</v>
      </c>
      <c r="C650" t="s">
        <v>74</v>
      </c>
      <c r="D650" t="s">
        <v>74</v>
      </c>
      <c r="E650" t="s">
        <v>74</v>
      </c>
      <c r="F650" t="s">
        <v>11698</v>
      </c>
      <c r="G650" t="s">
        <v>74</v>
      </c>
      <c r="H650" t="s">
        <v>74</v>
      </c>
      <c r="I650" t="s">
        <v>11699</v>
      </c>
      <c r="J650" t="s">
        <v>2234</v>
      </c>
      <c r="K650" t="s">
        <v>74</v>
      </c>
      <c r="L650" t="s">
        <v>74</v>
      </c>
      <c r="M650" t="s">
        <v>78</v>
      </c>
      <c r="N650" t="s">
        <v>52</v>
      </c>
      <c r="O650" t="s">
        <v>11611</v>
      </c>
      <c r="P650" t="s">
        <v>11612</v>
      </c>
      <c r="Q650" t="s">
        <v>11613</v>
      </c>
      <c r="R650" t="s">
        <v>74</v>
      </c>
      <c r="S650" t="s">
        <v>74</v>
      </c>
      <c r="T650" t="s">
        <v>74</v>
      </c>
      <c r="U650" t="s">
        <v>11700</v>
      </c>
      <c r="V650" t="s">
        <v>74</v>
      </c>
      <c r="W650" t="s">
        <v>11701</v>
      </c>
      <c r="X650" t="s">
        <v>11702</v>
      </c>
      <c r="Y650" t="s">
        <v>74</v>
      </c>
      <c r="Z650" t="s">
        <v>11703</v>
      </c>
      <c r="AA650" t="s">
        <v>3903</v>
      </c>
      <c r="AB650" t="s">
        <v>74</v>
      </c>
      <c r="AC650" t="s">
        <v>74</v>
      </c>
      <c r="AD650" t="s">
        <v>74</v>
      </c>
      <c r="AE650" t="s">
        <v>74</v>
      </c>
      <c r="AF650" t="s">
        <v>74</v>
      </c>
      <c r="AG650">
        <v>7</v>
      </c>
      <c r="AH650">
        <v>0</v>
      </c>
      <c r="AI650">
        <v>0</v>
      </c>
      <c r="AJ650">
        <v>0</v>
      </c>
      <c r="AK650">
        <v>1</v>
      </c>
      <c r="AL650" t="s">
        <v>338</v>
      </c>
      <c r="AM650" t="s">
        <v>673</v>
      </c>
      <c r="AN650" t="s">
        <v>674</v>
      </c>
      <c r="AO650" t="s">
        <v>2246</v>
      </c>
      <c r="AP650" t="s">
        <v>74</v>
      </c>
      <c r="AQ650" t="s">
        <v>74</v>
      </c>
      <c r="AR650" t="s">
        <v>2247</v>
      </c>
      <c r="AS650" t="s">
        <v>2248</v>
      </c>
      <c r="AT650" t="s">
        <v>10610</v>
      </c>
      <c r="AU650">
        <v>2010</v>
      </c>
      <c r="AV650">
        <v>45</v>
      </c>
      <c r="AW650" t="s">
        <v>74</v>
      </c>
      <c r="AX650" t="s">
        <v>74</v>
      </c>
      <c r="AY650" t="s">
        <v>2718</v>
      </c>
      <c r="AZ650" t="s">
        <v>74</v>
      </c>
      <c r="BA650" t="s">
        <v>74</v>
      </c>
      <c r="BB650" t="s">
        <v>11704</v>
      </c>
      <c r="BC650" t="s">
        <v>11704</v>
      </c>
      <c r="BD650" t="s">
        <v>74</v>
      </c>
      <c r="BE650" t="s">
        <v>74</v>
      </c>
      <c r="BF650" t="s">
        <v>74</v>
      </c>
      <c r="BG650" t="s">
        <v>74</v>
      </c>
      <c r="BH650" t="s">
        <v>74</v>
      </c>
      <c r="BI650">
        <v>1</v>
      </c>
      <c r="BJ650" t="s">
        <v>558</v>
      </c>
      <c r="BK650" t="s">
        <v>1219</v>
      </c>
      <c r="BL650" t="s">
        <v>558</v>
      </c>
      <c r="BM650" t="s">
        <v>11619</v>
      </c>
      <c r="BN650" t="s">
        <v>74</v>
      </c>
      <c r="BO650" t="s">
        <v>74</v>
      </c>
      <c r="BP650" t="s">
        <v>74</v>
      </c>
      <c r="BQ650" t="s">
        <v>74</v>
      </c>
      <c r="BR650" t="s">
        <v>104</v>
      </c>
      <c r="BS650" t="s">
        <v>11705</v>
      </c>
      <c r="BT650" t="str">
        <f>HYPERLINK("https%3A%2F%2Fwww.webofscience.com%2Fwos%2Fwoscc%2Ffull-record%2FWOS:000280478700314","View Full Record in Web of Science")</f>
        <v>View Full Record in Web of Science</v>
      </c>
    </row>
    <row r="651" spans="1:72" x14ac:dyDescent="0.15">
      <c r="A651" t="s">
        <v>72</v>
      </c>
      <c r="B651" t="s">
        <v>11706</v>
      </c>
      <c r="C651" t="s">
        <v>74</v>
      </c>
      <c r="D651" t="s">
        <v>74</v>
      </c>
      <c r="E651" t="s">
        <v>74</v>
      </c>
      <c r="F651" t="s">
        <v>11707</v>
      </c>
      <c r="G651" t="s">
        <v>74</v>
      </c>
      <c r="H651" t="s">
        <v>74</v>
      </c>
      <c r="I651" t="s">
        <v>11708</v>
      </c>
      <c r="J651" t="s">
        <v>2234</v>
      </c>
      <c r="K651" t="s">
        <v>74</v>
      </c>
      <c r="L651" t="s">
        <v>74</v>
      </c>
      <c r="M651" t="s">
        <v>78</v>
      </c>
      <c r="N651" t="s">
        <v>52</v>
      </c>
      <c r="O651" t="s">
        <v>11611</v>
      </c>
      <c r="P651" t="s">
        <v>11612</v>
      </c>
      <c r="Q651" t="s">
        <v>11613</v>
      </c>
      <c r="R651" t="s">
        <v>74</v>
      </c>
      <c r="S651" t="s">
        <v>74</v>
      </c>
      <c r="T651" t="s">
        <v>74</v>
      </c>
      <c r="U651" t="s">
        <v>11709</v>
      </c>
      <c r="V651" t="s">
        <v>74</v>
      </c>
      <c r="W651" t="s">
        <v>11710</v>
      </c>
      <c r="X651" t="s">
        <v>11711</v>
      </c>
      <c r="Y651" t="s">
        <v>74</v>
      </c>
      <c r="Z651" t="s">
        <v>11712</v>
      </c>
      <c r="AA651" t="s">
        <v>74</v>
      </c>
      <c r="AB651" t="s">
        <v>74</v>
      </c>
      <c r="AC651" t="s">
        <v>74</v>
      </c>
      <c r="AD651" t="s">
        <v>74</v>
      </c>
      <c r="AE651" t="s">
        <v>74</v>
      </c>
      <c r="AF651" t="s">
        <v>74</v>
      </c>
      <c r="AG651">
        <v>8</v>
      </c>
      <c r="AH651">
        <v>0</v>
      </c>
      <c r="AI651">
        <v>0</v>
      </c>
      <c r="AJ651">
        <v>0</v>
      </c>
      <c r="AK651">
        <v>3</v>
      </c>
      <c r="AL651" t="s">
        <v>338</v>
      </c>
      <c r="AM651" t="s">
        <v>673</v>
      </c>
      <c r="AN651" t="s">
        <v>674</v>
      </c>
      <c r="AO651" t="s">
        <v>2246</v>
      </c>
      <c r="AP651" t="s">
        <v>74</v>
      </c>
      <c r="AQ651" t="s">
        <v>74</v>
      </c>
      <c r="AR651" t="s">
        <v>2247</v>
      </c>
      <c r="AS651" t="s">
        <v>2248</v>
      </c>
      <c r="AT651" t="s">
        <v>10610</v>
      </c>
      <c r="AU651">
        <v>2010</v>
      </c>
      <c r="AV651">
        <v>45</v>
      </c>
      <c r="AW651" t="s">
        <v>74</v>
      </c>
      <c r="AX651" t="s">
        <v>74</v>
      </c>
      <c r="AY651" t="s">
        <v>2718</v>
      </c>
      <c r="AZ651" t="s">
        <v>74</v>
      </c>
      <c r="BA651" t="s">
        <v>74</v>
      </c>
      <c r="BB651" t="s">
        <v>11713</v>
      </c>
      <c r="BC651" t="s">
        <v>11713</v>
      </c>
      <c r="BD651" t="s">
        <v>74</v>
      </c>
      <c r="BE651" t="s">
        <v>74</v>
      </c>
      <c r="BF651" t="s">
        <v>74</v>
      </c>
      <c r="BG651" t="s">
        <v>74</v>
      </c>
      <c r="BH651" t="s">
        <v>74</v>
      </c>
      <c r="BI651">
        <v>1</v>
      </c>
      <c r="BJ651" t="s">
        <v>558</v>
      </c>
      <c r="BK651" t="s">
        <v>1219</v>
      </c>
      <c r="BL651" t="s">
        <v>558</v>
      </c>
      <c r="BM651" t="s">
        <v>11619</v>
      </c>
      <c r="BN651" t="s">
        <v>74</v>
      </c>
      <c r="BO651" t="s">
        <v>74</v>
      </c>
      <c r="BP651" t="s">
        <v>74</v>
      </c>
      <c r="BQ651" t="s">
        <v>74</v>
      </c>
      <c r="BR651" t="s">
        <v>104</v>
      </c>
      <c r="BS651" t="s">
        <v>11714</v>
      </c>
      <c r="BT651" t="str">
        <f>HYPERLINK("https%3A%2F%2Fwww.webofscience.com%2Fwos%2Fwoscc%2Ffull-record%2FWOS:000280478700424","View Full Record in Web of Science")</f>
        <v>View Full Record in Web of Science</v>
      </c>
    </row>
    <row r="652" spans="1:72" x14ac:dyDescent="0.15">
      <c r="A652" t="s">
        <v>72</v>
      </c>
      <c r="B652" t="s">
        <v>11715</v>
      </c>
      <c r="C652" t="s">
        <v>74</v>
      </c>
      <c r="D652" t="s">
        <v>74</v>
      </c>
      <c r="E652" t="s">
        <v>74</v>
      </c>
      <c r="F652" t="s">
        <v>11716</v>
      </c>
      <c r="G652" t="s">
        <v>74</v>
      </c>
      <c r="H652" t="s">
        <v>74</v>
      </c>
      <c r="I652" t="s">
        <v>11717</v>
      </c>
      <c r="J652" t="s">
        <v>1005</v>
      </c>
      <c r="K652" t="s">
        <v>74</v>
      </c>
      <c r="L652" t="s">
        <v>74</v>
      </c>
      <c r="M652" t="s">
        <v>78</v>
      </c>
      <c r="N652" t="s">
        <v>79</v>
      </c>
      <c r="O652" t="s">
        <v>74</v>
      </c>
      <c r="P652" t="s">
        <v>74</v>
      </c>
      <c r="Q652" t="s">
        <v>74</v>
      </c>
      <c r="R652" t="s">
        <v>74</v>
      </c>
      <c r="S652" t="s">
        <v>74</v>
      </c>
      <c r="T652" t="s">
        <v>74</v>
      </c>
      <c r="U652" t="s">
        <v>11718</v>
      </c>
      <c r="V652" t="s">
        <v>11719</v>
      </c>
      <c r="W652" t="s">
        <v>11720</v>
      </c>
      <c r="X652" t="s">
        <v>11721</v>
      </c>
      <c r="Y652" t="s">
        <v>11722</v>
      </c>
      <c r="Z652" t="s">
        <v>11723</v>
      </c>
      <c r="AA652" t="s">
        <v>74</v>
      </c>
      <c r="AB652" t="s">
        <v>9489</v>
      </c>
      <c r="AC652" t="s">
        <v>11724</v>
      </c>
      <c r="AD652" t="s">
        <v>11725</v>
      </c>
      <c r="AE652" t="s">
        <v>11726</v>
      </c>
      <c r="AF652" t="s">
        <v>74</v>
      </c>
      <c r="AG652">
        <v>39</v>
      </c>
      <c r="AH652">
        <v>75</v>
      </c>
      <c r="AI652">
        <v>86</v>
      </c>
      <c r="AJ652">
        <v>1</v>
      </c>
      <c r="AK652">
        <v>34</v>
      </c>
      <c r="AL652" t="s">
        <v>464</v>
      </c>
      <c r="AM652" t="s">
        <v>310</v>
      </c>
      <c r="AN652" t="s">
        <v>971</v>
      </c>
      <c r="AO652" t="s">
        <v>1017</v>
      </c>
      <c r="AP652" t="s">
        <v>1018</v>
      </c>
      <c r="AQ652" t="s">
        <v>74</v>
      </c>
      <c r="AR652" t="s">
        <v>1019</v>
      </c>
      <c r="AS652" t="s">
        <v>1020</v>
      </c>
      <c r="AT652" t="s">
        <v>10610</v>
      </c>
      <c r="AU652">
        <v>2010</v>
      </c>
      <c r="AV652">
        <v>60</v>
      </c>
      <c r="AW652">
        <v>1</v>
      </c>
      <c r="AX652" t="s">
        <v>74</v>
      </c>
      <c r="AY652" t="s">
        <v>74</v>
      </c>
      <c r="AZ652" t="s">
        <v>74</v>
      </c>
      <c r="BA652" t="s">
        <v>74</v>
      </c>
      <c r="BB652">
        <v>29</v>
      </c>
      <c r="BC652">
        <v>38</v>
      </c>
      <c r="BD652" t="s">
        <v>74</v>
      </c>
      <c r="BE652" t="s">
        <v>11727</v>
      </c>
      <c r="BF652" t="str">
        <f>HYPERLINK("http://dx.doi.org/10.1007/s00248-010-9664-z","http://dx.doi.org/10.1007/s00248-010-9664-z")</f>
        <v>http://dx.doi.org/10.1007/s00248-010-9664-z</v>
      </c>
      <c r="BG652" t="s">
        <v>74</v>
      </c>
      <c r="BH652" t="s">
        <v>74</v>
      </c>
      <c r="BI652">
        <v>10</v>
      </c>
      <c r="BJ652" t="s">
        <v>1022</v>
      </c>
      <c r="BK652" t="s">
        <v>100</v>
      </c>
      <c r="BL652" t="s">
        <v>1023</v>
      </c>
      <c r="BM652" t="s">
        <v>11728</v>
      </c>
      <c r="BN652">
        <v>20386896</v>
      </c>
      <c r="BO652" t="s">
        <v>74</v>
      </c>
      <c r="BP652" t="s">
        <v>74</v>
      </c>
      <c r="BQ652" t="s">
        <v>74</v>
      </c>
      <c r="BR652" t="s">
        <v>104</v>
      </c>
      <c r="BS652" t="s">
        <v>11729</v>
      </c>
      <c r="BT652" t="str">
        <f>HYPERLINK("https%3A%2F%2Fwww.webofscience.com%2Fwos%2Fwoscc%2Ffull-record%2FWOS:000280701500003","View Full Record in Web of Science")</f>
        <v>View Full Record in Web of Science</v>
      </c>
    </row>
    <row r="653" spans="1:72" x14ac:dyDescent="0.15">
      <c r="A653" t="s">
        <v>72</v>
      </c>
      <c r="B653" t="s">
        <v>11730</v>
      </c>
      <c r="C653" t="s">
        <v>74</v>
      </c>
      <c r="D653" t="s">
        <v>74</v>
      </c>
      <c r="E653" t="s">
        <v>74</v>
      </c>
      <c r="F653" t="s">
        <v>11731</v>
      </c>
      <c r="G653" t="s">
        <v>74</v>
      </c>
      <c r="H653" t="s">
        <v>74</v>
      </c>
      <c r="I653" t="s">
        <v>11732</v>
      </c>
      <c r="J653" t="s">
        <v>11733</v>
      </c>
      <c r="K653" t="s">
        <v>74</v>
      </c>
      <c r="L653" t="s">
        <v>74</v>
      </c>
      <c r="M653" t="s">
        <v>78</v>
      </c>
      <c r="N653" t="s">
        <v>79</v>
      </c>
      <c r="O653" t="s">
        <v>74</v>
      </c>
      <c r="P653" t="s">
        <v>74</v>
      </c>
      <c r="Q653" t="s">
        <v>74</v>
      </c>
      <c r="R653" t="s">
        <v>74</v>
      </c>
      <c r="S653" t="s">
        <v>74</v>
      </c>
      <c r="T653" t="s">
        <v>74</v>
      </c>
      <c r="U653" t="s">
        <v>11734</v>
      </c>
      <c r="V653" t="s">
        <v>11735</v>
      </c>
      <c r="W653" t="s">
        <v>11736</v>
      </c>
      <c r="X653" t="s">
        <v>11737</v>
      </c>
      <c r="Y653" t="s">
        <v>1817</v>
      </c>
      <c r="Z653" t="s">
        <v>11738</v>
      </c>
      <c r="AA653" t="s">
        <v>11739</v>
      </c>
      <c r="AB653" t="s">
        <v>11740</v>
      </c>
      <c r="AC653" t="s">
        <v>11741</v>
      </c>
      <c r="AD653" t="s">
        <v>11742</v>
      </c>
      <c r="AE653" t="s">
        <v>11743</v>
      </c>
      <c r="AF653" t="s">
        <v>74</v>
      </c>
      <c r="AG653">
        <v>85</v>
      </c>
      <c r="AH653">
        <v>36</v>
      </c>
      <c r="AI653">
        <v>40</v>
      </c>
      <c r="AJ653">
        <v>0</v>
      </c>
      <c r="AK653">
        <v>18</v>
      </c>
      <c r="AL653" t="s">
        <v>9662</v>
      </c>
      <c r="AM653" t="s">
        <v>9663</v>
      </c>
      <c r="AN653" t="s">
        <v>9664</v>
      </c>
      <c r="AO653" t="s">
        <v>11744</v>
      </c>
      <c r="AP653" t="s">
        <v>11745</v>
      </c>
      <c r="AQ653" t="s">
        <v>74</v>
      </c>
      <c r="AR653" t="s">
        <v>11746</v>
      </c>
      <c r="AS653" t="s">
        <v>11747</v>
      </c>
      <c r="AT653" t="s">
        <v>10610</v>
      </c>
      <c r="AU653">
        <v>2010</v>
      </c>
      <c r="AV653">
        <v>99</v>
      </c>
      <c r="AW653" t="s">
        <v>556</v>
      </c>
      <c r="AX653" t="s">
        <v>74</v>
      </c>
      <c r="AY653" t="s">
        <v>74</v>
      </c>
      <c r="AZ653" t="s">
        <v>74</v>
      </c>
      <c r="BA653" t="s">
        <v>74</v>
      </c>
      <c r="BB653">
        <v>201</v>
      </c>
      <c r="BC653">
        <v>217</v>
      </c>
      <c r="BD653" t="s">
        <v>74</v>
      </c>
      <c r="BE653" t="s">
        <v>11748</v>
      </c>
      <c r="BF653" t="str">
        <f>HYPERLINK("http://dx.doi.org/10.1007/s00710-010-0115-9","http://dx.doi.org/10.1007/s00710-010-0115-9")</f>
        <v>http://dx.doi.org/10.1007/s00710-010-0115-9</v>
      </c>
      <c r="BG653" t="s">
        <v>74</v>
      </c>
      <c r="BH653" t="s">
        <v>74</v>
      </c>
      <c r="BI653">
        <v>17</v>
      </c>
      <c r="BJ653" t="s">
        <v>11749</v>
      </c>
      <c r="BK653" t="s">
        <v>100</v>
      </c>
      <c r="BL653" t="s">
        <v>11749</v>
      </c>
      <c r="BM653" t="s">
        <v>11750</v>
      </c>
      <c r="BN653" t="s">
        <v>74</v>
      </c>
      <c r="BO653" t="s">
        <v>74</v>
      </c>
      <c r="BP653" t="s">
        <v>74</v>
      </c>
      <c r="BQ653" t="s">
        <v>74</v>
      </c>
      <c r="BR653" t="s">
        <v>104</v>
      </c>
      <c r="BS653" t="s">
        <v>11751</v>
      </c>
      <c r="BT653" t="str">
        <f>HYPERLINK("https%3A%2F%2Fwww.webofscience.com%2Fwos%2Fwoscc%2Ffull-record%2FWOS:000280073300004","View Full Record in Web of Science")</f>
        <v>View Full Record in Web of Science</v>
      </c>
    </row>
    <row r="654" spans="1:72" x14ac:dyDescent="0.15">
      <c r="A654" t="s">
        <v>72</v>
      </c>
      <c r="B654" t="s">
        <v>11752</v>
      </c>
      <c r="C654" t="s">
        <v>74</v>
      </c>
      <c r="D654" t="s">
        <v>74</v>
      </c>
      <c r="E654" t="s">
        <v>74</v>
      </c>
      <c r="F654" t="s">
        <v>11753</v>
      </c>
      <c r="G654" t="s">
        <v>74</v>
      </c>
      <c r="H654" t="s">
        <v>74</v>
      </c>
      <c r="I654" t="s">
        <v>11754</v>
      </c>
      <c r="J654" t="s">
        <v>1125</v>
      </c>
      <c r="K654" t="s">
        <v>74</v>
      </c>
      <c r="L654" t="s">
        <v>74</v>
      </c>
      <c r="M654" t="s">
        <v>78</v>
      </c>
      <c r="N654" t="s">
        <v>79</v>
      </c>
      <c r="O654" t="s">
        <v>74</v>
      </c>
      <c r="P654" t="s">
        <v>74</v>
      </c>
      <c r="Q654" t="s">
        <v>74</v>
      </c>
      <c r="R654" t="s">
        <v>74</v>
      </c>
      <c r="S654" t="s">
        <v>74</v>
      </c>
      <c r="T654" t="s">
        <v>11755</v>
      </c>
      <c r="U654" t="s">
        <v>11756</v>
      </c>
      <c r="V654" t="s">
        <v>11757</v>
      </c>
      <c r="W654" t="s">
        <v>11758</v>
      </c>
      <c r="X654" t="s">
        <v>11759</v>
      </c>
      <c r="Y654" t="s">
        <v>11760</v>
      </c>
      <c r="Z654" t="s">
        <v>11761</v>
      </c>
      <c r="AA654" t="s">
        <v>11762</v>
      </c>
      <c r="AB654" t="s">
        <v>11763</v>
      </c>
      <c r="AC654" t="s">
        <v>11764</v>
      </c>
      <c r="AD654" t="s">
        <v>11765</v>
      </c>
      <c r="AE654" t="s">
        <v>11766</v>
      </c>
      <c r="AF654" t="s">
        <v>74</v>
      </c>
      <c r="AG654">
        <v>84</v>
      </c>
      <c r="AH654">
        <v>60</v>
      </c>
      <c r="AI654">
        <v>71</v>
      </c>
      <c r="AJ654">
        <v>0</v>
      </c>
      <c r="AK654">
        <v>36</v>
      </c>
      <c r="AL654" t="s">
        <v>1136</v>
      </c>
      <c r="AM654" t="s">
        <v>1137</v>
      </c>
      <c r="AN654" t="s">
        <v>1138</v>
      </c>
      <c r="AO654" t="s">
        <v>1139</v>
      </c>
      <c r="AP654" t="s">
        <v>1140</v>
      </c>
      <c r="AQ654" t="s">
        <v>74</v>
      </c>
      <c r="AR654" t="s">
        <v>1141</v>
      </c>
      <c r="AS654" t="s">
        <v>1142</v>
      </c>
      <c r="AT654" t="s">
        <v>10610</v>
      </c>
      <c r="AU654">
        <v>2010</v>
      </c>
      <c r="AV654">
        <v>56</v>
      </c>
      <c r="AW654">
        <v>1</v>
      </c>
      <c r="AX654" t="s">
        <v>74</v>
      </c>
      <c r="AY654" t="s">
        <v>74</v>
      </c>
      <c r="AZ654" t="s">
        <v>74</v>
      </c>
      <c r="BA654" t="s">
        <v>74</v>
      </c>
      <c r="BB654">
        <v>115</v>
      </c>
      <c r="BC654">
        <v>124</v>
      </c>
      <c r="BD654" t="s">
        <v>74</v>
      </c>
      <c r="BE654" t="s">
        <v>11767</v>
      </c>
      <c r="BF654" t="str">
        <f>HYPERLINK("http://dx.doi.org/10.1016/j.ympev.2010.02.001","http://dx.doi.org/10.1016/j.ympev.2010.02.001")</f>
        <v>http://dx.doi.org/10.1016/j.ympev.2010.02.001</v>
      </c>
      <c r="BG654" t="s">
        <v>74</v>
      </c>
      <c r="BH654" t="s">
        <v>74</v>
      </c>
      <c r="BI654">
        <v>10</v>
      </c>
      <c r="BJ654" t="s">
        <v>1144</v>
      </c>
      <c r="BK654" t="s">
        <v>100</v>
      </c>
      <c r="BL654" t="s">
        <v>1144</v>
      </c>
      <c r="BM654" t="s">
        <v>11768</v>
      </c>
      <c r="BN654">
        <v>20139020</v>
      </c>
      <c r="BO654" t="s">
        <v>74</v>
      </c>
      <c r="BP654" t="s">
        <v>74</v>
      </c>
      <c r="BQ654" t="s">
        <v>74</v>
      </c>
      <c r="BR654" t="s">
        <v>104</v>
      </c>
      <c r="BS654" t="s">
        <v>11769</v>
      </c>
      <c r="BT654" t="str">
        <f>HYPERLINK("https%3A%2F%2Fwww.webofscience.com%2Fwos%2Fwoscc%2Ffull-record%2FWOS:000278589500010","View Full Record in Web of Science")</f>
        <v>View Full Record in Web of Science</v>
      </c>
    </row>
    <row r="655" spans="1:72" x14ac:dyDescent="0.15">
      <c r="A655" t="s">
        <v>72</v>
      </c>
      <c r="B655" t="s">
        <v>11770</v>
      </c>
      <c r="C655" t="s">
        <v>74</v>
      </c>
      <c r="D655" t="s">
        <v>74</v>
      </c>
      <c r="E655" t="s">
        <v>74</v>
      </c>
      <c r="F655" t="s">
        <v>11771</v>
      </c>
      <c r="G655" t="s">
        <v>74</v>
      </c>
      <c r="H655" t="s">
        <v>74</v>
      </c>
      <c r="I655" t="s">
        <v>11772</v>
      </c>
      <c r="J655" t="s">
        <v>1762</v>
      </c>
      <c r="K655" t="s">
        <v>74</v>
      </c>
      <c r="L655" t="s">
        <v>74</v>
      </c>
      <c r="M655" t="s">
        <v>78</v>
      </c>
      <c r="N655" t="s">
        <v>326</v>
      </c>
      <c r="O655" t="s">
        <v>74</v>
      </c>
      <c r="P655" t="s">
        <v>74</v>
      </c>
      <c r="Q655" t="s">
        <v>74</v>
      </c>
      <c r="R655" t="s">
        <v>74</v>
      </c>
      <c r="S655" t="s">
        <v>74</v>
      </c>
      <c r="T655" t="s">
        <v>74</v>
      </c>
      <c r="U655" t="s">
        <v>11773</v>
      </c>
      <c r="V655" t="s">
        <v>11774</v>
      </c>
      <c r="W655" t="s">
        <v>11775</v>
      </c>
      <c r="X655" t="s">
        <v>11776</v>
      </c>
      <c r="Y655" t="s">
        <v>11777</v>
      </c>
      <c r="Z655" t="s">
        <v>11778</v>
      </c>
      <c r="AA655" t="s">
        <v>11779</v>
      </c>
      <c r="AB655" t="s">
        <v>11780</v>
      </c>
      <c r="AC655" t="s">
        <v>11781</v>
      </c>
      <c r="AD655" t="s">
        <v>11782</v>
      </c>
      <c r="AE655" t="s">
        <v>11783</v>
      </c>
      <c r="AF655" t="s">
        <v>74</v>
      </c>
      <c r="AG655">
        <v>99</v>
      </c>
      <c r="AH655">
        <v>555</v>
      </c>
      <c r="AI655">
        <v>624</v>
      </c>
      <c r="AJ655">
        <v>18</v>
      </c>
      <c r="AK655">
        <v>335</v>
      </c>
      <c r="AL655" t="s">
        <v>1774</v>
      </c>
      <c r="AM655" t="s">
        <v>1598</v>
      </c>
      <c r="AN655" t="s">
        <v>1775</v>
      </c>
      <c r="AO655" t="s">
        <v>1776</v>
      </c>
      <c r="AP655" t="s">
        <v>11784</v>
      </c>
      <c r="AQ655" t="s">
        <v>74</v>
      </c>
      <c r="AR655" t="s">
        <v>1762</v>
      </c>
      <c r="AS655" t="s">
        <v>1777</v>
      </c>
      <c r="AT655" t="s">
        <v>10853</v>
      </c>
      <c r="AU655">
        <v>2010</v>
      </c>
      <c r="AV655">
        <v>466</v>
      </c>
      <c r="AW655">
        <v>7302</v>
      </c>
      <c r="AX655" t="s">
        <v>74</v>
      </c>
      <c r="AY655" t="s">
        <v>74</v>
      </c>
      <c r="AZ655" t="s">
        <v>74</v>
      </c>
      <c r="BA655" t="s">
        <v>74</v>
      </c>
      <c r="BB655">
        <v>47</v>
      </c>
      <c r="BC655">
        <v>55</v>
      </c>
      <c r="BD655" t="s">
        <v>74</v>
      </c>
      <c r="BE655" t="s">
        <v>11785</v>
      </c>
      <c r="BF655" t="str">
        <f>HYPERLINK("http://dx.doi.org/10.1038/nature09149","http://dx.doi.org/10.1038/nature09149")</f>
        <v>http://dx.doi.org/10.1038/nature09149</v>
      </c>
      <c r="BG655" t="s">
        <v>74</v>
      </c>
      <c r="BH655" t="s">
        <v>74</v>
      </c>
      <c r="BI655">
        <v>9</v>
      </c>
      <c r="BJ655" t="s">
        <v>444</v>
      </c>
      <c r="BK655" t="s">
        <v>100</v>
      </c>
      <c r="BL655" t="s">
        <v>445</v>
      </c>
      <c r="BM655" t="s">
        <v>11786</v>
      </c>
      <c r="BN655">
        <v>20596012</v>
      </c>
      <c r="BO655" t="s">
        <v>74</v>
      </c>
      <c r="BP655" t="s">
        <v>74</v>
      </c>
      <c r="BQ655" t="s">
        <v>74</v>
      </c>
      <c r="BR655" t="s">
        <v>104</v>
      </c>
      <c r="BS655" t="s">
        <v>11787</v>
      </c>
      <c r="BT655" t="str">
        <f>HYPERLINK("https%3A%2F%2Fwww.webofscience.com%2Fwos%2Fwoscc%2Ffull-record%2FWOS:000279343800033","View Full Record in Web of Science")</f>
        <v>View Full Record in Web of Science</v>
      </c>
    </row>
    <row r="656" spans="1:72" x14ac:dyDescent="0.15">
      <c r="A656" t="s">
        <v>72</v>
      </c>
      <c r="B656" t="s">
        <v>11788</v>
      </c>
      <c r="C656" t="s">
        <v>74</v>
      </c>
      <c r="D656" t="s">
        <v>74</v>
      </c>
      <c r="E656" t="s">
        <v>74</v>
      </c>
      <c r="F656" t="s">
        <v>11789</v>
      </c>
      <c r="G656" t="s">
        <v>74</v>
      </c>
      <c r="H656" t="s">
        <v>74</v>
      </c>
      <c r="I656" t="s">
        <v>11790</v>
      </c>
      <c r="J656" t="s">
        <v>1174</v>
      </c>
      <c r="K656" t="s">
        <v>74</v>
      </c>
      <c r="L656" t="s">
        <v>74</v>
      </c>
      <c r="M656" t="s">
        <v>78</v>
      </c>
      <c r="N656" t="s">
        <v>79</v>
      </c>
      <c r="O656" t="s">
        <v>74</v>
      </c>
      <c r="P656" t="s">
        <v>74</v>
      </c>
      <c r="Q656" t="s">
        <v>74</v>
      </c>
      <c r="R656" t="s">
        <v>74</v>
      </c>
      <c r="S656" t="s">
        <v>74</v>
      </c>
      <c r="T656" t="s">
        <v>74</v>
      </c>
      <c r="U656" t="s">
        <v>11791</v>
      </c>
      <c r="V656" t="s">
        <v>11792</v>
      </c>
      <c r="W656" t="s">
        <v>11793</v>
      </c>
      <c r="X656" t="s">
        <v>11794</v>
      </c>
      <c r="Y656" t="s">
        <v>11795</v>
      </c>
      <c r="Z656" t="s">
        <v>3636</v>
      </c>
      <c r="AA656" t="s">
        <v>11796</v>
      </c>
      <c r="AB656" t="s">
        <v>11797</v>
      </c>
      <c r="AC656" t="s">
        <v>11798</v>
      </c>
      <c r="AD656" t="s">
        <v>11799</v>
      </c>
      <c r="AE656" t="s">
        <v>11800</v>
      </c>
      <c r="AF656" t="s">
        <v>74</v>
      </c>
      <c r="AG656">
        <v>30</v>
      </c>
      <c r="AH656">
        <v>439</v>
      </c>
      <c r="AI656">
        <v>479</v>
      </c>
      <c r="AJ656">
        <v>0</v>
      </c>
      <c r="AK656">
        <v>112</v>
      </c>
      <c r="AL656" t="s">
        <v>1774</v>
      </c>
      <c r="AM656" t="s">
        <v>310</v>
      </c>
      <c r="AN656" t="s">
        <v>3962</v>
      </c>
      <c r="AO656" t="s">
        <v>1189</v>
      </c>
      <c r="AP656" t="s">
        <v>1190</v>
      </c>
      <c r="AQ656" t="s">
        <v>74</v>
      </c>
      <c r="AR656" t="s">
        <v>1191</v>
      </c>
      <c r="AS656" t="s">
        <v>1192</v>
      </c>
      <c r="AT656" t="s">
        <v>10610</v>
      </c>
      <c r="AU656">
        <v>2010</v>
      </c>
      <c r="AV656">
        <v>3</v>
      </c>
      <c r="AW656">
        <v>7</v>
      </c>
      <c r="AX656" t="s">
        <v>74</v>
      </c>
      <c r="AY656" t="s">
        <v>74</v>
      </c>
      <c r="AZ656" t="s">
        <v>74</v>
      </c>
      <c r="BA656" t="s">
        <v>74</v>
      </c>
      <c r="BB656">
        <v>468</v>
      </c>
      <c r="BC656">
        <v>472</v>
      </c>
      <c r="BD656" t="s">
        <v>74</v>
      </c>
      <c r="BE656" t="s">
        <v>11801</v>
      </c>
      <c r="BF656" t="str">
        <f>HYPERLINK("http://dx.doi.org/10.1038/NGEO890","http://dx.doi.org/10.1038/NGEO890")</f>
        <v>http://dx.doi.org/10.1038/NGEO890</v>
      </c>
      <c r="BG656" t="s">
        <v>74</v>
      </c>
      <c r="BH656" t="s">
        <v>74</v>
      </c>
      <c r="BI656">
        <v>5</v>
      </c>
      <c r="BJ656" t="s">
        <v>1194</v>
      </c>
      <c r="BK656" t="s">
        <v>100</v>
      </c>
      <c r="BL656" t="s">
        <v>807</v>
      </c>
      <c r="BM656" t="s">
        <v>11802</v>
      </c>
      <c r="BN656" t="s">
        <v>74</v>
      </c>
      <c r="BO656" t="s">
        <v>1025</v>
      </c>
      <c r="BP656" t="s">
        <v>74</v>
      </c>
      <c r="BQ656" t="s">
        <v>74</v>
      </c>
      <c r="BR656" t="s">
        <v>104</v>
      </c>
      <c r="BS656" t="s">
        <v>11803</v>
      </c>
      <c r="BT656" t="str">
        <f>HYPERLINK("https%3A%2F%2Fwww.webofscience.com%2Fwos%2Fwoscc%2Ffull-record%2FWOS:000279375500012","View Full Record in Web of Science")</f>
        <v>View Full Record in Web of Science</v>
      </c>
    </row>
    <row r="657" spans="1:72" x14ac:dyDescent="0.15">
      <c r="A657" t="s">
        <v>72</v>
      </c>
      <c r="B657" t="s">
        <v>11804</v>
      </c>
      <c r="C657" t="s">
        <v>74</v>
      </c>
      <c r="D657" t="s">
        <v>74</v>
      </c>
      <c r="E657" t="s">
        <v>74</v>
      </c>
      <c r="F657" t="s">
        <v>11805</v>
      </c>
      <c r="G657" t="s">
        <v>74</v>
      </c>
      <c r="H657" t="s">
        <v>74</v>
      </c>
      <c r="I657" t="s">
        <v>11806</v>
      </c>
      <c r="J657" t="s">
        <v>11807</v>
      </c>
      <c r="K657" t="s">
        <v>74</v>
      </c>
      <c r="L657" t="s">
        <v>74</v>
      </c>
      <c r="M657" t="s">
        <v>78</v>
      </c>
      <c r="N657" t="s">
        <v>79</v>
      </c>
      <c r="O657" t="s">
        <v>74</v>
      </c>
      <c r="P657" t="s">
        <v>74</v>
      </c>
      <c r="Q657" t="s">
        <v>74</v>
      </c>
      <c r="R657" t="s">
        <v>74</v>
      </c>
      <c r="S657" t="s">
        <v>74</v>
      </c>
      <c r="T657" t="s">
        <v>11808</v>
      </c>
      <c r="U657" t="s">
        <v>11809</v>
      </c>
      <c r="V657" t="s">
        <v>11810</v>
      </c>
      <c r="W657" t="s">
        <v>11811</v>
      </c>
      <c r="X657" t="s">
        <v>11812</v>
      </c>
      <c r="Y657" t="s">
        <v>11813</v>
      </c>
      <c r="Z657" t="s">
        <v>11814</v>
      </c>
      <c r="AA657" t="s">
        <v>74</v>
      </c>
      <c r="AB657" t="s">
        <v>74</v>
      </c>
      <c r="AC657" t="s">
        <v>74</v>
      </c>
      <c r="AD657" t="s">
        <v>74</v>
      </c>
      <c r="AE657" t="s">
        <v>74</v>
      </c>
      <c r="AF657" t="s">
        <v>74</v>
      </c>
      <c r="AG657">
        <v>54</v>
      </c>
      <c r="AH657">
        <v>2</v>
      </c>
      <c r="AI657">
        <v>3</v>
      </c>
      <c r="AJ657">
        <v>0</v>
      </c>
      <c r="AK657">
        <v>2</v>
      </c>
      <c r="AL657" t="s">
        <v>549</v>
      </c>
      <c r="AM657" t="s">
        <v>550</v>
      </c>
      <c r="AN657" t="s">
        <v>551</v>
      </c>
      <c r="AO657" t="s">
        <v>11815</v>
      </c>
      <c r="AP657" t="s">
        <v>11816</v>
      </c>
      <c r="AQ657" t="s">
        <v>74</v>
      </c>
      <c r="AR657" t="s">
        <v>11817</v>
      </c>
      <c r="AS657" t="s">
        <v>11818</v>
      </c>
      <c r="AT657" t="s">
        <v>10853</v>
      </c>
      <c r="AU657">
        <v>2010</v>
      </c>
      <c r="AV657">
        <v>389</v>
      </c>
      <c r="AW657">
        <v>13</v>
      </c>
      <c r="AX657" t="s">
        <v>74</v>
      </c>
      <c r="AY657" t="s">
        <v>74</v>
      </c>
      <c r="AZ657" t="s">
        <v>74</v>
      </c>
      <c r="BA657" t="s">
        <v>74</v>
      </c>
      <c r="BB657">
        <v>2617</v>
      </c>
      <c r="BC657">
        <v>2627</v>
      </c>
      <c r="BD657" t="s">
        <v>74</v>
      </c>
      <c r="BE657" t="s">
        <v>11819</v>
      </c>
      <c r="BF657" t="str">
        <f>HYPERLINK("http://dx.doi.org/10.1016/j.physa.2010.02.055","http://dx.doi.org/10.1016/j.physa.2010.02.055")</f>
        <v>http://dx.doi.org/10.1016/j.physa.2010.02.055</v>
      </c>
      <c r="BG657" t="s">
        <v>74</v>
      </c>
      <c r="BH657" t="s">
        <v>74</v>
      </c>
      <c r="BI657">
        <v>11</v>
      </c>
      <c r="BJ657" t="s">
        <v>2125</v>
      </c>
      <c r="BK657" t="s">
        <v>100</v>
      </c>
      <c r="BL657" t="s">
        <v>2126</v>
      </c>
      <c r="BM657" t="s">
        <v>11820</v>
      </c>
      <c r="BN657" t="s">
        <v>74</v>
      </c>
      <c r="BO657" t="s">
        <v>74</v>
      </c>
      <c r="BP657" t="s">
        <v>74</v>
      </c>
      <c r="BQ657" t="s">
        <v>74</v>
      </c>
      <c r="BR657" t="s">
        <v>104</v>
      </c>
      <c r="BS657" t="s">
        <v>11821</v>
      </c>
      <c r="BT657" t="str">
        <f>HYPERLINK("https%3A%2F%2Fwww.webofscience.com%2Fwos%2Fwoscc%2Ffull-record%2FWOS:000277824800015","View Full Record in Web of Science")</f>
        <v>View Full Record in Web of Science</v>
      </c>
    </row>
    <row r="658" spans="1:72" x14ac:dyDescent="0.15">
      <c r="A658" t="s">
        <v>72</v>
      </c>
      <c r="B658" t="s">
        <v>11822</v>
      </c>
      <c r="C658" t="s">
        <v>74</v>
      </c>
      <c r="D658" t="s">
        <v>74</v>
      </c>
      <c r="E658" t="s">
        <v>74</v>
      </c>
      <c r="F658" t="s">
        <v>11823</v>
      </c>
      <c r="G658" t="s">
        <v>74</v>
      </c>
      <c r="H658" t="s">
        <v>74</v>
      </c>
      <c r="I658" t="s">
        <v>11824</v>
      </c>
      <c r="J658" t="s">
        <v>11825</v>
      </c>
      <c r="K658" t="s">
        <v>74</v>
      </c>
      <c r="L658" t="s">
        <v>74</v>
      </c>
      <c r="M658" t="s">
        <v>78</v>
      </c>
      <c r="N658" t="s">
        <v>79</v>
      </c>
      <c r="O658" t="s">
        <v>74</v>
      </c>
      <c r="P658" t="s">
        <v>74</v>
      </c>
      <c r="Q658" t="s">
        <v>74</v>
      </c>
      <c r="R658" t="s">
        <v>74</v>
      </c>
      <c r="S658" t="s">
        <v>74</v>
      </c>
      <c r="T658" t="s">
        <v>74</v>
      </c>
      <c r="U658" t="s">
        <v>11826</v>
      </c>
      <c r="V658" t="s">
        <v>11827</v>
      </c>
      <c r="W658" t="s">
        <v>11828</v>
      </c>
      <c r="X658" t="s">
        <v>11829</v>
      </c>
      <c r="Y658" t="s">
        <v>11830</v>
      </c>
      <c r="Z658" t="s">
        <v>11831</v>
      </c>
      <c r="AA658" t="s">
        <v>11832</v>
      </c>
      <c r="AB658" t="s">
        <v>11833</v>
      </c>
      <c r="AC658" t="s">
        <v>11834</v>
      </c>
      <c r="AD658" t="s">
        <v>11835</v>
      </c>
      <c r="AE658" t="s">
        <v>11836</v>
      </c>
      <c r="AF658" t="s">
        <v>74</v>
      </c>
      <c r="AG658">
        <v>56</v>
      </c>
      <c r="AH658">
        <v>123</v>
      </c>
      <c r="AI658">
        <v>129</v>
      </c>
      <c r="AJ658">
        <v>3</v>
      </c>
      <c r="AK658">
        <v>56</v>
      </c>
      <c r="AL658" t="s">
        <v>826</v>
      </c>
      <c r="AM658" t="s">
        <v>827</v>
      </c>
      <c r="AN658" t="s">
        <v>828</v>
      </c>
      <c r="AO658" t="s">
        <v>11837</v>
      </c>
      <c r="AP658" t="s">
        <v>11838</v>
      </c>
      <c r="AQ658" t="s">
        <v>74</v>
      </c>
      <c r="AR658" t="s">
        <v>11839</v>
      </c>
      <c r="AS658" t="s">
        <v>11840</v>
      </c>
      <c r="AT658" t="s">
        <v>10610</v>
      </c>
      <c r="AU658">
        <v>2010</v>
      </c>
      <c r="AV658">
        <v>153</v>
      </c>
      <c r="AW658">
        <v>3</v>
      </c>
      <c r="AX658" t="s">
        <v>74</v>
      </c>
      <c r="AY658" t="s">
        <v>74</v>
      </c>
      <c r="AZ658" t="s">
        <v>74</v>
      </c>
      <c r="BA658" t="s">
        <v>74</v>
      </c>
      <c r="BB658">
        <v>1123</v>
      </c>
      <c r="BC658">
        <v>1134</v>
      </c>
      <c r="BD658" t="s">
        <v>74</v>
      </c>
      <c r="BE658" t="s">
        <v>11841</v>
      </c>
      <c r="BF658" t="str">
        <f>HYPERLINK("http://dx.doi.org/10.1104/pp.110.154658","http://dx.doi.org/10.1104/pp.110.154658")</f>
        <v>http://dx.doi.org/10.1104/pp.110.154658</v>
      </c>
      <c r="BG658" t="s">
        <v>74</v>
      </c>
      <c r="BH658" t="s">
        <v>74</v>
      </c>
      <c r="BI658">
        <v>12</v>
      </c>
      <c r="BJ658" t="s">
        <v>4002</v>
      </c>
      <c r="BK658" t="s">
        <v>100</v>
      </c>
      <c r="BL658" t="s">
        <v>4002</v>
      </c>
      <c r="BM658" t="s">
        <v>11842</v>
      </c>
      <c r="BN658">
        <v>20427465</v>
      </c>
      <c r="BO658" t="s">
        <v>1935</v>
      </c>
      <c r="BP658" t="s">
        <v>74</v>
      </c>
      <c r="BQ658" t="s">
        <v>74</v>
      </c>
      <c r="BR658" t="s">
        <v>104</v>
      </c>
      <c r="BS658" t="s">
        <v>11843</v>
      </c>
      <c r="BT658" t="str">
        <f>HYPERLINK("https%3A%2F%2Fwww.webofscience.com%2Fwos%2Fwoscc%2Ffull-record%2FWOS:000279400200019","View Full Record in Web of Science")</f>
        <v>View Full Record in Web of Science</v>
      </c>
    </row>
    <row r="659" spans="1:72" x14ac:dyDescent="0.15">
      <c r="A659" t="s">
        <v>72</v>
      </c>
      <c r="B659" t="s">
        <v>11844</v>
      </c>
      <c r="C659" t="s">
        <v>74</v>
      </c>
      <c r="D659" t="s">
        <v>74</v>
      </c>
      <c r="E659" t="s">
        <v>74</v>
      </c>
      <c r="F659" t="s">
        <v>11845</v>
      </c>
      <c r="G659" t="s">
        <v>74</v>
      </c>
      <c r="H659" t="s">
        <v>74</v>
      </c>
      <c r="I659" t="s">
        <v>11846</v>
      </c>
      <c r="J659" t="s">
        <v>1265</v>
      </c>
      <c r="K659" t="s">
        <v>74</v>
      </c>
      <c r="L659" t="s">
        <v>74</v>
      </c>
      <c r="M659" t="s">
        <v>78</v>
      </c>
      <c r="N659" t="s">
        <v>79</v>
      </c>
      <c r="O659" t="s">
        <v>74</v>
      </c>
      <c r="P659" t="s">
        <v>74</v>
      </c>
      <c r="Q659" t="s">
        <v>74</v>
      </c>
      <c r="R659" t="s">
        <v>74</v>
      </c>
      <c r="S659" t="s">
        <v>74</v>
      </c>
      <c r="T659" t="s">
        <v>11847</v>
      </c>
      <c r="U659" t="s">
        <v>11848</v>
      </c>
      <c r="V659" t="s">
        <v>11849</v>
      </c>
      <c r="W659" t="s">
        <v>11850</v>
      </c>
      <c r="X659" t="s">
        <v>11851</v>
      </c>
      <c r="Y659" t="s">
        <v>11852</v>
      </c>
      <c r="Z659" t="s">
        <v>1373</v>
      </c>
      <c r="AA659" t="s">
        <v>74</v>
      </c>
      <c r="AB659" t="s">
        <v>11853</v>
      </c>
      <c r="AC659" t="s">
        <v>74</v>
      </c>
      <c r="AD659" t="s">
        <v>74</v>
      </c>
      <c r="AE659" t="s">
        <v>74</v>
      </c>
      <c r="AF659" t="s">
        <v>74</v>
      </c>
      <c r="AG659">
        <v>28</v>
      </c>
      <c r="AH659">
        <v>5</v>
      </c>
      <c r="AI659">
        <v>5</v>
      </c>
      <c r="AJ659">
        <v>0</v>
      </c>
      <c r="AK659">
        <v>0</v>
      </c>
      <c r="AL659" t="s">
        <v>464</v>
      </c>
      <c r="AM659" t="s">
        <v>310</v>
      </c>
      <c r="AN659" t="s">
        <v>465</v>
      </c>
      <c r="AO659" t="s">
        <v>1277</v>
      </c>
      <c r="AP659" t="s">
        <v>74</v>
      </c>
      <c r="AQ659" t="s">
        <v>74</v>
      </c>
      <c r="AR659" t="s">
        <v>1279</v>
      </c>
      <c r="AS659" t="s">
        <v>1280</v>
      </c>
      <c r="AT659" t="s">
        <v>10610</v>
      </c>
      <c r="AU659">
        <v>2010</v>
      </c>
      <c r="AV659">
        <v>33</v>
      </c>
      <c r="AW659">
        <v>7</v>
      </c>
      <c r="AX659" t="s">
        <v>74</v>
      </c>
      <c r="AY659" t="s">
        <v>74</v>
      </c>
      <c r="AZ659" t="s">
        <v>74</v>
      </c>
      <c r="BA659" t="s">
        <v>74</v>
      </c>
      <c r="BB659">
        <v>877</v>
      </c>
      <c r="BC659">
        <v>884</v>
      </c>
      <c r="BD659" t="s">
        <v>74</v>
      </c>
      <c r="BE659" t="s">
        <v>11854</v>
      </c>
      <c r="BF659" t="str">
        <f>HYPERLINK("http://dx.doi.org/10.1007/s00300-010-0763-6","http://dx.doi.org/10.1007/s00300-010-0763-6")</f>
        <v>http://dx.doi.org/10.1007/s00300-010-0763-6</v>
      </c>
      <c r="BG659" t="s">
        <v>74</v>
      </c>
      <c r="BH659" t="s">
        <v>74</v>
      </c>
      <c r="BI659">
        <v>8</v>
      </c>
      <c r="BJ659" t="s">
        <v>1282</v>
      </c>
      <c r="BK659" t="s">
        <v>100</v>
      </c>
      <c r="BL659" t="s">
        <v>680</v>
      </c>
      <c r="BM659" t="s">
        <v>11855</v>
      </c>
      <c r="BN659" t="s">
        <v>74</v>
      </c>
      <c r="BO659" t="s">
        <v>74</v>
      </c>
      <c r="BP659" t="s">
        <v>74</v>
      </c>
      <c r="BQ659" t="s">
        <v>74</v>
      </c>
      <c r="BR659" t="s">
        <v>104</v>
      </c>
      <c r="BS659" t="s">
        <v>11856</v>
      </c>
      <c r="BT659" t="str">
        <f>HYPERLINK("https%3A%2F%2Fwww.webofscience.com%2Fwos%2Fwoscc%2Ffull-record%2FWOS:000278897300001","View Full Record in Web of Science")</f>
        <v>View Full Record in Web of Science</v>
      </c>
    </row>
    <row r="660" spans="1:72" x14ac:dyDescent="0.15">
      <c r="A660" t="s">
        <v>72</v>
      </c>
      <c r="B660" t="s">
        <v>11857</v>
      </c>
      <c r="C660" t="s">
        <v>74</v>
      </c>
      <c r="D660" t="s">
        <v>74</v>
      </c>
      <c r="E660" t="s">
        <v>74</v>
      </c>
      <c r="F660" t="s">
        <v>11858</v>
      </c>
      <c r="G660" t="s">
        <v>74</v>
      </c>
      <c r="H660" t="s">
        <v>74</v>
      </c>
      <c r="I660" t="s">
        <v>11859</v>
      </c>
      <c r="J660" t="s">
        <v>1265</v>
      </c>
      <c r="K660" t="s">
        <v>74</v>
      </c>
      <c r="L660" t="s">
        <v>74</v>
      </c>
      <c r="M660" t="s">
        <v>78</v>
      </c>
      <c r="N660" t="s">
        <v>79</v>
      </c>
      <c r="O660" t="s">
        <v>74</v>
      </c>
      <c r="P660" t="s">
        <v>74</v>
      </c>
      <c r="Q660" t="s">
        <v>74</v>
      </c>
      <c r="R660" t="s">
        <v>74</v>
      </c>
      <c r="S660" t="s">
        <v>74</v>
      </c>
      <c r="T660" t="s">
        <v>11860</v>
      </c>
      <c r="U660" t="s">
        <v>11861</v>
      </c>
      <c r="V660" t="s">
        <v>11862</v>
      </c>
      <c r="W660" t="s">
        <v>11863</v>
      </c>
      <c r="X660" t="s">
        <v>11864</v>
      </c>
      <c r="Y660" t="s">
        <v>11865</v>
      </c>
      <c r="Z660" t="s">
        <v>11866</v>
      </c>
      <c r="AA660" t="s">
        <v>11867</v>
      </c>
      <c r="AB660" t="s">
        <v>11868</v>
      </c>
      <c r="AC660" t="s">
        <v>11869</v>
      </c>
      <c r="AD660" t="s">
        <v>11870</v>
      </c>
      <c r="AE660" t="s">
        <v>11871</v>
      </c>
      <c r="AF660" t="s">
        <v>74</v>
      </c>
      <c r="AG660">
        <v>51</v>
      </c>
      <c r="AH660">
        <v>24</v>
      </c>
      <c r="AI660">
        <v>25</v>
      </c>
      <c r="AJ660">
        <v>0</v>
      </c>
      <c r="AK660">
        <v>20</v>
      </c>
      <c r="AL660" t="s">
        <v>464</v>
      </c>
      <c r="AM660" t="s">
        <v>310</v>
      </c>
      <c r="AN660" t="s">
        <v>465</v>
      </c>
      <c r="AO660" t="s">
        <v>1277</v>
      </c>
      <c r="AP660" t="s">
        <v>74</v>
      </c>
      <c r="AQ660" t="s">
        <v>74</v>
      </c>
      <c r="AR660" t="s">
        <v>1279</v>
      </c>
      <c r="AS660" t="s">
        <v>1280</v>
      </c>
      <c r="AT660" t="s">
        <v>10610</v>
      </c>
      <c r="AU660">
        <v>2010</v>
      </c>
      <c r="AV660">
        <v>33</v>
      </c>
      <c r="AW660">
        <v>7</v>
      </c>
      <c r="AX660" t="s">
        <v>74</v>
      </c>
      <c r="AY660" t="s">
        <v>74</v>
      </c>
      <c r="AZ660" t="s">
        <v>74</v>
      </c>
      <c r="BA660" t="s">
        <v>74</v>
      </c>
      <c r="BB660">
        <v>885</v>
      </c>
      <c r="BC660">
        <v>896</v>
      </c>
      <c r="BD660" t="s">
        <v>74</v>
      </c>
      <c r="BE660" t="s">
        <v>11872</v>
      </c>
      <c r="BF660" t="str">
        <f>HYPERLINK("http://dx.doi.org/10.1007/s00300-010-0765-4","http://dx.doi.org/10.1007/s00300-010-0765-4")</f>
        <v>http://dx.doi.org/10.1007/s00300-010-0765-4</v>
      </c>
      <c r="BG660" t="s">
        <v>74</v>
      </c>
      <c r="BH660" t="s">
        <v>74</v>
      </c>
      <c r="BI660">
        <v>12</v>
      </c>
      <c r="BJ660" t="s">
        <v>1282</v>
      </c>
      <c r="BK660" t="s">
        <v>100</v>
      </c>
      <c r="BL660" t="s">
        <v>680</v>
      </c>
      <c r="BM660" t="s">
        <v>11855</v>
      </c>
      <c r="BN660" t="s">
        <v>74</v>
      </c>
      <c r="BO660" t="s">
        <v>74</v>
      </c>
      <c r="BP660" t="s">
        <v>74</v>
      </c>
      <c r="BQ660" t="s">
        <v>74</v>
      </c>
      <c r="BR660" t="s">
        <v>104</v>
      </c>
      <c r="BS660" t="s">
        <v>11873</v>
      </c>
      <c r="BT660" t="str">
        <f>HYPERLINK("https%3A%2F%2Fwww.webofscience.com%2Fwos%2Fwoscc%2Ffull-record%2FWOS:000278897300002","View Full Record in Web of Science")</f>
        <v>View Full Record in Web of Science</v>
      </c>
    </row>
    <row r="661" spans="1:72" x14ac:dyDescent="0.15">
      <c r="A661" t="s">
        <v>72</v>
      </c>
      <c r="B661" t="s">
        <v>11874</v>
      </c>
      <c r="C661" t="s">
        <v>74</v>
      </c>
      <c r="D661" t="s">
        <v>74</v>
      </c>
      <c r="E661" t="s">
        <v>74</v>
      </c>
      <c r="F661" t="s">
        <v>11875</v>
      </c>
      <c r="G661" t="s">
        <v>74</v>
      </c>
      <c r="H661" t="s">
        <v>74</v>
      </c>
      <c r="I661" t="s">
        <v>11876</v>
      </c>
      <c r="J661" t="s">
        <v>1265</v>
      </c>
      <c r="K661" t="s">
        <v>74</v>
      </c>
      <c r="L661" t="s">
        <v>74</v>
      </c>
      <c r="M661" t="s">
        <v>78</v>
      </c>
      <c r="N661" t="s">
        <v>79</v>
      </c>
      <c r="O661" t="s">
        <v>74</v>
      </c>
      <c r="P661" t="s">
        <v>74</v>
      </c>
      <c r="Q661" t="s">
        <v>74</v>
      </c>
      <c r="R661" t="s">
        <v>74</v>
      </c>
      <c r="S661" t="s">
        <v>74</v>
      </c>
      <c r="T661" t="s">
        <v>11877</v>
      </c>
      <c r="U661" t="s">
        <v>11878</v>
      </c>
      <c r="V661" t="s">
        <v>11879</v>
      </c>
      <c r="W661" t="s">
        <v>11880</v>
      </c>
      <c r="X661" t="s">
        <v>11881</v>
      </c>
      <c r="Y661" t="s">
        <v>11882</v>
      </c>
      <c r="Z661" t="s">
        <v>3920</v>
      </c>
      <c r="AA661" t="s">
        <v>11883</v>
      </c>
      <c r="AB661" t="s">
        <v>11884</v>
      </c>
      <c r="AC661" t="s">
        <v>11885</v>
      </c>
      <c r="AD661" t="s">
        <v>11886</v>
      </c>
      <c r="AE661" t="s">
        <v>11887</v>
      </c>
      <c r="AF661" t="s">
        <v>74</v>
      </c>
      <c r="AG661">
        <v>55</v>
      </c>
      <c r="AH661">
        <v>18</v>
      </c>
      <c r="AI661">
        <v>18</v>
      </c>
      <c r="AJ661">
        <v>1</v>
      </c>
      <c r="AK661">
        <v>24</v>
      </c>
      <c r="AL661" t="s">
        <v>464</v>
      </c>
      <c r="AM661" t="s">
        <v>310</v>
      </c>
      <c r="AN661" t="s">
        <v>465</v>
      </c>
      <c r="AO661" t="s">
        <v>1277</v>
      </c>
      <c r="AP661" t="s">
        <v>1278</v>
      </c>
      <c r="AQ661" t="s">
        <v>74</v>
      </c>
      <c r="AR661" t="s">
        <v>1279</v>
      </c>
      <c r="AS661" t="s">
        <v>1280</v>
      </c>
      <c r="AT661" t="s">
        <v>10610</v>
      </c>
      <c r="AU661">
        <v>2010</v>
      </c>
      <c r="AV661">
        <v>33</v>
      </c>
      <c r="AW661">
        <v>7</v>
      </c>
      <c r="AX661" t="s">
        <v>74</v>
      </c>
      <c r="AY661" t="s">
        <v>74</v>
      </c>
      <c r="AZ661" t="s">
        <v>74</v>
      </c>
      <c r="BA661" t="s">
        <v>74</v>
      </c>
      <c r="BB661">
        <v>909</v>
      </c>
      <c r="BC661">
        <v>918</v>
      </c>
      <c r="BD661" t="s">
        <v>74</v>
      </c>
      <c r="BE661" t="s">
        <v>11888</v>
      </c>
      <c r="BF661" t="str">
        <f>HYPERLINK("http://dx.doi.org/10.1007/s00300-010-0767-2","http://dx.doi.org/10.1007/s00300-010-0767-2")</f>
        <v>http://dx.doi.org/10.1007/s00300-010-0767-2</v>
      </c>
      <c r="BG661" t="s">
        <v>74</v>
      </c>
      <c r="BH661" t="s">
        <v>74</v>
      </c>
      <c r="BI661">
        <v>10</v>
      </c>
      <c r="BJ661" t="s">
        <v>1282</v>
      </c>
      <c r="BK661" t="s">
        <v>100</v>
      </c>
      <c r="BL661" t="s">
        <v>680</v>
      </c>
      <c r="BM661" t="s">
        <v>11855</v>
      </c>
      <c r="BN661" t="s">
        <v>74</v>
      </c>
      <c r="BO661" t="s">
        <v>74</v>
      </c>
      <c r="BP661" t="s">
        <v>74</v>
      </c>
      <c r="BQ661" t="s">
        <v>74</v>
      </c>
      <c r="BR661" t="s">
        <v>104</v>
      </c>
      <c r="BS661" t="s">
        <v>11889</v>
      </c>
      <c r="BT661" t="str">
        <f>HYPERLINK("https%3A%2F%2Fwww.webofscience.com%2Fwos%2Fwoscc%2Ffull-record%2FWOS:000278897300004","View Full Record in Web of Science")</f>
        <v>View Full Record in Web of Science</v>
      </c>
    </row>
    <row r="662" spans="1:72" x14ac:dyDescent="0.15">
      <c r="A662" t="s">
        <v>72</v>
      </c>
      <c r="B662" t="s">
        <v>11890</v>
      </c>
      <c r="C662" t="s">
        <v>74</v>
      </c>
      <c r="D662" t="s">
        <v>74</v>
      </c>
      <c r="E662" t="s">
        <v>74</v>
      </c>
      <c r="F662" t="s">
        <v>11891</v>
      </c>
      <c r="G662" t="s">
        <v>74</v>
      </c>
      <c r="H662" t="s">
        <v>74</v>
      </c>
      <c r="I662" t="s">
        <v>11892</v>
      </c>
      <c r="J662" t="s">
        <v>1265</v>
      </c>
      <c r="K662" t="s">
        <v>74</v>
      </c>
      <c r="L662" t="s">
        <v>74</v>
      </c>
      <c r="M662" t="s">
        <v>78</v>
      </c>
      <c r="N662" t="s">
        <v>79</v>
      </c>
      <c r="O662" t="s">
        <v>74</v>
      </c>
      <c r="P662" t="s">
        <v>74</v>
      </c>
      <c r="Q662" t="s">
        <v>74</v>
      </c>
      <c r="R662" t="s">
        <v>74</v>
      </c>
      <c r="S662" t="s">
        <v>74</v>
      </c>
      <c r="T662" t="s">
        <v>11893</v>
      </c>
      <c r="U662" t="s">
        <v>11894</v>
      </c>
      <c r="V662" t="s">
        <v>11895</v>
      </c>
      <c r="W662" t="s">
        <v>11896</v>
      </c>
      <c r="X662" t="s">
        <v>11897</v>
      </c>
      <c r="Y662" t="s">
        <v>11898</v>
      </c>
      <c r="Z662" t="s">
        <v>11899</v>
      </c>
      <c r="AA662" t="s">
        <v>11900</v>
      </c>
      <c r="AB662" t="s">
        <v>11901</v>
      </c>
      <c r="AC662" t="s">
        <v>11902</v>
      </c>
      <c r="AD662" t="s">
        <v>11903</v>
      </c>
      <c r="AE662" t="s">
        <v>11904</v>
      </c>
      <c r="AF662" t="s">
        <v>74</v>
      </c>
      <c r="AG662">
        <v>74</v>
      </c>
      <c r="AH662">
        <v>21</v>
      </c>
      <c r="AI662">
        <v>21</v>
      </c>
      <c r="AJ662">
        <v>0</v>
      </c>
      <c r="AK662">
        <v>20</v>
      </c>
      <c r="AL662" t="s">
        <v>464</v>
      </c>
      <c r="AM662" t="s">
        <v>310</v>
      </c>
      <c r="AN662" t="s">
        <v>971</v>
      </c>
      <c r="AO662" t="s">
        <v>1277</v>
      </c>
      <c r="AP662" t="s">
        <v>1278</v>
      </c>
      <c r="AQ662" t="s">
        <v>74</v>
      </c>
      <c r="AR662" t="s">
        <v>1279</v>
      </c>
      <c r="AS662" t="s">
        <v>1280</v>
      </c>
      <c r="AT662" t="s">
        <v>10610</v>
      </c>
      <c r="AU662">
        <v>2010</v>
      </c>
      <c r="AV662">
        <v>33</v>
      </c>
      <c r="AW662">
        <v>7</v>
      </c>
      <c r="AX662" t="s">
        <v>74</v>
      </c>
      <c r="AY662" t="s">
        <v>74</v>
      </c>
      <c r="AZ662" t="s">
        <v>74</v>
      </c>
      <c r="BA662" t="s">
        <v>74</v>
      </c>
      <c r="BB662">
        <v>919</v>
      </c>
      <c r="BC662">
        <v>928</v>
      </c>
      <c r="BD662" t="s">
        <v>74</v>
      </c>
      <c r="BE662" t="s">
        <v>11905</v>
      </c>
      <c r="BF662" t="str">
        <f>HYPERLINK("http://dx.doi.org/10.1007/s00300-010-0768-1","http://dx.doi.org/10.1007/s00300-010-0768-1")</f>
        <v>http://dx.doi.org/10.1007/s00300-010-0768-1</v>
      </c>
      <c r="BG662" t="s">
        <v>74</v>
      </c>
      <c r="BH662" t="s">
        <v>74</v>
      </c>
      <c r="BI662">
        <v>10</v>
      </c>
      <c r="BJ662" t="s">
        <v>1282</v>
      </c>
      <c r="BK662" t="s">
        <v>100</v>
      </c>
      <c r="BL662" t="s">
        <v>680</v>
      </c>
      <c r="BM662" t="s">
        <v>11855</v>
      </c>
      <c r="BN662" t="s">
        <v>74</v>
      </c>
      <c r="BO662" t="s">
        <v>74</v>
      </c>
      <c r="BP662" t="s">
        <v>74</v>
      </c>
      <c r="BQ662" t="s">
        <v>74</v>
      </c>
      <c r="BR662" t="s">
        <v>104</v>
      </c>
      <c r="BS662" t="s">
        <v>11906</v>
      </c>
      <c r="BT662" t="str">
        <f>HYPERLINK("https%3A%2F%2Fwww.webofscience.com%2Fwos%2Fwoscc%2Ffull-record%2FWOS:000278897300005","View Full Record in Web of Science")</f>
        <v>View Full Record in Web of Science</v>
      </c>
    </row>
    <row r="663" spans="1:72" x14ac:dyDescent="0.15">
      <c r="A663" t="s">
        <v>72</v>
      </c>
      <c r="B663" t="s">
        <v>11907</v>
      </c>
      <c r="C663" t="s">
        <v>74</v>
      </c>
      <c r="D663" t="s">
        <v>74</v>
      </c>
      <c r="E663" t="s">
        <v>74</v>
      </c>
      <c r="F663" t="s">
        <v>11908</v>
      </c>
      <c r="G663" t="s">
        <v>74</v>
      </c>
      <c r="H663" t="s">
        <v>74</v>
      </c>
      <c r="I663" t="s">
        <v>11909</v>
      </c>
      <c r="J663" t="s">
        <v>1265</v>
      </c>
      <c r="K663" t="s">
        <v>74</v>
      </c>
      <c r="L663" t="s">
        <v>74</v>
      </c>
      <c r="M663" t="s">
        <v>78</v>
      </c>
      <c r="N663" t="s">
        <v>79</v>
      </c>
      <c r="O663" t="s">
        <v>74</v>
      </c>
      <c r="P663" t="s">
        <v>74</v>
      </c>
      <c r="Q663" t="s">
        <v>74</v>
      </c>
      <c r="R663" t="s">
        <v>74</v>
      </c>
      <c r="S663" t="s">
        <v>74</v>
      </c>
      <c r="T663" t="s">
        <v>11910</v>
      </c>
      <c r="U663" t="s">
        <v>11911</v>
      </c>
      <c r="V663" t="s">
        <v>11912</v>
      </c>
      <c r="W663" t="s">
        <v>11913</v>
      </c>
      <c r="X663" t="s">
        <v>11914</v>
      </c>
      <c r="Y663" t="s">
        <v>1294</v>
      </c>
      <c r="Z663" t="s">
        <v>1295</v>
      </c>
      <c r="AA663" t="s">
        <v>11915</v>
      </c>
      <c r="AB663" t="s">
        <v>11916</v>
      </c>
      <c r="AC663" t="s">
        <v>11917</v>
      </c>
      <c r="AD663" t="s">
        <v>11918</v>
      </c>
      <c r="AE663" t="s">
        <v>11919</v>
      </c>
      <c r="AF663" t="s">
        <v>74</v>
      </c>
      <c r="AG663">
        <v>49</v>
      </c>
      <c r="AH663">
        <v>37</v>
      </c>
      <c r="AI663">
        <v>39</v>
      </c>
      <c r="AJ663">
        <v>0</v>
      </c>
      <c r="AK663">
        <v>12</v>
      </c>
      <c r="AL663" t="s">
        <v>464</v>
      </c>
      <c r="AM663" t="s">
        <v>310</v>
      </c>
      <c r="AN663" t="s">
        <v>465</v>
      </c>
      <c r="AO663" t="s">
        <v>1277</v>
      </c>
      <c r="AP663" t="s">
        <v>1278</v>
      </c>
      <c r="AQ663" t="s">
        <v>74</v>
      </c>
      <c r="AR663" t="s">
        <v>1279</v>
      </c>
      <c r="AS663" t="s">
        <v>1280</v>
      </c>
      <c r="AT663" t="s">
        <v>10610</v>
      </c>
      <c r="AU663">
        <v>2010</v>
      </c>
      <c r="AV663">
        <v>33</v>
      </c>
      <c r="AW663">
        <v>7</v>
      </c>
      <c r="AX663" t="s">
        <v>74</v>
      </c>
      <c r="AY663" t="s">
        <v>74</v>
      </c>
      <c r="AZ663" t="s">
        <v>74</v>
      </c>
      <c r="BA663" t="s">
        <v>74</v>
      </c>
      <c r="BB663">
        <v>929</v>
      </c>
      <c r="BC663">
        <v>943</v>
      </c>
      <c r="BD663" t="s">
        <v>74</v>
      </c>
      <c r="BE663" t="s">
        <v>11920</v>
      </c>
      <c r="BF663" t="str">
        <f>HYPERLINK("http://dx.doi.org/10.1007/s00300-010-0770-7","http://dx.doi.org/10.1007/s00300-010-0770-7")</f>
        <v>http://dx.doi.org/10.1007/s00300-010-0770-7</v>
      </c>
      <c r="BG663" t="s">
        <v>74</v>
      </c>
      <c r="BH663" t="s">
        <v>74</v>
      </c>
      <c r="BI663">
        <v>15</v>
      </c>
      <c r="BJ663" t="s">
        <v>1282</v>
      </c>
      <c r="BK663" t="s">
        <v>100</v>
      </c>
      <c r="BL663" t="s">
        <v>680</v>
      </c>
      <c r="BM663" t="s">
        <v>11855</v>
      </c>
      <c r="BN663" t="s">
        <v>74</v>
      </c>
      <c r="BO663" t="s">
        <v>74</v>
      </c>
      <c r="BP663" t="s">
        <v>74</v>
      </c>
      <c r="BQ663" t="s">
        <v>74</v>
      </c>
      <c r="BR663" t="s">
        <v>104</v>
      </c>
      <c r="BS663" t="s">
        <v>11921</v>
      </c>
      <c r="BT663" t="str">
        <f>HYPERLINK("https%3A%2F%2Fwww.webofscience.com%2Fwos%2Fwoscc%2Ffull-record%2FWOS:000278897300006","View Full Record in Web of Science")</f>
        <v>View Full Record in Web of Science</v>
      </c>
    </row>
    <row r="664" spans="1:72" x14ac:dyDescent="0.15">
      <c r="A664" t="s">
        <v>72</v>
      </c>
      <c r="B664" t="s">
        <v>11922</v>
      </c>
      <c r="C664" t="s">
        <v>74</v>
      </c>
      <c r="D664" t="s">
        <v>74</v>
      </c>
      <c r="E664" t="s">
        <v>74</v>
      </c>
      <c r="F664" t="s">
        <v>11923</v>
      </c>
      <c r="G664" t="s">
        <v>74</v>
      </c>
      <c r="H664" t="s">
        <v>74</v>
      </c>
      <c r="I664" t="s">
        <v>11924</v>
      </c>
      <c r="J664" t="s">
        <v>1265</v>
      </c>
      <c r="K664" t="s">
        <v>74</v>
      </c>
      <c r="L664" t="s">
        <v>74</v>
      </c>
      <c r="M664" t="s">
        <v>78</v>
      </c>
      <c r="N664" t="s">
        <v>79</v>
      </c>
      <c r="O664" t="s">
        <v>74</v>
      </c>
      <c r="P664" t="s">
        <v>74</v>
      </c>
      <c r="Q664" t="s">
        <v>74</v>
      </c>
      <c r="R664" t="s">
        <v>74</v>
      </c>
      <c r="S664" t="s">
        <v>74</v>
      </c>
      <c r="T664" t="s">
        <v>11925</v>
      </c>
      <c r="U664" t="s">
        <v>11926</v>
      </c>
      <c r="V664" t="s">
        <v>11927</v>
      </c>
      <c r="W664" t="s">
        <v>11928</v>
      </c>
      <c r="X664" t="s">
        <v>11929</v>
      </c>
      <c r="Y664" t="s">
        <v>11930</v>
      </c>
      <c r="Z664" t="s">
        <v>11931</v>
      </c>
      <c r="AA664" t="s">
        <v>11932</v>
      </c>
      <c r="AB664" t="s">
        <v>11933</v>
      </c>
      <c r="AC664" t="s">
        <v>11934</v>
      </c>
      <c r="AD664" t="s">
        <v>11935</v>
      </c>
      <c r="AE664" t="s">
        <v>11936</v>
      </c>
      <c r="AF664" t="s">
        <v>74</v>
      </c>
      <c r="AG664">
        <v>44</v>
      </c>
      <c r="AH664">
        <v>39</v>
      </c>
      <c r="AI664">
        <v>45</v>
      </c>
      <c r="AJ664">
        <v>2</v>
      </c>
      <c r="AK664">
        <v>47</v>
      </c>
      <c r="AL664" t="s">
        <v>464</v>
      </c>
      <c r="AM664" t="s">
        <v>310</v>
      </c>
      <c r="AN664" t="s">
        <v>971</v>
      </c>
      <c r="AO664" t="s">
        <v>1277</v>
      </c>
      <c r="AP664" t="s">
        <v>1278</v>
      </c>
      <c r="AQ664" t="s">
        <v>74</v>
      </c>
      <c r="AR664" t="s">
        <v>1279</v>
      </c>
      <c r="AS664" t="s">
        <v>1280</v>
      </c>
      <c r="AT664" t="s">
        <v>10610</v>
      </c>
      <c r="AU664">
        <v>2010</v>
      </c>
      <c r="AV664">
        <v>33</v>
      </c>
      <c r="AW664">
        <v>7</v>
      </c>
      <c r="AX664" t="s">
        <v>74</v>
      </c>
      <c r="AY664" t="s">
        <v>74</v>
      </c>
      <c r="AZ664" t="s">
        <v>74</v>
      </c>
      <c r="BA664" t="s">
        <v>74</v>
      </c>
      <c r="BB664">
        <v>945</v>
      </c>
      <c r="BC664">
        <v>955</v>
      </c>
      <c r="BD664" t="s">
        <v>74</v>
      </c>
      <c r="BE664" t="s">
        <v>11937</v>
      </c>
      <c r="BF664" t="str">
        <f>HYPERLINK("http://dx.doi.org/10.1007/s00300-010-0772-5","http://dx.doi.org/10.1007/s00300-010-0772-5")</f>
        <v>http://dx.doi.org/10.1007/s00300-010-0772-5</v>
      </c>
      <c r="BG664" t="s">
        <v>74</v>
      </c>
      <c r="BH664" t="s">
        <v>74</v>
      </c>
      <c r="BI664">
        <v>11</v>
      </c>
      <c r="BJ664" t="s">
        <v>1282</v>
      </c>
      <c r="BK664" t="s">
        <v>100</v>
      </c>
      <c r="BL664" t="s">
        <v>680</v>
      </c>
      <c r="BM664" t="s">
        <v>11855</v>
      </c>
      <c r="BN664" t="s">
        <v>74</v>
      </c>
      <c r="BO664" t="s">
        <v>134</v>
      </c>
      <c r="BP664" t="s">
        <v>74</v>
      </c>
      <c r="BQ664" t="s">
        <v>74</v>
      </c>
      <c r="BR664" t="s">
        <v>104</v>
      </c>
      <c r="BS664" t="s">
        <v>11938</v>
      </c>
      <c r="BT664" t="str">
        <f>HYPERLINK("https%3A%2F%2Fwww.webofscience.com%2Fwos%2Fwoscc%2Ffull-record%2FWOS:000278897300007","View Full Record in Web of Science")</f>
        <v>View Full Record in Web of Science</v>
      </c>
    </row>
    <row r="665" spans="1:72" x14ac:dyDescent="0.15">
      <c r="A665" t="s">
        <v>72</v>
      </c>
      <c r="B665" t="s">
        <v>11939</v>
      </c>
      <c r="C665" t="s">
        <v>74</v>
      </c>
      <c r="D665" t="s">
        <v>74</v>
      </c>
      <c r="E665" t="s">
        <v>74</v>
      </c>
      <c r="F665" t="s">
        <v>11940</v>
      </c>
      <c r="G665" t="s">
        <v>74</v>
      </c>
      <c r="H665" t="s">
        <v>74</v>
      </c>
      <c r="I665" t="s">
        <v>11941</v>
      </c>
      <c r="J665" t="s">
        <v>1265</v>
      </c>
      <c r="K665" t="s">
        <v>74</v>
      </c>
      <c r="L665" t="s">
        <v>74</v>
      </c>
      <c r="M665" t="s">
        <v>78</v>
      </c>
      <c r="N665" t="s">
        <v>79</v>
      </c>
      <c r="O665" t="s">
        <v>74</v>
      </c>
      <c r="P665" t="s">
        <v>74</v>
      </c>
      <c r="Q665" t="s">
        <v>74</v>
      </c>
      <c r="R665" t="s">
        <v>74</v>
      </c>
      <c r="S665" t="s">
        <v>74</v>
      </c>
      <c r="T665" t="s">
        <v>11942</v>
      </c>
      <c r="U665" t="s">
        <v>11943</v>
      </c>
      <c r="V665" t="s">
        <v>11944</v>
      </c>
      <c r="W665" t="s">
        <v>11945</v>
      </c>
      <c r="X665" t="s">
        <v>11946</v>
      </c>
      <c r="Y665" t="s">
        <v>11947</v>
      </c>
      <c r="Z665" t="s">
        <v>11948</v>
      </c>
      <c r="AA665" t="s">
        <v>74</v>
      </c>
      <c r="AB665" t="s">
        <v>11949</v>
      </c>
      <c r="AC665" t="s">
        <v>11950</v>
      </c>
      <c r="AD665" t="s">
        <v>11951</v>
      </c>
      <c r="AE665" t="s">
        <v>11952</v>
      </c>
      <c r="AF665" t="s">
        <v>74</v>
      </c>
      <c r="AG665">
        <v>53</v>
      </c>
      <c r="AH665">
        <v>39</v>
      </c>
      <c r="AI665">
        <v>44</v>
      </c>
      <c r="AJ665">
        <v>0</v>
      </c>
      <c r="AK665">
        <v>21</v>
      </c>
      <c r="AL665" t="s">
        <v>464</v>
      </c>
      <c r="AM665" t="s">
        <v>310</v>
      </c>
      <c r="AN665" t="s">
        <v>465</v>
      </c>
      <c r="AO665" t="s">
        <v>1277</v>
      </c>
      <c r="AP665" t="s">
        <v>74</v>
      </c>
      <c r="AQ665" t="s">
        <v>74</v>
      </c>
      <c r="AR665" t="s">
        <v>1279</v>
      </c>
      <c r="AS665" t="s">
        <v>1280</v>
      </c>
      <c r="AT665" t="s">
        <v>10610</v>
      </c>
      <c r="AU665">
        <v>2010</v>
      </c>
      <c r="AV665">
        <v>33</v>
      </c>
      <c r="AW665">
        <v>7</v>
      </c>
      <c r="AX665" t="s">
        <v>74</v>
      </c>
      <c r="AY665" t="s">
        <v>74</v>
      </c>
      <c r="AZ665" t="s">
        <v>74</v>
      </c>
      <c r="BA665" t="s">
        <v>74</v>
      </c>
      <c r="BB665">
        <v>957</v>
      </c>
      <c r="BC665">
        <v>968</v>
      </c>
      <c r="BD665" t="s">
        <v>74</v>
      </c>
      <c r="BE665" t="s">
        <v>11953</v>
      </c>
      <c r="BF665" t="str">
        <f>HYPERLINK("http://dx.doi.org/10.1007/s00300-010-0774-3","http://dx.doi.org/10.1007/s00300-010-0774-3")</f>
        <v>http://dx.doi.org/10.1007/s00300-010-0774-3</v>
      </c>
      <c r="BG665" t="s">
        <v>74</v>
      </c>
      <c r="BH665" t="s">
        <v>74</v>
      </c>
      <c r="BI665">
        <v>12</v>
      </c>
      <c r="BJ665" t="s">
        <v>1282</v>
      </c>
      <c r="BK665" t="s">
        <v>100</v>
      </c>
      <c r="BL665" t="s">
        <v>680</v>
      </c>
      <c r="BM665" t="s">
        <v>11855</v>
      </c>
      <c r="BN665" t="s">
        <v>74</v>
      </c>
      <c r="BO665" t="s">
        <v>74</v>
      </c>
      <c r="BP665" t="s">
        <v>74</v>
      </c>
      <c r="BQ665" t="s">
        <v>74</v>
      </c>
      <c r="BR665" t="s">
        <v>104</v>
      </c>
      <c r="BS665" t="s">
        <v>11954</v>
      </c>
      <c r="BT665" t="str">
        <f>HYPERLINK("https%3A%2F%2Fwww.webofscience.com%2Fwos%2Fwoscc%2Ffull-record%2FWOS:000278897300008","View Full Record in Web of Science")</f>
        <v>View Full Record in Web of Science</v>
      </c>
    </row>
    <row r="666" spans="1:72" x14ac:dyDescent="0.15">
      <c r="A666" t="s">
        <v>72</v>
      </c>
      <c r="B666" t="s">
        <v>11955</v>
      </c>
      <c r="C666" t="s">
        <v>74</v>
      </c>
      <c r="D666" t="s">
        <v>74</v>
      </c>
      <c r="E666" t="s">
        <v>74</v>
      </c>
      <c r="F666" t="s">
        <v>11956</v>
      </c>
      <c r="G666" t="s">
        <v>74</v>
      </c>
      <c r="H666" t="s">
        <v>74</v>
      </c>
      <c r="I666" t="s">
        <v>11957</v>
      </c>
      <c r="J666" t="s">
        <v>1265</v>
      </c>
      <c r="K666" t="s">
        <v>74</v>
      </c>
      <c r="L666" t="s">
        <v>74</v>
      </c>
      <c r="M666" t="s">
        <v>78</v>
      </c>
      <c r="N666" t="s">
        <v>79</v>
      </c>
      <c r="O666" t="s">
        <v>74</v>
      </c>
      <c r="P666" t="s">
        <v>74</v>
      </c>
      <c r="Q666" t="s">
        <v>74</v>
      </c>
      <c r="R666" t="s">
        <v>74</v>
      </c>
      <c r="S666" t="s">
        <v>74</v>
      </c>
      <c r="T666" t="s">
        <v>11958</v>
      </c>
      <c r="U666" t="s">
        <v>11959</v>
      </c>
      <c r="V666" t="s">
        <v>11960</v>
      </c>
      <c r="W666" t="s">
        <v>11961</v>
      </c>
      <c r="X666" t="s">
        <v>11962</v>
      </c>
      <c r="Y666" t="s">
        <v>11963</v>
      </c>
      <c r="Z666" t="s">
        <v>11964</v>
      </c>
      <c r="AA666" t="s">
        <v>11965</v>
      </c>
      <c r="AB666" t="s">
        <v>11966</v>
      </c>
      <c r="AC666" t="s">
        <v>11967</v>
      </c>
      <c r="AD666" t="s">
        <v>11968</v>
      </c>
      <c r="AE666" t="s">
        <v>11969</v>
      </c>
      <c r="AF666" t="s">
        <v>74</v>
      </c>
      <c r="AG666">
        <v>45</v>
      </c>
      <c r="AH666">
        <v>6</v>
      </c>
      <c r="AI666">
        <v>6</v>
      </c>
      <c r="AJ666">
        <v>0</v>
      </c>
      <c r="AK666">
        <v>18</v>
      </c>
      <c r="AL666" t="s">
        <v>464</v>
      </c>
      <c r="AM666" t="s">
        <v>310</v>
      </c>
      <c r="AN666" t="s">
        <v>465</v>
      </c>
      <c r="AO666" t="s">
        <v>1277</v>
      </c>
      <c r="AP666" t="s">
        <v>1278</v>
      </c>
      <c r="AQ666" t="s">
        <v>74</v>
      </c>
      <c r="AR666" t="s">
        <v>1279</v>
      </c>
      <c r="AS666" t="s">
        <v>1280</v>
      </c>
      <c r="AT666" t="s">
        <v>10610</v>
      </c>
      <c r="AU666">
        <v>2010</v>
      </c>
      <c r="AV666">
        <v>33</v>
      </c>
      <c r="AW666">
        <v>7</v>
      </c>
      <c r="AX666" t="s">
        <v>74</v>
      </c>
      <c r="AY666" t="s">
        <v>74</v>
      </c>
      <c r="AZ666" t="s">
        <v>74</v>
      </c>
      <c r="BA666" t="s">
        <v>74</v>
      </c>
      <c r="BB666">
        <v>969</v>
      </c>
      <c r="BC666">
        <v>978</v>
      </c>
      <c r="BD666" t="s">
        <v>74</v>
      </c>
      <c r="BE666" t="s">
        <v>11970</v>
      </c>
      <c r="BF666" t="str">
        <f>HYPERLINK("http://dx.doi.org/10.1007/s00300-010-0775-2","http://dx.doi.org/10.1007/s00300-010-0775-2")</f>
        <v>http://dx.doi.org/10.1007/s00300-010-0775-2</v>
      </c>
      <c r="BG666" t="s">
        <v>74</v>
      </c>
      <c r="BH666" t="s">
        <v>74</v>
      </c>
      <c r="BI666">
        <v>10</v>
      </c>
      <c r="BJ666" t="s">
        <v>1282</v>
      </c>
      <c r="BK666" t="s">
        <v>100</v>
      </c>
      <c r="BL666" t="s">
        <v>680</v>
      </c>
      <c r="BM666" t="s">
        <v>11855</v>
      </c>
      <c r="BN666" t="s">
        <v>74</v>
      </c>
      <c r="BO666" t="s">
        <v>74</v>
      </c>
      <c r="BP666" t="s">
        <v>74</v>
      </c>
      <c r="BQ666" t="s">
        <v>74</v>
      </c>
      <c r="BR666" t="s">
        <v>104</v>
      </c>
      <c r="BS666" t="s">
        <v>11971</v>
      </c>
      <c r="BT666" t="str">
        <f>HYPERLINK("https%3A%2F%2Fwww.webofscience.com%2Fwos%2Fwoscc%2Ffull-record%2FWOS:000278897300009","View Full Record in Web of Science")</f>
        <v>View Full Record in Web of Science</v>
      </c>
    </row>
    <row r="667" spans="1:72" x14ac:dyDescent="0.15">
      <c r="A667" t="s">
        <v>72</v>
      </c>
      <c r="B667" t="s">
        <v>11972</v>
      </c>
      <c r="C667" t="s">
        <v>74</v>
      </c>
      <c r="D667" t="s">
        <v>74</v>
      </c>
      <c r="E667" t="s">
        <v>74</v>
      </c>
      <c r="F667" t="s">
        <v>11973</v>
      </c>
      <c r="G667" t="s">
        <v>74</v>
      </c>
      <c r="H667" t="s">
        <v>74</v>
      </c>
      <c r="I667" t="s">
        <v>11974</v>
      </c>
      <c r="J667" t="s">
        <v>1265</v>
      </c>
      <c r="K667" t="s">
        <v>74</v>
      </c>
      <c r="L667" t="s">
        <v>74</v>
      </c>
      <c r="M667" t="s">
        <v>78</v>
      </c>
      <c r="N667" t="s">
        <v>79</v>
      </c>
      <c r="O667" t="s">
        <v>74</v>
      </c>
      <c r="P667" t="s">
        <v>74</v>
      </c>
      <c r="Q667" t="s">
        <v>74</v>
      </c>
      <c r="R667" t="s">
        <v>74</v>
      </c>
      <c r="S667" t="s">
        <v>74</v>
      </c>
      <c r="T667" t="s">
        <v>11975</v>
      </c>
      <c r="U667" t="s">
        <v>11976</v>
      </c>
      <c r="V667" t="s">
        <v>11977</v>
      </c>
      <c r="W667" t="s">
        <v>11978</v>
      </c>
      <c r="X667" t="s">
        <v>11979</v>
      </c>
      <c r="Y667" t="s">
        <v>11980</v>
      </c>
      <c r="Z667" t="s">
        <v>11981</v>
      </c>
      <c r="AA667" t="s">
        <v>74</v>
      </c>
      <c r="AB667" t="s">
        <v>74</v>
      </c>
      <c r="AC667" t="s">
        <v>11982</v>
      </c>
      <c r="AD667" t="s">
        <v>11983</v>
      </c>
      <c r="AE667" t="s">
        <v>11984</v>
      </c>
      <c r="AF667" t="s">
        <v>74</v>
      </c>
      <c r="AG667">
        <v>42</v>
      </c>
      <c r="AH667">
        <v>11</v>
      </c>
      <c r="AI667">
        <v>12</v>
      </c>
      <c r="AJ667">
        <v>1</v>
      </c>
      <c r="AK667">
        <v>32</v>
      </c>
      <c r="AL667" t="s">
        <v>464</v>
      </c>
      <c r="AM667" t="s">
        <v>310</v>
      </c>
      <c r="AN667" t="s">
        <v>465</v>
      </c>
      <c r="AO667" t="s">
        <v>1277</v>
      </c>
      <c r="AP667" t="s">
        <v>74</v>
      </c>
      <c r="AQ667" t="s">
        <v>74</v>
      </c>
      <c r="AR667" t="s">
        <v>1279</v>
      </c>
      <c r="AS667" t="s">
        <v>1280</v>
      </c>
      <c r="AT667" t="s">
        <v>10610</v>
      </c>
      <c r="AU667">
        <v>2010</v>
      </c>
      <c r="AV667">
        <v>33</v>
      </c>
      <c r="AW667">
        <v>7</v>
      </c>
      <c r="AX667" t="s">
        <v>74</v>
      </c>
      <c r="AY667" t="s">
        <v>74</v>
      </c>
      <c r="AZ667" t="s">
        <v>74</v>
      </c>
      <c r="BA667" t="s">
        <v>74</v>
      </c>
      <c r="BB667">
        <v>1007</v>
      </c>
      <c r="BC667">
        <v>1012</v>
      </c>
      <c r="BD667" t="s">
        <v>74</v>
      </c>
      <c r="BE667" t="s">
        <v>11985</v>
      </c>
      <c r="BF667" t="str">
        <f>HYPERLINK("http://dx.doi.org/10.1007/s00300-010-0764-5","http://dx.doi.org/10.1007/s00300-010-0764-5")</f>
        <v>http://dx.doi.org/10.1007/s00300-010-0764-5</v>
      </c>
      <c r="BG667" t="s">
        <v>74</v>
      </c>
      <c r="BH667" t="s">
        <v>74</v>
      </c>
      <c r="BI667">
        <v>6</v>
      </c>
      <c r="BJ667" t="s">
        <v>1282</v>
      </c>
      <c r="BK667" t="s">
        <v>100</v>
      </c>
      <c r="BL667" t="s">
        <v>680</v>
      </c>
      <c r="BM667" t="s">
        <v>11855</v>
      </c>
      <c r="BN667" t="s">
        <v>74</v>
      </c>
      <c r="BO667" t="s">
        <v>74</v>
      </c>
      <c r="BP667" t="s">
        <v>74</v>
      </c>
      <c r="BQ667" t="s">
        <v>74</v>
      </c>
      <c r="BR667" t="s">
        <v>104</v>
      </c>
      <c r="BS667" t="s">
        <v>11986</v>
      </c>
      <c r="BT667" t="str">
        <f>HYPERLINK("https%3A%2F%2Fwww.webofscience.com%2Fwos%2Fwoscc%2Ffull-record%2FWOS:000278897300013","View Full Record in Web of Science")</f>
        <v>View Full Record in Web of Science</v>
      </c>
    </row>
    <row r="668" spans="1:72" x14ac:dyDescent="0.15">
      <c r="A668" t="s">
        <v>72</v>
      </c>
      <c r="B668" t="s">
        <v>11987</v>
      </c>
      <c r="C668" t="s">
        <v>74</v>
      </c>
      <c r="D668" t="s">
        <v>74</v>
      </c>
      <c r="E668" t="s">
        <v>74</v>
      </c>
      <c r="F668" t="s">
        <v>11988</v>
      </c>
      <c r="G668" t="s">
        <v>74</v>
      </c>
      <c r="H668" t="s">
        <v>74</v>
      </c>
      <c r="I668" t="s">
        <v>11989</v>
      </c>
      <c r="J668" t="s">
        <v>4109</v>
      </c>
      <c r="K668" t="s">
        <v>74</v>
      </c>
      <c r="L668" t="s">
        <v>74</v>
      </c>
      <c r="M668" t="s">
        <v>78</v>
      </c>
      <c r="N668" t="s">
        <v>79</v>
      </c>
      <c r="O668" t="s">
        <v>74</v>
      </c>
      <c r="P668" t="s">
        <v>74</v>
      </c>
      <c r="Q668" t="s">
        <v>74</v>
      </c>
      <c r="R668" t="s">
        <v>74</v>
      </c>
      <c r="S668" t="s">
        <v>74</v>
      </c>
      <c r="T668" t="s">
        <v>74</v>
      </c>
      <c r="U668" t="s">
        <v>74</v>
      </c>
      <c r="V668" t="s">
        <v>11990</v>
      </c>
      <c r="W668" t="s">
        <v>74</v>
      </c>
      <c r="X668" t="s">
        <v>74</v>
      </c>
      <c r="Y668" t="s">
        <v>11991</v>
      </c>
      <c r="Z668" t="s">
        <v>11992</v>
      </c>
      <c r="AA668" t="s">
        <v>74</v>
      </c>
      <c r="AB668" t="s">
        <v>74</v>
      </c>
      <c r="AC668" t="s">
        <v>74</v>
      </c>
      <c r="AD668" t="s">
        <v>74</v>
      </c>
      <c r="AE668" t="s">
        <v>74</v>
      </c>
      <c r="AF668" t="s">
        <v>74</v>
      </c>
      <c r="AG668">
        <v>25</v>
      </c>
      <c r="AH668">
        <v>25</v>
      </c>
      <c r="AI668">
        <v>25</v>
      </c>
      <c r="AJ668">
        <v>0</v>
      </c>
      <c r="AK668">
        <v>6</v>
      </c>
      <c r="AL668" t="s">
        <v>851</v>
      </c>
      <c r="AM668" t="s">
        <v>310</v>
      </c>
      <c r="AN668" t="s">
        <v>852</v>
      </c>
      <c r="AO668" t="s">
        <v>4118</v>
      </c>
      <c r="AP668" t="s">
        <v>74</v>
      </c>
      <c r="AQ668" t="s">
        <v>74</v>
      </c>
      <c r="AR668" t="s">
        <v>4119</v>
      </c>
      <c r="AS668" t="s">
        <v>4120</v>
      </c>
      <c r="AT668" t="s">
        <v>10610</v>
      </c>
      <c r="AU668">
        <v>2010</v>
      </c>
      <c r="AV668">
        <v>46</v>
      </c>
      <c r="AW668">
        <v>238</v>
      </c>
      <c r="AX668" t="s">
        <v>74</v>
      </c>
      <c r="AY668" t="s">
        <v>74</v>
      </c>
      <c r="AZ668" t="s">
        <v>74</v>
      </c>
      <c r="BA668" t="s">
        <v>74</v>
      </c>
      <c r="BB668">
        <v>210</v>
      </c>
      <c r="BC668">
        <v>221</v>
      </c>
      <c r="BD668" t="s">
        <v>74</v>
      </c>
      <c r="BE668" t="s">
        <v>11993</v>
      </c>
      <c r="BF668" t="str">
        <f>HYPERLINK("http://dx.doi.org/10.1017/S0032247409008651","http://dx.doi.org/10.1017/S0032247409008651")</f>
        <v>http://dx.doi.org/10.1017/S0032247409008651</v>
      </c>
      <c r="BG668" t="s">
        <v>74</v>
      </c>
      <c r="BH668" t="s">
        <v>74</v>
      </c>
      <c r="BI668">
        <v>12</v>
      </c>
      <c r="BJ668" t="s">
        <v>4122</v>
      </c>
      <c r="BK668" t="s">
        <v>11994</v>
      </c>
      <c r="BL668" t="s">
        <v>2797</v>
      </c>
      <c r="BM668" t="s">
        <v>11995</v>
      </c>
      <c r="BN668" t="s">
        <v>74</v>
      </c>
      <c r="BO668" t="s">
        <v>74</v>
      </c>
      <c r="BP668" t="s">
        <v>74</v>
      </c>
      <c r="BQ668" t="s">
        <v>74</v>
      </c>
      <c r="BR668" t="s">
        <v>104</v>
      </c>
      <c r="BS668" t="s">
        <v>11996</v>
      </c>
      <c r="BT668" t="str">
        <f>HYPERLINK("https%3A%2F%2Fwww.webofscience.com%2Fwos%2Fwoscc%2Ffull-record%2FWOS:000278834200003","View Full Record in Web of Science")</f>
        <v>View Full Record in Web of Science</v>
      </c>
    </row>
    <row r="669" spans="1:72" x14ac:dyDescent="0.15">
      <c r="A669" t="s">
        <v>72</v>
      </c>
      <c r="B669" t="s">
        <v>11997</v>
      </c>
      <c r="C669" t="s">
        <v>74</v>
      </c>
      <c r="D669" t="s">
        <v>74</v>
      </c>
      <c r="E669" t="s">
        <v>74</v>
      </c>
      <c r="F669" t="s">
        <v>11998</v>
      </c>
      <c r="G669" t="s">
        <v>74</v>
      </c>
      <c r="H669" t="s">
        <v>74</v>
      </c>
      <c r="I669" t="s">
        <v>11999</v>
      </c>
      <c r="J669" t="s">
        <v>4109</v>
      </c>
      <c r="K669" t="s">
        <v>74</v>
      </c>
      <c r="L669" t="s">
        <v>74</v>
      </c>
      <c r="M669" t="s">
        <v>78</v>
      </c>
      <c r="N669" t="s">
        <v>79</v>
      </c>
      <c r="O669" t="s">
        <v>74</v>
      </c>
      <c r="P669" t="s">
        <v>74</v>
      </c>
      <c r="Q669" t="s">
        <v>74</v>
      </c>
      <c r="R669" t="s">
        <v>74</v>
      </c>
      <c r="S669" t="s">
        <v>74</v>
      </c>
      <c r="T669" t="s">
        <v>74</v>
      </c>
      <c r="U669" t="s">
        <v>12000</v>
      </c>
      <c r="V669" t="s">
        <v>12001</v>
      </c>
      <c r="W669" t="s">
        <v>12002</v>
      </c>
      <c r="X669" t="s">
        <v>74</v>
      </c>
      <c r="Y669" t="s">
        <v>12003</v>
      </c>
      <c r="Z669" t="s">
        <v>12004</v>
      </c>
      <c r="AA669" t="s">
        <v>74</v>
      </c>
      <c r="AB669" t="s">
        <v>74</v>
      </c>
      <c r="AC669" t="s">
        <v>12005</v>
      </c>
      <c r="AD669" t="s">
        <v>289</v>
      </c>
      <c r="AE669" t="s">
        <v>12006</v>
      </c>
      <c r="AF669" t="s">
        <v>74</v>
      </c>
      <c r="AG669">
        <v>68</v>
      </c>
      <c r="AH669">
        <v>42</v>
      </c>
      <c r="AI669">
        <v>45</v>
      </c>
      <c r="AJ669">
        <v>1</v>
      </c>
      <c r="AK669">
        <v>54</v>
      </c>
      <c r="AL669" t="s">
        <v>851</v>
      </c>
      <c r="AM669" t="s">
        <v>310</v>
      </c>
      <c r="AN669" t="s">
        <v>852</v>
      </c>
      <c r="AO669" t="s">
        <v>4118</v>
      </c>
      <c r="AP669" t="s">
        <v>4136</v>
      </c>
      <c r="AQ669" t="s">
        <v>74</v>
      </c>
      <c r="AR669" t="s">
        <v>4119</v>
      </c>
      <c r="AS669" t="s">
        <v>4120</v>
      </c>
      <c r="AT669" t="s">
        <v>10610</v>
      </c>
      <c r="AU669">
        <v>2010</v>
      </c>
      <c r="AV669">
        <v>46</v>
      </c>
      <c r="AW669">
        <v>238</v>
      </c>
      <c r="AX669" t="s">
        <v>74</v>
      </c>
      <c r="AY669" t="s">
        <v>74</v>
      </c>
      <c r="AZ669" t="s">
        <v>74</v>
      </c>
      <c r="BA669" t="s">
        <v>74</v>
      </c>
      <c r="BB669">
        <v>233</v>
      </c>
      <c r="BC669">
        <v>243</v>
      </c>
      <c r="BD669" t="s">
        <v>74</v>
      </c>
      <c r="BE669" t="s">
        <v>12007</v>
      </c>
      <c r="BF669" t="str">
        <f>HYPERLINK("http://dx.doi.org/10.1017/S003224740999009X","http://dx.doi.org/10.1017/S003224740999009X")</f>
        <v>http://dx.doi.org/10.1017/S003224740999009X</v>
      </c>
      <c r="BG669" t="s">
        <v>74</v>
      </c>
      <c r="BH669" t="s">
        <v>74</v>
      </c>
      <c r="BI669">
        <v>11</v>
      </c>
      <c r="BJ669" t="s">
        <v>4122</v>
      </c>
      <c r="BK669" t="s">
        <v>100</v>
      </c>
      <c r="BL669" t="s">
        <v>2797</v>
      </c>
      <c r="BM669" t="s">
        <v>11995</v>
      </c>
      <c r="BN669" t="s">
        <v>74</v>
      </c>
      <c r="BO669" t="s">
        <v>74</v>
      </c>
      <c r="BP669" t="s">
        <v>74</v>
      </c>
      <c r="BQ669" t="s">
        <v>74</v>
      </c>
      <c r="BR669" t="s">
        <v>104</v>
      </c>
      <c r="BS669" t="s">
        <v>12008</v>
      </c>
      <c r="BT669" t="str">
        <f>HYPERLINK("https%3A%2F%2Fwww.webofscience.com%2Fwos%2Fwoscc%2Ffull-record%2FWOS:000278834200005","View Full Record in Web of Science")</f>
        <v>View Full Record in Web of Science</v>
      </c>
    </row>
    <row r="670" spans="1:72" x14ac:dyDescent="0.15">
      <c r="A670" t="s">
        <v>72</v>
      </c>
      <c r="B670" t="s">
        <v>12009</v>
      </c>
      <c r="C670" t="s">
        <v>74</v>
      </c>
      <c r="D670" t="s">
        <v>74</v>
      </c>
      <c r="E670" t="s">
        <v>74</v>
      </c>
      <c r="F670" t="s">
        <v>12010</v>
      </c>
      <c r="G670" t="s">
        <v>74</v>
      </c>
      <c r="H670" t="s">
        <v>74</v>
      </c>
      <c r="I670" t="s">
        <v>12011</v>
      </c>
      <c r="J670" t="s">
        <v>4109</v>
      </c>
      <c r="K670" t="s">
        <v>74</v>
      </c>
      <c r="L670" t="s">
        <v>74</v>
      </c>
      <c r="M670" t="s">
        <v>78</v>
      </c>
      <c r="N670" t="s">
        <v>79</v>
      </c>
      <c r="O670" t="s">
        <v>74</v>
      </c>
      <c r="P670" t="s">
        <v>74</v>
      </c>
      <c r="Q670" t="s">
        <v>74</v>
      </c>
      <c r="R670" t="s">
        <v>74</v>
      </c>
      <c r="S670" t="s">
        <v>74</v>
      </c>
      <c r="T670" t="s">
        <v>74</v>
      </c>
      <c r="U670" t="s">
        <v>74</v>
      </c>
      <c r="V670" t="s">
        <v>12012</v>
      </c>
      <c r="W670" t="s">
        <v>12013</v>
      </c>
      <c r="X670" t="s">
        <v>9304</v>
      </c>
      <c r="Y670" t="s">
        <v>12014</v>
      </c>
      <c r="Z670" t="s">
        <v>12015</v>
      </c>
      <c r="AA670" t="s">
        <v>74</v>
      </c>
      <c r="AB670" t="s">
        <v>74</v>
      </c>
      <c r="AC670" t="s">
        <v>74</v>
      </c>
      <c r="AD670" t="s">
        <v>74</v>
      </c>
      <c r="AE670" t="s">
        <v>74</v>
      </c>
      <c r="AF670" t="s">
        <v>74</v>
      </c>
      <c r="AG670">
        <v>53</v>
      </c>
      <c r="AH670">
        <v>0</v>
      </c>
      <c r="AI670">
        <v>0</v>
      </c>
      <c r="AJ670">
        <v>0</v>
      </c>
      <c r="AK670">
        <v>2</v>
      </c>
      <c r="AL670" t="s">
        <v>851</v>
      </c>
      <c r="AM670" t="s">
        <v>310</v>
      </c>
      <c r="AN670" t="s">
        <v>852</v>
      </c>
      <c r="AO670" t="s">
        <v>4118</v>
      </c>
      <c r="AP670" t="s">
        <v>4136</v>
      </c>
      <c r="AQ670" t="s">
        <v>74</v>
      </c>
      <c r="AR670" t="s">
        <v>4119</v>
      </c>
      <c r="AS670" t="s">
        <v>4120</v>
      </c>
      <c r="AT670" t="s">
        <v>10610</v>
      </c>
      <c r="AU670">
        <v>2010</v>
      </c>
      <c r="AV670">
        <v>46</v>
      </c>
      <c r="AW670">
        <v>238</v>
      </c>
      <c r="AX670" t="s">
        <v>74</v>
      </c>
      <c r="AY670" t="s">
        <v>74</v>
      </c>
      <c r="AZ670" t="s">
        <v>74</v>
      </c>
      <c r="BA670" t="s">
        <v>74</v>
      </c>
      <c r="BB670">
        <v>244</v>
      </c>
      <c r="BC670">
        <v>256</v>
      </c>
      <c r="BD670" t="s">
        <v>74</v>
      </c>
      <c r="BE670" t="s">
        <v>12016</v>
      </c>
      <c r="BF670" t="str">
        <f>HYPERLINK("http://dx.doi.org/10.1017/S0032247409008456","http://dx.doi.org/10.1017/S0032247409008456")</f>
        <v>http://dx.doi.org/10.1017/S0032247409008456</v>
      </c>
      <c r="BG670" t="s">
        <v>74</v>
      </c>
      <c r="BH670" t="s">
        <v>74</v>
      </c>
      <c r="BI670">
        <v>13</v>
      </c>
      <c r="BJ670" t="s">
        <v>4122</v>
      </c>
      <c r="BK670" t="s">
        <v>100</v>
      </c>
      <c r="BL670" t="s">
        <v>2797</v>
      </c>
      <c r="BM670" t="s">
        <v>11995</v>
      </c>
      <c r="BN670" t="s">
        <v>74</v>
      </c>
      <c r="BO670" t="s">
        <v>74</v>
      </c>
      <c r="BP670" t="s">
        <v>74</v>
      </c>
      <c r="BQ670" t="s">
        <v>74</v>
      </c>
      <c r="BR670" t="s">
        <v>104</v>
      </c>
      <c r="BS670" t="s">
        <v>12017</v>
      </c>
      <c r="BT670" t="str">
        <f>HYPERLINK("https%3A%2F%2Fwww.webofscience.com%2Fwos%2Fwoscc%2Ffull-record%2FWOS:000278834200006","View Full Record in Web of Science")</f>
        <v>View Full Record in Web of Science</v>
      </c>
    </row>
    <row r="671" spans="1:72" x14ac:dyDescent="0.15">
      <c r="A671" t="s">
        <v>72</v>
      </c>
      <c r="B671" t="s">
        <v>12018</v>
      </c>
      <c r="C671" t="s">
        <v>74</v>
      </c>
      <c r="D671" t="s">
        <v>74</v>
      </c>
      <c r="E671" t="s">
        <v>74</v>
      </c>
      <c r="F671" t="s">
        <v>12019</v>
      </c>
      <c r="G671" t="s">
        <v>74</v>
      </c>
      <c r="H671" t="s">
        <v>74</v>
      </c>
      <c r="I671" t="s">
        <v>12020</v>
      </c>
      <c r="J671" t="s">
        <v>4109</v>
      </c>
      <c r="K671" t="s">
        <v>74</v>
      </c>
      <c r="L671" t="s">
        <v>74</v>
      </c>
      <c r="M671" t="s">
        <v>78</v>
      </c>
      <c r="N671" t="s">
        <v>79</v>
      </c>
      <c r="O671" t="s">
        <v>74</v>
      </c>
      <c r="P671" t="s">
        <v>74</v>
      </c>
      <c r="Q671" t="s">
        <v>74</v>
      </c>
      <c r="R671" t="s">
        <v>74</v>
      </c>
      <c r="S671" t="s">
        <v>74</v>
      </c>
      <c r="T671" t="s">
        <v>74</v>
      </c>
      <c r="U671" t="s">
        <v>74</v>
      </c>
      <c r="V671" t="s">
        <v>12021</v>
      </c>
      <c r="W671" t="s">
        <v>12022</v>
      </c>
      <c r="X671" t="s">
        <v>74</v>
      </c>
      <c r="Y671" t="s">
        <v>12023</v>
      </c>
      <c r="Z671" t="s">
        <v>12024</v>
      </c>
      <c r="AA671" t="s">
        <v>74</v>
      </c>
      <c r="AB671" t="s">
        <v>74</v>
      </c>
      <c r="AC671" t="s">
        <v>74</v>
      </c>
      <c r="AD671" t="s">
        <v>74</v>
      </c>
      <c r="AE671" t="s">
        <v>74</v>
      </c>
      <c r="AF671" t="s">
        <v>74</v>
      </c>
      <c r="AG671">
        <v>21</v>
      </c>
      <c r="AH671">
        <v>4</v>
      </c>
      <c r="AI671">
        <v>4</v>
      </c>
      <c r="AJ671">
        <v>0</v>
      </c>
      <c r="AK671">
        <v>6</v>
      </c>
      <c r="AL671" t="s">
        <v>851</v>
      </c>
      <c r="AM671" t="s">
        <v>310</v>
      </c>
      <c r="AN671" t="s">
        <v>852</v>
      </c>
      <c r="AO671" t="s">
        <v>4118</v>
      </c>
      <c r="AP671" t="s">
        <v>74</v>
      </c>
      <c r="AQ671" t="s">
        <v>74</v>
      </c>
      <c r="AR671" t="s">
        <v>4119</v>
      </c>
      <c r="AS671" t="s">
        <v>4120</v>
      </c>
      <c r="AT671" t="s">
        <v>10610</v>
      </c>
      <c r="AU671">
        <v>2010</v>
      </c>
      <c r="AV671">
        <v>46</v>
      </c>
      <c r="AW671">
        <v>238</v>
      </c>
      <c r="AX671" t="s">
        <v>74</v>
      </c>
      <c r="AY671" t="s">
        <v>74</v>
      </c>
      <c r="AZ671" t="s">
        <v>74</v>
      </c>
      <c r="BA671" t="s">
        <v>74</v>
      </c>
      <c r="BB671">
        <v>257</v>
      </c>
      <c r="BC671">
        <v>263</v>
      </c>
      <c r="BD671" t="s">
        <v>74</v>
      </c>
      <c r="BE671" t="s">
        <v>12025</v>
      </c>
      <c r="BF671" t="str">
        <f>HYPERLINK("http://dx.doi.org/10.1017/S0032247409990404","http://dx.doi.org/10.1017/S0032247409990404")</f>
        <v>http://dx.doi.org/10.1017/S0032247409990404</v>
      </c>
      <c r="BG671" t="s">
        <v>74</v>
      </c>
      <c r="BH671" t="s">
        <v>74</v>
      </c>
      <c r="BI671">
        <v>7</v>
      </c>
      <c r="BJ671" t="s">
        <v>4122</v>
      </c>
      <c r="BK671" t="s">
        <v>100</v>
      </c>
      <c r="BL671" t="s">
        <v>2797</v>
      </c>
      <c r="BM671" t="s">
        <v>11995</v>
      </c>
      <c r="BN671" t="s">
        <v>74</v>
      </c>
      <c r="BO671" t="s">
        <v>74</v>
      </c>
      <c r="BP671" t="s">
        <v>74</v>
      </c>
      <c r="BQ671" t="s">
        <v>74</v>
      </c>
      <c r="BR671" t="s">
        <v>104</v>
      </c>
      <c r="BS671" t="s">
        <v>12026</v>
      </c>
      <c r="BT671" t="str">
        <f>HYPERLINK("https%3A%2F%2Fwww.webofscience.com%2Fwos%2Fwoscc%2Ffull-record%2FWOS:000278834200007","View Full Record in Web of Science")</f>
        <v>View Full Record in Web of Science</v>
      </c>
    </row>
    <row r="672" spans="1:72" x14ac:dyDescent="0.15">
      <c r="A672" t="s">
        <v>72</v>
      </c>
      <c r="B672" t="s">
        <v>12027</v>
      </c>
      <c r="C672" t="s">
        <v>74</v>
      </c>
      <c r="D672" t="s">
        <v>74</v>
      </c>
      <c r="E672" t="s">
        <v>74</v>
      </c>
      <c r="F672" t="s">
        <v>12028</v>
      </c>
      <c r="G672" t="s">
        <v>74</v>
      </c>
      <c r="H672" t="s">
        <v>74</v>
      </c>
      <c r="I672" t="s">
        <v>12029</v>
      </c>
      <c r="J672" t="s">
        <v>4109</v>
      </c>
      <c r="K672" t="s">
        <v>74</v>
      </c>
      <c r="L672" t="s">
        <v>74</v>
      </c>
      <c r="M672" t="s">
        <v>78</v>
      </c>
      <c r="N672" t="s">
        <v>79</v>
      </c>
      <c r="O672" t="s">
        <v>74</v>
      </c>
      <c r="P672" t="s">
        <v>74</v>
      </c>
      <c r="Q672" t="s">
        <v>74</v>
      </c>
      <c r="R672" t="s">
        <v>74</v>
      </c>
      <c r="S672" t="s">
        <v>74</v>
      </c>
      <c r="T672" t="s">
        <v>74</v>
      </c>
      <c r="U672" t="s">
        <v>12030</v>
      </c>
      <c r="V672" t="s">
        <v>12031</v>
      </c>
      <c r="W672" t="s">
        <v>12032</v>
      </c>
      <c r="X672" t="s">
        <v>5454</v>
      </c>
      <c r="Y672" t="s">
        <v>12033</v>
      </c>
      <c r="Z672" t="s">
        <v>12034</v>
      </c>
      <c r="AA672" t="s">
        <v>74</v>
      </c>
      <c r="AB672" t="s">
        <v>74</v>
      </c>
      <c r="AC672" t="s">
        <v>74</v>
      </c>
      <c r="AD672" t="s">
        <v>74</v>
      </c>
      <c r="AE672" t="s">
        <v>74</v>
      </c>
      <c r="AF672" t="s">
        <v>74</v>
      </c>
      <c r="AG672">
        <v>46</v>
      </c>
      <c r="AH672">
        <v>16</v>
      </c>
      <c r="AI672">
        <v>16</v>
      </c>
      <c r="AJ672">
        <v>1</v>
      </c>
      <c r="AK672">
        <v>21</v>
      </c>
      <c r="AL672" t="s">
        <v>851</v>
      </c>
      <c r="AM672" t="s">
        <v>310</v>
      </c>
      <c r="AN672" t="s">
        <v>852</v>
      </c>
      <c r="AO672" t="s">
        <v>4118</v>
      </c>
      <c r="AP672" t="s">
        <v>74</v>
      </c>
      <c r="AQ672" t="s">
        <v>74</v>
      </c>
      <c r="AR672" t="s">
        <v>4119</v>
      </c>
      <c r="AS672" t="s">
        <v>4120</v>
      </c>
      <c r="AT672" t="s">
        <v>10610</v>
      </c>
      <c r="AU672">
        <v>2010</v>
      </c>
      <c r="AV672">
        <v>46</v>
      </c>
      <c r="AW672">
        <v>238</v>
      </c>
      <c r="AX672" t="s">
        <v>74</v>
      </c>
      <c r="AY672" t="s">
        <v>74</v>
      </c>
      <c r="AZ672" t="s">
        <v>74</v>
      </c>
      <c r="BA672" t="s">
        <v>74</v>
      </c>
      <c r="BB672">
        <v>271</v>
      </c>
      <c r="BC672">
        <v>276</v>
      </c>
      <c r="BD672" t="s">
        <v>74</v>
      </c>
      <c r="BE672" t="s">
        <v>12035</v>
      </c>
      <c r="BF672" t="str">
        <f>HYPERLINK("http://dx.doi.org/10.1017/S0032247409990283","http://dx.doi.org/10.1017/S0032247409990283")</f>
        <v>http://dx.doi.org/10.1017/S0032247409990283</v>
      </c>
      <c r="BG672" t="s">
        <v>74</v>
      </c>
      <c r="BH672" t="s">
        <v>74</v>
      </c>
      <c r="BI672">
        <v>6</v>
      </c>
      <c r="BJ672" t="s">
        <v>4122</v>
      </c>
      <c r="BK672" t="s">
        <v>100</v>
      </c>
      <c r="BL672" t="s">
        <v>2797</v>
      </c>
      <c r="BM672" t="s">
        <v>11995</v>
      </c>
      <c r="BN672" t="s">
        <v>74</v>
      </c>
      <c r="BO672" t="s">
        <v>74</v>
      </c>
      <c r="BP672" t="s">
        <v>74</v>
      </c>
      <c r="BQ672" t="s">
        <v>74</v>
      </c>
      <c r="BR672" t="s">
        <v>104</v>
      </c>
      <c r="BS672" t="s">
        <v>12036</v>
      </c>
      <c r="BT672" t="str">
        <f>HYPERLINK("https%3A%2F%2Fwww.webofscience.com%2Fwos%2Fwoscc%2Ffull-record%2FWOS:000278834200009","View Full Record in Web of Science")</f>
        <v>View Full Record in Web of Science</v>
      </c>
    </row>
    <row r="673" spans="1:72" x14ac:dyDescent="0.15">
      <c r="A673" t="s">
        <v>72</v>
      </c>
      <c r="B673" t="s">
        <v>12037</v>
      </c>
      <c r="C673" t="s">
        <v>74</v>
      </c>
      <c r="D673" t="s">
        <v>74</v>
      </c>
      <c r="E673" t="s">
        <v>74</v>
      </c>
      <c r="F673" t="s">
        <v>12038</v>
      </c>
      <c r="G673" t="s">
        <v>74</v>
      </c>
      <c r="H673" t="s">
        <v>74</v>
      </c>
      <c r="I673" t="s">
        <v>12039</v>
      </c>
      <c r="J673" t="s">
        <v>4109</v>
      </c>
      <c r="K673" t="s">
        <v>74</v>
      </c>
      <c r="L673" t="s">
        <v>74</v>
      </c>
      <c r="M673" t="s">
        <v>78</v>
      </c>
      <c r="N673" t="s">
        <v>220</v>
      </c>
      <c r="O673" t="s">
        <v>74</v>
      </c>
      <c r="P673" t="s">
        <v>74</v>
      </c>
      <c r="Q673" t="s">
        <v>74</v>
      </c>
      <c r="R673" t="s">
        <v>74</v>
      </c>
      <c r="S673" t="s">
        <v>74</v>
      </c>
      <c r="T673" t="s">
        <v>74</v>
      </c>
      <c r="U673" t="s">
        <v>74</v>
      </c>
      <c r="V673" t="s">
        <v>74</v>
      </c>
      <c r="W673" t="s">
        <v>12040</v>
      </c>
      <c r="X673" t="s">
        <v>12041</v>
      </c>
      <c r="Y673" t="s">
        <v>12042</v>
      </c>
      <c r="Z673" t="s">
        <v>12043</v>
      </c>
      <c r="AA673" t="s">
        <v>74</v>
      </c>
      <c r="AB673" t="s">
        <v>12044</v>
      </c>
      <c r="AC673" t="s">
        <v>74</v>
      </c>
      <c r="AD673" t="s">
        <v>74</v>
      </c>
      <c r="AE673" t="s">
        <v>74</v>
      </c>
      <c r="AF673" t="s">
        <v>74</v>
      </c>
      <c r="AG673">
        <v>5</v>
      </c>
      <c r="AH673">
        <v>2</v>
      </c>
      <c r="AI673">
        <v>3</v>
      </c>
      <c r="AJ673">
        <v>0</v>
      </c>
      <c r="AK673">
        <v>3</v>
      </c>
      <c r="AL673" t="s">
        <v>851</v>
      </c>
      <c r="AM673" t="s">
        <v>310</v>
      </c>
      <c r="AN673" t="s">
        <v>852</v>
      </c>
      <c r="AO673" t="s">
        <v>4118</v>
      </c>
      <c r="AP673" t="s">
        <v>74</v>
      </c>
      <c r="AQ673" t="s">
        <v>74</v>
      </c>
      <c r="AR673" t="s">
        <v>4119</v>
      </c>
      <c r="AS673" t="s">
        <v>4120</v>
      </c>
      <c r="AT673" t="s">
        <v>10610</v>
      </c>
      <c r="AU673">
        <v>2010</v>
      </c>
      <c r="AV673">
        <v>46</v>
      </c>
      <c r="AW673">
        <v>238</v>
      </c>
      <c r="AX673" t="s">
        <v>74</v>
      </c>
      <c r="AY673" t="s">
        <v>74</v>
      </c>
      <c r="AZ673" t="s">
        <v>74</v>
      </c>
      <c r="BA673" t="s">
        <v>74</v>
      </c>
      <c r="BB673">
        <v>279</v>
      </c>
      <c r="BC673">
        <v>281</v>
      </c>
      <c r="BD673" t="s">
        <v>74</v>
      </c>
      <c r="BE673" t="s">
        <v>12045</v>
      </c>
      <c r="BF673" t="str">
        <f>HYPERLINK("http://dx.doi.org/10.1017/S003224740999012X","http://dx.doi.org/10.1017/S003224740999012X")</f>
        <v>http://dx.doi.org/10.1017/S003224740999012X</v>
      </c>
      <c r="BG673" t="s">
        <v>74</v>
      </c>
      <c r="BH673" t="s">
        <v>74</v>
      </c>
      <c r="BI673">
        <v>3</v>
      </c>
      <c r="BJ673" t="s">
        <v>4122</v>
      </c>
      <c r="BK673" t="s">
        <v>100</v>
      </c>
      <c r="BL673" t="s">
        <v>2797</v>
      </c>
      <c r="BM673" t="s">
        <v>11995</v>
      </c>
      <c r="BN673" t="s">
        <v>74</v>
      </c>
      <c r="BO673" t="s">
        <v>74</v>
      </c>
      <c r="BP673" t="s">
        <v>74</v>
      </c>
      <c r="BQ673" t="s">
        <v>74</v>
      </c>
      <c r="BR673" t="s">
        <v>104</v>
      </c>
      <c r="BS673" t="s">
        <v>12046</v>
      </c>
      <c r="BT673" t="str">
        <f>HYPERLINK("https%3A%2F%2Fwww.webofscience.com%2Fwos%2Fwoscc%2Ffull-record%2FWOS:000278834200011","View Full Record in Web of Science")</f>
        <v>View Full Record in Web of Science</v>
      </c>
    </row>
    <row r="674" spans="1:72" x14ac:dyDescent="0.15">
      <c r="A674" t="s">
        <v>72</v>
      </c>
      <c r="B674" t="s">
        <v>12047</v>
      </c>
      <c r="C674" t="s">
        <v>74</v>
      </c>
      <c r="D674" t="s">
        <v>74</v>
      </c>
      <c r="E674" t="s">
        <v>74</v>
      </c>
      <c r="F674" t="s">
        <v>12048</v>
      </c>
      <c r="G674" t="s">
        <v>74</v>
      </c>
      <c r="H674" t="s">
        <v>74</v>
      </c>
      <c r="I674" t="s">
        <v>12049</v>
      </c>
      <c r="J674" t="s">
        <v>4165</v>
      </c>
      <c r="K674" t="s">
        <v>74</v>
      </c>
      <c r="L674" t="s">
        <v>74</v>
      </c>
      <c r="M674" t="s">
        <v>78</v>
      </c>
      <c r="N674" t="s">
        <v>1202</v>
      </c>
      <c r="O674" t="s">
        <v>12050</v>
      </c>
      <c r="P674" t="s">
        <v>12051</v>
      </c>
      <c r="Q674" t="s">
        <v>12052</v>
      </c>
      <c r="R674" t="s">
        <v>74</v>
      </c>
      <c r="S674" t="s">
        <v>74</v>
      </c>
      <c r="T674" t="s">
        <v>74</v>
      </c>
      <c r="U674" t="s">
        <v>12053</v>
      </c>
      <c r="V674" t="s">
        <v>12054</v>
      </c>
      <c r="W674" t="s">
        <v>12055</v>
      </c>
      <c r="X674" t="s">
        <v>12056</v>
      </c>
      <c r="Y674" t="s">
        <v>12057</v>
      </c>
      <c r="Z674" t="s">
        <v>12058</v>
      </c>
      <c r="AA674" t="s">
        <v>12059</v>
      </c>
      <c r="AB674" t="s">
        <v>74</v>
      </c>
      <c r="AC674" t="s">
        <v>74</v>
      </c>
      <c r="AD674" t="s">
        <v>74</v>
      </c>
      <c r="AE674" t="s">
        <v>74</v>
      </c>
      <c r="AF674" t="s">
        <v>74</v>
      </c>
      <c r="AG674">
        <v>43</v>
      </c>
      <c r="AH674">
        <v>26</v>
      </c>
      <c r="AI674">
        <v>27</v>
      </c>
      <c r="AJ674">
        <v>1</v>
      </c>
      <c r="AK674">
        <v>19</v>
      </c>
      <c r="AL674" t="s">
        <v>264</v>
      </c>
      <c r="AM674" t="s">
        <v>265</v>
      </c>
      <c r="AN674" t="s">
        <v>266</v>
      </c>
      <c r="AO674" t="s">
        <v>4177</v>
      </c>
      <c r="AP674" t="s">
        <v>74</v>
      </c>
      <c r="AQ674" t="s">
        <v>74</v>
      </c>
      <c r="AR674" t="s">
        <v>4179</v>
      </c>
      <c r="AS674" t="s">
        <v>4180</v>
      </c>
      <c r="AT674" t="s">
        <v>10659</v>
      </c>
      <c r="AU674">
        <v>2010</v>
      </c>
      <c r="AV674">
        <v>86</v>
      </c>
      <c r="AW674" t="s">
        <v>4513</v>
      </c>
      <c r="AX674" t="s">
        <v>74</v>
      </c>
      <c r="AY674" t="s">
        <v>74</v>
      </c>
      <c r="AZ674" t="s">
        <v>582</v>
      </c>
      <c r="BA674" t="s">
        <v>74</v>
      </c>
      <c r="BB674">
        <v>139</v>
      </c>
      <c r="BC674">
        <v>151</v>
      </c>
      <c r="BD674" t="s">
        <v>74</v>
      </c>
      <c r="BE674" t="s">
        <v>12060</v>
      </c>
      <c r="BF674" t="str">
        <f>HYPERLINK("http://dx.doi.org/10.1016/j.pocean.2010.04.028","http://dx.doi.org/10.1016/j.pocean.2010.04.028")</f>
        <v>http://dx.doi.org/10.1016/j.pocean.2010.04.028</v>
      </c>
      <c r="BG674" t="s">
        <v>74</v>
      </c>
      <c r="BH674" t="s">
        <v>74</v>
      </c>
      <c r="BI674">
        <v>13</v>
      </c>
      <c r="BJ674" t="s">
        <v>1531</v>
      </c>
      <c r="BK674" t="s">
        <v>1219</v>
      </c>
      <c r="BL674" t="s">
        <v>1531</v>
      </c>
      <c r="BM674" t="s">
        <v>12061</v>
      </c>
      <c r="BN674" t="s">
        <v>74</v>
      </c>
      <c r="BO674" t="s">
        <v>74</v>
      </c>
      <c r="BP674" t="s">
        <v>74</v>
      </c>
      <c r="BQ674" t="s">
        <v>74</v>
      </c>
      <c r="BR674" t="s">
        <v>104</v>
      </c>
      <c r="BS674" t="s">
        <v>12062</v>
      </c>
      <c r="BT674" t="str">
        <f>HYPERLINK("https%3A%2F%2Fwww.webofscience.com%2Fwos%2Fwoscc%2Ffull-record%2FWOS:000280006100013","View Full Record in Web of Science")</f>
        <v>View Full Record in Web of Science</v>
      </c>
    </row>
    <row r="675" spans="1:72" x14ac:dyDescent="0.15">
      <c r="A675" t="s">
        <v>72</v>
      </c>
      <c r="B675" t="s">
        <v>12063</v>
      </c>
      <c r="C675" t="s">
        <v>74</v>
      </c>
      <c r="D675" t="s">
        <v>74</v>
      </c>
      <c r="E675" t="s">
        <v>74</v>
      </c>
      <c r="F675" t="s">
        <v>12064</v>
      </c>
      <c r="G675" t="s">
        <v>74</v>
      </c>
      <c r="H675" t="s">
        <v>74</v>
      </c>
      <c r="I675" t="s">
        <v>12065</v>
      </c>
      <c r="J675" t="s">
        <v>4165</v>
      </c>
      <c r="K675" t="s">
        <v>74</v>
      </c>
      <c r="L675" t="s">
        <v>74</v>
      </c>
      <c r="M675" t="s">
        <v>78</v>
      </c>
      <c r="N675" t="s">
        <v>1202</v>
      </c>
      <c r="O675" t="s">
        <v>12050</v>
      </c>
      <c r="P675" t="s">
        <v>12051</v>
      </c>
      <c r="Q675" t="s">
        <v>12052</v>
      </c>
      <c r="R675" t="s">
        <v>74</v>
      </c>
      <c r="S675" t="s">
        <v>74</v>
      </c>
      <c r="T675" t="s">
        <v>74</v>
      </c>
      <c r="U675" t="s">
        <v>12066</v>
      </c>
      <c r="V675" t="s">
        <v>12067</v>
      </c>
      <c r="W675" t="s">
        <v>12068</v>
      </c>
      <c r="X675" t="s">
        <v>690</v>
      </c>
      <c r="Y675" t="s">
        <v>12069</v>
      </c>
      <c r="Z675" t="s">
        <v>12070</v>
      </c>
      <c r="AA675" t="s">
        <v>12071</v>
      </c>
      <c r="AB675" t="s">
        <v>12072</v>
      </c>
      <c r="AC675" t="s">
        <v>9003</v>
      </c>
      <c r="AD675" t="s">
        <v>2843</v>
      </c>
      <c r="AE675" t="s">
        <v>74</v>
      </c>
      <c r="AF675" t="s">
        <v>74</v>
      </c>
      <c r="AG675">
        <v>64</v>
      </c>
      <c r="AH675">
        <v>38</v>
      </c>
      <c r="AI675">
        <v>39</v>
      </c>
      <c r="AJ675">
        <v>1</v>
      </c>
      <c r="AK675">
        <v>39</v>
      </c>
      <c r="AL675" t="s">
        <v>264</v>
      </c>
      <c r="AM675" t="s">
        <v>265</v>
      </c>
      <c r="AN675" t="s">
        <v>266</v>
      </c>
      <c r="AO675" t="s">
        <v>4177</v>
      </c>
      <c r="AP675" t="s">
        <v>74</v>
      </c>
      <c r="AQ675" t="s">
        <v>74</v>
      </c>
      <c r="AR675" t="s">
        <v>4179</v>
      </c>
      <c r="AS675" t="s">
        <v>4180</v>
      </c>
      <c r="AT675" t="s">
        <v>10659</v>
      </c>
      <c r="AU675">
        <v>2010</v>
      </c>
      <c r="AV675">
        <v>86</v>
      </c>
      <c r="AW675" t="s">
        <v>4513</v>
      </c>
      <c r="AX675" t="s">
        <v>74</v>
      </c>
      <c r="AY675" t="s">
        <v>74</v>
      </c>
      <c r="AZ675" t="s">
        <v>582</v>
      </c>
      <c r="BA675" t="s">
        <v>74</v>
      </c>
      <c r="BB675">
        <v>232</v>
      </c>
      <c r="BC675">
        <v>245</v>
      </c>
      <c r="BD675" t="s">
        <v>74</v>
      </c>
      <c r="BE675" t="s">
        <v>12073</v>
      </c>
      <c r="BF675" t="str">
        <f>HYPERLINK("http://dx.doi.org/10.1016/j.pocean.2010.04.008","http://dx.doi.org/10.1016/j.pocean.2010.04.008")</f>
        <v>http://dx.doi.org/10.1016/j.pocean.2010.04.008</v>
      </c>
      <c r="BG675" t="s">
        <v>74</v>
      </c>
      <c r="BH675" t="s">
        <v>74</v>
      </c>
      <c r="BI675">
        <v>14</v>
      </c>
      <c r="BJ675" t="s">
        <v>1531</v>
      </c>
      <c r="BK675" t="s">
        <v>1219</v>
      </c>
      <c r="BL675" t="s">
        <v>1531</v>
      </c>
      <c r="BM675" t="s">
        <v>12061</v>
      </c>
      <c r="BN675" t="s">
        <v>74</v>
      </c>
      <c r="BO675" t="s">
        <v>74</v>
      </c>
      <c r="BP675" t="s">
        <v>74</v>
      </c>
      <c r="BQ675" t="s">
        <v>74</v>
      </c>
      <c r="BR675" t="s">
        <v>104</v>
      </c>
      <c r="BS675" t="s">
        <v>12074</v>
      </c>
      <c r="BT675" t="str">
        <f>HYPERLINK("https%3A%2F%2Fwww.webofscience.com%2Fwos%2Fwoscc%2Ffull-record%2FWOS:000280006100022","View Full Record in Web of Science")</f>
        <v>View Full Record in Web of Science</v>
      </c>
    </row>
    <row r="676" spans="1:72" x14ac:dyDescent="0.15">
      <c r="A676" t="s">
        <v>72</v>
      </c>
      <c r="B676" t="s">
        <v>12075</v>
      </c>
      <c r="C676" t="s">
        <v>74</v>
      </c>
      <c r="D676" t="s">
        <v>74</v>
      </c>
      <c r="E676" t="s">
        <v>74</v>
      </c>
      <c r="F676" t="s">
        <v>12076</v>
      </c>
      <c r="G676" t="s">
        <v>74</v>
      </c>
      <c r="H676" t="s">
        <v>74</v>
      </c>
      <c r="I676" t="s">
        <v>12077</v>
      </c>
      <c r="J676" t="s">
        <v>4227</v>
      </c>
      <c r="K676" t="s">
        <v>74</v>
      </c>
      <c r="L676" t="s">
        <v>74</v>
      </c>
      <c r="M676" t="s">
        <v>78</v>
      </c>
      <c r="N676" t="s">
        <v>79</v>
      </c>
      <c r="O676" t="s">
        <v>74</v>
      </c>
      <c r="P676" t="s">
        <v>74</v>
      </c>
      <c r="Q676" t="s">
        <v>74</v>
      </c>
      <c r="R676" t="s">
        <v>74</v>
      </c>
      <c r="S676" t="s">
        <v>74</v>
      </c>
      <c r="T676" t="s">
        <v>12078</v>
      </c>
      <c r="U676" t="s">
        <v>12079</v>
      </c>
      <c r="V676" t="s">
        <v>12080</v>
      </c>
      <c r="W676" t="s">
        <v>12081</v>
      </c>
      <c r="X676" t="s">
        <v>12082</v>
      </c>
      <c r="Y676" t="s">
        <v>12083</v>
      </c>
      <c r="Z676" t="s">
        <v>12084</v>
      </c>
      <c r="AA676" t="s">
        <v>12085</v>
      </c>
      <c r="AB676" t="s">
        <v>12086</v>
      </c>
      <c r="AC676" t="s">
        <v>6143</v>
      </c>
      <c r="AD676" t="s">
        <v>2843</v>
      </c>
      <c r="AE676" t="s">
        <v>74</v>
      </c>
      <c r="AF676" t="s">
        <v>74</v>
      </c>
      <c r="AG676">
        <v>39</v>
      </c>
      <c r="AH676">
        <v>71</v>
      </c>
      <c r="AI676">
        <v>73</v>
      </c>
      <c r="AJ676">
        <v>1</v>
      </c>
      <c r="AK676">
        <v>25</v>
      </c>
      <c r="AL676" t="s">
        <v>923</v>
      </c>
      <c r="AM676" t="s">
        <v>339</v>
      </c>
      <c r="AN676" t="s">
        <v>340</v>
      </c>
      <c r="AO676" t="s">
        <v>4240</v>
      </c>
      <c r="AP676" t="s">
        <v>4241</v>
      </c>
      <c r="AQ676" t="s">
        <v>74</v>
      </c>
      <c r="AR676" t="s">
        <v>4242</v>
      </c>
      <c r="AS676" t="s">
        <v>4243</v>
      </c>
      <c r="AT676" t="s">
        <v>10610</v>
      </c>
      <c r="AU676">
        <v>2010</v>
      </c>
      <c r="AV676">
        <v>136</v>
      </c>
      <c r="AW676">
        <v>650</v>
      </c>
      <c r="AX676" t="s">
        <v>4244</v>
      </c>
      <c r="AY676" t="s">
        <v>74</v>
      </c>
      <c r="AZ676" t="s">
        <v>74</v>
      </c>
      <c r="BA676" t="s">
        <v>74</v>
      </c>
      <c r="BB676">
        <v>1145</v>
      </c>
      <c r="BC676">
        <v>1160</v>
      </c>
      <c r="BD676" t="s">
        <v>74</v>
      </c>
      <c r="BE676" t="s">
        <v>12087</v>
      </c>
      <c r="BF676" t="str">
        <f>HYPERLINK("http://dx.doi.org/10.1002/qj.634","http://dx.doi.org/10.1002/qj.634")</f>
        <v>http://dx.doi.org/10.1002/qj.634</v>
      </c>
      <c r="BG676" t="s">
        <v>74</v>
      </c>
      <c r="BH676" t="s">
        <v>74</v>
      </c>
      <c r="BI676">
        <v>16</v>
      </c>
      <c r="BJ676" t="s">
        <v>319</v>
      </c>
      <c r="BK676" t="s">
        <v>100</v>
      </c>
      <c r="BL676" t="s">
        <v>319</v>
      </c>
      <c r="BM676" t="s">
        <v>12088</v>
      </c>
      <c r="BN676" t="s">
        <v>74</v>
      </c>
      <c r="BO676" t="s">
        <v>74</v>
      </c>
      <c r="BP676" t="s">
        <v>74</v>
      </c>
      <c r="BQ676" t="s">
        <v>74</v>
      </c>
      <c r="BR676" t="s">
        <v>104</v>
      </c>
      <c r="BS676" t="s">
        <v>12089</v>
      </c>
      <c r="BT676" t="str">
        <f>HYPERLINK("https%3A%2F%2Fwww.webofscience.com%2Fwos%2Fwoscc%2Ffull-record%2FWOS:000281403100003","View Full Record in Web of Science")</f>
        <v>View Full Record in Web of Science</v>
      </c>
    </row>
    <row r="677" spans="1:72" x14ac:dyDescent="0.15">
      <c r="A677" t="s">
        <v>72</v>
      </c>
      <c r="B677" t="s">
        <v>12090</v>
      </c>
      <c r="C677" t="s">
        <v>74</v>
      </c>
      <c r="D677" t="s">
        <v>74</v>
      </c>
      <c r="E677" t="s">
        <v>74</v>
      </c>
      <c r="F677" t="s">
        <v>12091</v>
      </c>
      <c r="G677" t="s">
        <v>74</v>
      </c>
      <c r="H677" t="s">
        <v>74</v>
      </c>
      <c r="I677" t="s">
        <v>12092</v>
      </c>
      <c r="J677" t="s">
        <v>12093</v>
      </c>
      <c r="K677" t="s">
        <v>74</v>
      </c>
      <c r="L677" t="s">
        <v>74</v>
      </c>
      <c r="M677" t="s">
        <v>78</v>
      </c>
      <c r="N677" t="s">
        <v>79</v>
      </c>
      <c r="O677" t="s">
        <v>74</v>
      </c>
      <c r="P677" t="s">
        <v>74</v>
      </c>
      <c r="Q677" t="s">
        <v>74</v>
      </c>
      <c r="R677" t="s">
        <v>74</v>
      </c>
      <c r="S677" t="s">
        <v>74</v>
      </c>
      <c r="T677" t="s">
        <v>12094</v>
      </c>
      <c r="U677" t="s">
        <v>12095</v>
      </c>
      <c r="V677" t="s">
        <v>12096</v>
      </c>
      <c r="W677" t="s">
        <v>12097</v>
      </c>
      <c r="X677" t="s">
        <v>12098</v>
      </c>
      <c r="Y677" t="s">
        <v>12099</v>
      </c>
      <c r="Z677" t="s">
        <v>12100</v>
      </c>
      <c r="AA677" t="s">
        <v>12101</v>
      </c>
      <c r="AB677" t="s">
        <v>12102</v>
      </c>
      <c r="AC677" t="s">
        <v>12103</v>
      </c>
      <c r="AD677" t="s">
        <v>12104</v>
      </c>
      <c r="AE677" t="s">
        <v>12105</v>
      </c>
      <c r="AF677" t="s">
        <v>74</v>
      </c>
      <c r="AG677">
        <v>22</v>
      </c>
      <c r="AH677">
        <v>7</v>
      </c>
      <c r="AI677">
        <v>8</v>
      </c>
      <c r="AJ677">
        <v>0</v>
      </c>
      <c r="AK677">
        <v>3</v>
      </c>
      <c r="AL677" t="s">
        <v>1136</v>
      </c>
      <c r="AM677" t="s">
        <v>1137</v>
      </c>
      <c r="AN677" t="s">
        <v>1138</v>
      </c>
      <c r="AO677" t="s">
        <v>12106</v>
      </c>
      <c r="AP677" t="s">
        <v>12107</v>
      </c>
      <c r="AQ677" t="s">
        <v>74</v>
      </c>
      <c r="AR677" t="s">
        <v>12108</v>
      </c>
      <c r="AS677" t="s">
        <v>12109</v>
      </c>
      <c r="AT677" t="s">
        <v>10610</v>
      </c>
      <c r="AU677">
        <v>2010</v>
      </c>
      <c r="AV677">
        <v>74</v>
      </c>
      <c r="AW677">
        <v>1</v>
      </c>
      <c r="AX677" t="s">
        <v>74</v>
      </c>
      <c r="AY677" t="s">
        <v>74</v>
      </c>
      <c r="AZ677" t="s">
        <v>74</v>
      </c>
      <c r="BA677" t="s">
        <v>74</v>
      </c>
      <c r="BB677">
        <v>23</v>
      </c>
      <c r="BC677">
        <v>25</v>
      </c>
      <c r="BD677" t="s">
        <v>74</v>
      </c>
      <c r="BE677" t="s">
        <v>12110</v>
      </c>
      <c r="BF677" t="str">
        <f>HYPERLINK("http://dx.doi.org/10.1016/j.yqres.2010.04.004","http://dx.doi.org/10.1016/j.yqres.2010.04.004")</f>
        <v>http://dx.doi.org/10.1016/j.yqres.2010.04.004</v>
      </c>
      <c r="BG677" t="s">
        <v>74</v>
      </c>
      <c r="BH677" t="s">
        <v>74</v>
      </c>
      <c r="BI677">
        <v>3</v>
      </c>
      <c r="BJ677" t="s">
        <v>1409</v>
      </c>
      <c r="BK677" t="s">
        <v>100</v>
      </c>
      <c r="BL677" t="s">
        <v>1410</v>
      </c>
      <c r="BM677" t="s">
        <v>12111</v>
      </c>
      <c r="BN677" t="s">
        <v>74</v>
      </c>
      <c r="BO677" t="s">
        <v>74</v>
      </c>
      <c r="BP677" t="s">
        <v>74</v>
      </c>
      <c r="BQ677" t="s">
        <v>74</v>
      </c>
      <c r="BR677" t="s">
        <v>104</v>
      </c>
      <c r="BS677" t="s">
        <v>12112</v>
      </c>
      <c r="BT677" t="str">
        <f>HYPERLINK("https%3A%2F%2Fwww.webofscience.com%2Fwos%2Fwoscc%2Ffull-record%2FWOS:000279758300004","View Full Record in Web of Science")</f>
        <v>View Full Record in Web of Science</v>
      </c>
    </row>
    <row r="678" spans="1:72" x14ac:dyDescent="0.15">
      <c r="A678" t="s">
        <v>72</v>
      </c>
      <c r="B678" t="s">
        <v>12113</v>
      </c>
      <c r="C678" t="s">
        <v>74</v>
      </c>
      <c r="D678" t="s">
        <v>74</v>
      </c>
      <c r="E678" t="s">
        <v>74</v>
      </c>
      <c r="F678" t="s">
        <v>12114</v>
      </c>
      <c r="G678" t="s">
        <v>74</v>
      </c>
      <c r="H678" t="s">
        <v>74</v>
      </c>
      <c r="I678" t="s">
        <v>12115</v>
      </c>
      <c r="J678" t="s">
        <v>12093</v>
      </c>
      <c r="K678" t="s">
        <v>74</v>
      </c>
      <c r="L678" t="s">
        <v>74</v>
      </c>
      <c r="M678" t="s">
        <v>78</v>
      </c>
      <c r="N678" t="s">
        <v>79</v>
      </c>
      <c r="O678" t="s">
        <v>74</v>
      </c>
      <c r="P678" t="s">
        <v>74</v>
      </c>
      <c r="Q678" t="s">
        <v>74</v>
      </c>
      <c r="R678" t="s">
        <v>74</v>
      </c>
      <c r="S678" t="s">
        <v>74</v>
      </c>
      <c r="T678" t="s">
        <v>12116</v>
      </c>
      <c r="U678" t="s">
        <v>12117</v>
      </c>
      <c r="V678" t="s">
        <v>12118</v>
      </c>
      <c r="W678" t="s">
        <v>12119</v>
      </c>
      <c r="X678" t="s">
        <v>12120</v>
      </c>
      <c r="Y678" t="s">
        <v>12121</v>
      </c>
      <c r="Z678" t="s">
        <v>12122</v>
      </c>
      <c r="AA678" t="s">
        <v>74</v>
      </c>
      <c r="AB678" t="s">
        <v>12123</v>
      </c>
      <c r="AC678" t="s">
        <v>12124</v>
      </c>
      <c r="AD678" t="s">
        <v>12124</v>
      </c>
      <c r="AE678" t="s">
        <v>12125</v>
      </c>
      <c r="AF678" t="s">
        <v>74</v>
      </c>
      <c r="AG678">
        <v>38</v>
      </c>
      <c r="AH678">
        <v>24</v>
      </c>
      <c r="AI678">
        <v>32</v>
      </c>
      <c r="AJ678">
        <v>0</v>
      </c>
      <c r="AK678">
        <v>15</v>
      </c>
      <c r="AL678" t="s">
        <v>1136</v>
      </c>
      <c r="AM678" t="s">
        <v>1137</v>
      </c>
      <c r="AN678" t="s">
        <v>1138</v>
      </c>
      <c r="AO678" t="s">
        <v>12106</v>
      </c>
      <c r="AP678" t="s">
        <v>74</v>
      </c>
      <c r="AQ678" t="s">
        <v>74</v>
      </c>
      <c r="AR678" t="s">
        <v>12108</v>
      </c>
      <c r="AS678" t="s">
        <v>12109</v>
      </c>
      <c r="AT678" t="s">
        <v>10610</v>
      </c>
      <c r="AU678">
        <v>2010</v>
      </c>
      <c r="AV678">
        <v>74</v>
      </c>
      <c r="AW678">
        <v>1</v>
      </c>
      <c r="AX678" t="s">
        <v>74</v>
      </c>
      <c r="AY678" t="s">
        <v>74</v>
      </c>
      <c r="AZ678" t="s">
        <v>74</v>
      </c>
      <c r="BA678" t="s">
        <v>74</v>
      </c>
      <c r="BB678">
        <v>82</v>
      </c>
      <c r="BC678">
        <v>90</v>
      </c>
      <c r="BD678" t="s">
        <v>74</v>
      </c>
      <c r="BE678" t="s">
        <v>12126</v>
      </c>
      <c r="BF678" t="str">
        <f>HYPERLINK("http://dx.doi.org/10.1016/j.yqres.2010.04.009","http://dx.doi.org/10.1016/j.yqres.2010.04.009")</f>
        <v>http://dx.doi.org/10.1016/j.yqres.2010.04.009</v>
      </c>
      <c r="BG678" t="s">
        <v>74</v>
      </c>
      <c r="BH678" t="s">
        <v>74</v>
      </c>
      <c r="BI678">
        <v>9</v>
      </c>
      <c r="BJ678" t="s">
        <v>1409</v>
      </c>
      <c r="BK678" t="s">
        <v>100</v>
      </c>
      <c r="BL678" t="s">
        <v>1410</v>
      </c>
      <c r="BM678" t="s">
        <v>12111</v>
      </c>
      <c r="BN678" t="s">
        <v>74</v>
      </c>
      <c r="BO678" t="s">
        <v>74</v>
      </c>
      <c r="BP678" t="s">
        <v>74</v>
      </c>
      <c r="BQ678" t="s">
        <v>74</v>
      </c>
      <c r="BR678" t="s">
        <v>104</v>
      </c>
      <c r="BS678" t="s">
        <v>12127</v>
      </c>
      <c r="BT678" t="str">
        <f>HYPERLINK("https%3A%2F%2Fwww.webofscience.com%2Fwos%2Fwoscc%2Ffull-record%2FWOS:000279758300011","View Full Record in Web of Science")</f>
        <v>View Full Record in Web of Science</v>
      </c>
    </row>
    <row r="679" spans="1:72" x14ac:dyDescent="0.15">
      <c r="A679" t="s">
        <v>72</v>
      </c>
      <c r="B679" t="s">
        <v>12128</v>
      </c>
      <c r="C679" t="s">
        <v>74</v>
      </c>
      <c r="D679" t="s">
        <v>74</v>
      </c>
      <c r="E679" t="s">
        <v>74</v>
      </c>
      <c r="F679" t="s">
        <v>12129</v>
      </c>
      <c r="G679" t="s">
        <v>74</v>
      </c>
      <c r="H679" t="s">
        <v>74</v>
      </c>
      <c r="I679" t="s">
        <v>12130</v>
      </c>
      <c r="J679" t="s">
        <v>1393</v>
      </c>
      <c r="K679" t="s">
        <v>74</v>
      </c>
      <c r="L679" t="s">
        <v>74</v>
      </c>
      <c r="M679" t="s">
        <v>78</v>
      </c>
      <c r="N679" t="s">
        <v>79</v>
      </c>
      <c r="O679" t="s">
        <v>74</v>
      </c>
      <c r="P679" t="s">
        <v>74</v>
      </c>
      <c r="Q679" t="s">
        <v>74</v>
      </c>
      <c r="R679" t="s">
        <v>74</v>
      </c>
      <c r="S679" t="s">
        <v>74</v>
      </c>
      <c r="T679" t="s">
        <v>74</v>
      </c>
      <c r="U679" t="s">
        <v>12131</v>
      </c>
      <c r="V679" t="s">
        <v>12132</v>
      </c>
      <c r="W679" t="s">
        <v>12133</v>
      </c>
      <c r="X679" t="s">
        <v>12134</v>
      </c>
      <c r="Y679" t="s">
        <v>12135</v>
      </c>
      <c r="Z679" t="s">
        <v>12136</v>
      </c>
      <c r="AA679" t="s">
        <v>12137</v>
      </c>
      <c r="AB679" t="s">
        <v>12138</v>
      </c>
      <c r="AC679" t="s">
        <v>12139</v>
      </c>
      <c r="AD679" t="s">
        <v>12140</v>
      </c>
      <c r="AE679" t="s">
        <v>12141</v>
      </c>
      <c r="AF679" t="s">
        <v>74</v>
      </c>
      <c r="AG679">
        <v>399</v>
      </c>
      <c r="AH679">
        <v>187</v>
      </c>
      <c r="AI679">
        <v>240</v>
      </c>
      <c r="AJ679">
        <v>4</v>
      </c>
      <c r="AK679">
        <v>198</v>
      </c>
      <c r="AL679" t="s">
        <v>264</v>
      </c>
      <c r="AM679" t="s">
        <v>265</v>
      </c>
      <c r="AN679" t="s">
        <v>266</v>
      </c>
      <c r="AO679" t="s">
        <v>1404</v>
      </c>
      <c r="AP679" t="s">
        <v>12142</v>
      </c>
      <c r="AQ679" t="s">
        <v>74</v>
      </c>
      <c r="AR679" t="s">
        <v>1405</v>
      </c>
      <c r="AS679" t="s">
        <v>1406</v>
      </c>
      <c r="AT679" t="s">
        <v>10610</v>
      </c>
      <c r="AU679">
        <v>2010</v>
      </c>
      <c r="AV679">
        <v>29</v>
      </c>
      <c r="AW679" t="s">
        <v>12143</v>
      </c>
      <c r="AX679" t="s">
        <v>74</v>
      </c>
      <c r="AY679" t="s">
        <v>74</v>
      </c>
      <c r="AZ679" t="s">
        <v>74</v>
      </c>
      <c r="BA679" t="s">
        <v>74</v>
      </c>
      <c r="BB679">
        <v>1679</v>
      </c>
      <c r="BC679">
        <v>1715</v>
      </c>
      <c r="BD679" t="s">
        <v>74</v>
      </c>
      <c r="BE679" t="s">
        <v>12144</v>
      </c>
      <c r="BF679" t="str">
        <f>HYPERLINK("http://dx.doi.org/10.1016/j.quascirev.2010.03.001","http://dx.doi.org/10.1016/j.quascirev.2010.03.001")</f>
        <v>http://dx.doi.org/10.1016/j.quascirev.2010.03.001</v>
      </c>
      <c r="BG679" t="s">
        <v>74</v>
      </c>
      <c r="BH679" t="s">
        <v>74</v>
      </c>
      <c r="BI679">
        <v>37</v>
      </c>
      <c r="BJ679" t="s">
        <v>1409</v>
      </c>
      <c r="BK679" t="s">
        <v>100</v>
      </c>
      <c r="BL679" t="s">
        <v>1410</v>
      </c>
      <c r="BM679" t="s">
        <v>12145</v>
      </c>
      <c r="BN679" t="s">
        <v>74</v>
      </c>
      <c r="BO679" t="s">
        <v>74</v>
      </c>
      <c r="BP679" t="s">
        <v>74</v>
      </c>
      <c r="BQ679" t="s">
        <v>74</v>
      </c>
      <c r="BR679" t="s">
        <v>104</v>
      </c>
      <c r="BS679" t="s">
        <v>12146</v>
      </c>
      <c r="BT679" t="str">
        <f>HYPERLINK("https%3A%2F%2Fwww.webofscience.com%2Fwos%2Fwoscc%2Ffull-record%2FWOS:000279758400002","View Full Record in Web of Science")</f>
        <v>View Full Record in Web of Science</v>
      </c>
    </row>
    <row r="680" spans="1:72" x14ac:dyDescent="0.15">
      <c r="A680" t="s">
        <v>72</v>
      </c>
      <c r="B680" t="s">
        <v>12147</v>
      </c>
      <c r="C680" t="s">
        <v>74</v>
      </c>
      <c r="D680" t="s">
        <v>74</v>
      </c>
      <c r="E680" t="s">
        <v>74</v>
      </c>
      <c r="F680" t="s">
        <v>12148</v>
      </c>
      <c r="G680" t="s">
        <v>74</v>
      </c>
      <c r="H680" t="s">
        <v>74</v>
      </c>
      <c r="I680" t="s">
        <v>12149</v>
      </c>
      <c r="J680" t="s">
        <v>1393</v>
      </c>
      <c r="K680" t="s">
        <v>74</v>
      </c>
      <c r="L680" t="s">
        <v>74</v>
      </c>
      <c r="M680" t="s">
        <v>78</v>
      </c>
      <c r="N680" t="s">
        <v>79</v>
      </c>
      <c r="O680" t="s">
        <v>74</v>
      </c>
      <c r="P680" t="s">
        <v>74</v>
      </c>
      <c r="Q680" t="s">
        <v>74</v>
      </c>
      <c r="R680" t="s">
        <v>74</v>
      </c>
      <c r="S680" t="s">
        <v>74</v>
      </c>
      <c r="T680" t="s">
        <v>74</v>
      </c>
      <c r="U680" t="s">
        <v>12150</v>
      </c>
      <c r="V680" t="s">
        <v>12151</v>
      </c>
      <c r="W680" t="s">
        <v>12152</v>
      </c>
      <c r="X680" t="s">
        <v>12153</v>
      </c>
      <c r="Y680" t="s">
        <v>12154</v>
      </c>
      <c r="Z680" t="s">
        <v>12155</v>
      </c>
      <c r="AA680" t="s">
        <v>12156</v>
      </c>
      <c r="AB680" t="s">
        <v>12157</v>
      </c>
      <c r="AC680" t="s">
        <v>12158</v>
      </c>
      <c r="AD680" t="s">
        <v>12159</v>
      </c>
      <c r="AE680" t="s">
        <v>12160</v>
      </c>
      <c r="AF680" t="s">
        <v>74</v>
      </c>
      <c r="AG680">
        <v>288</v>
      </c>
      <c r="AH680">
        <v>299</v>
      </c>
      <c r="AI680">
        <v>350</v>
      </c>
      <c r="AJ680">
        <v>3</v>
      </c>
      <c r="AK680">
        <v>212</v>
      </c>
      <c r="AL680" t="s">
        <v>264</v>
      </c>
      <c r="AM680" t="s">
        <v>265</v>
      </c>
      <c r="AN680" t="s">
        <v>266</v>
      </c>
      <c r="AO680" t="s">
        <v>1404</v>
      </c>
      <c r="AP680" t="s">
        <v>74</v>
      </c>
      <c r="AQ680" t="s">
        <v>74</v>
      </c>
      <c r="AR680" t="s">
        <v>1405</v>
      </c>
      <c r="AS680" t="s">
        <v>1406</v>
      </c>
      <c r="AT680" t="s">
        <v>10610</v>
      </c>
      <c r="AU680">
        <v>2010</v>
      </c>
      <c r="AV680">
        <v>29</v>
      </c>
      <c r="AW680" t="s">
        <v>12143</v>
      </c>
      <c r="AX680" t="s">
        <v>74</v>
      </c>
      <c r="AY680" t="s">
        <v>74</v>
      </c>
      <c r="AZ680" t="s">
        <v>74</v>
      </c>
      <c r="BA680" t="s">
        <v>74</v>
      </c>
      <c r="BB680">
        <v>1757</v>
      </c>
      <c r="BC680">
        <v>1778</v>
      </c>
      <c r="BD680" t="s">
        <v>74</v>
      </c>
      <c r="BE680" t="s">
        <v>12161</v>
      </c>
      <c r="BF680" t="str">
        <f>HYPERLINK("http://dx.doi.org/10.1016/j.quascirev.2010.02.010","http://dx.doi.org/10.1016/j.quascirev.2010.02.010")</f>
        <v>http://dx.doi.org/10.1016/j.quascirev.2010.02.010</v>
      </c>
      <c r="BG680" t="s">
        <v>74</v>
      </c>
      <c r="BH680" t="s">
        <v>74</v>
      </c>
      <c r="BI680">
        <v>22</v>
      </c>
      <c r="BJ680" t="s">
        <v>1409</v>
      </c>
      <c r="BK680" t="s">
        <v>100</v>
      </c>
      <c r="BL680" t="s">
        <v>1410</v>
      </c>
      <c r="BM680" t="s">
        <v>12145</v>
      </c>
      <c r="BN680" t="s">
        <v>74</v>
      </c>
      <c r="BO680" t="s">
        <v>74</v>
      </c>
      <c r="BP680" t="s">
        <v>74</v>
      </c>
      <c r="BQ680" t="s">
        <v>74</v>
      </c>
      <c r="BR680" t="s">
        <v>104</v>
      </c>
      <c r="BS680" t="s">
        <v>12162</v>
      </c>
      <c r="BT680" t="str">
        <f>HYPERLINK("https%3A%2F%2Fwww.webofscience.com%2Fwos%2Fwoscc%2Ffull-record%2FWOS:000279758400005","View Full Record in Web of Science")</f>
        <v>View Full Record in Web of Science</v>
      </c>
    </row>
    <row r="681" spans="1:72" x14ac:dyDescent="0.15">
      <c r="A681" t="s">
        <v>72</v>
      </c>
      <c r="B681" t="s">
        <v>12163</v>
      </c>
      <c r="C681" t="s">
        <v>74</v>
      </c>
      <c r="D681" t="s">
        <v>74</v>
      </c>
      <c r="E681" t="s">
        <v>74</v>
      </c>
      <c r="F681" t="s">
        <v>12164</v>
      </c>
      <c r="G681" t="s">
        <v>74</v>
      </c>
      <c r="H681" t="s">
        <v>74</v>
      </c>
      <c r="I681" t="s">
        <v>12165</v>
      </c>
      <c r="J681" t="s">
        <v>1393</v>
      </c>
      <c r="K681" t="s">
        <v>74</v>
      </c>
      <c r="L681" t="s">
        <v>74</v>
      </c>
      <c r="M681" t="s">
        <v>78</v>
      </c>
      <c r="N681" t="s">
        <v>79</v>
      </c>
      <c r="O681" t="s">
        <v>74</v>
      </c>
      <c r="P681" t="s">
        <v>74</v>
      </c>
      <c r="Q681" t="s">
        <v>74</v>
      </c>
      <c r="R681" t="s">
        <v>74</v>
      </c>
      <c r="S681" t="s">
        <v>74</v>
      </c>
      <c r="T681" t="s">
        <v>74</v>
      </c>
      <c r="U681" t="s">
        <v>12166</v>
      </c>
      <c r="V681" t="s">
        <v>12167</v>
      </c>
      <c r="W681" t="s">
        <v>12168</v>
      </c>
      <c r="X681" t="s">
        <v>12169</v>
      </c>
      <c r="Y681" t="s">
        <v>12170</v>
      </c>
      <c r="Z681" t="s">
        <v>12171</v>
      </c>
      <c r="AA681" t="s">
        <v>12172</v>
      </c>
      <c r="AB681" t="s">
        <v>12173</v>
      </c>
      <c r="AC681" t="s">
        <v>12174</v>
      </c>
      <c r="AD681" t="s">
        <v>12175</v>
      </c>
      <c r="AE681" t="s">
        <v>12176</v>
      </c>
      <c r="AF681" t="s">
        <v>74</v>
      </c>
      <c r="AG681">
        <v>54</v>
      </c>
      <c r="AH681">
        <v>55</v>
      </c>
      <c r="AI681">
        <v>65</v>
      </c>
      <c r="AJ681">
        <v>0</v>
      </c>
      <c r="AK681">
        <v>9</v>
      </c>
      <c r="AL681" t="s">
        <v>264</v>
      </c>
      <c r="AM681" t="s">
        <v>265</v>
      </c>
      <c r="AN681" t="s">
        <v>266</v>
      </c>
      <c r="AO681" t="s">
        <v>1404</v>
      </c>
      <c r="AP681" t="s">
        <v>12142</v>
      </c>
      <c r="AQ681" t="s">
        <v>74</v>
      </c>
      <c r="AR681" t="s">
        <v>1405</v>
      </c>
      <c r="AS681" t="s">
        <v>1406</v>
      </c>
      <c r="AT681" t="s">
        <v>10610</v>
      </c>
      <c r="AU681">
        <v>2010</v>
      </c>
      <c r="AV681">
        <v>29</v>
      </c>
      <c r="AW681" t="s">
        <v>12143</v>
      </c>
      <c r="AX681" t="s">
        <v>74</v>
      </c>
      <c r="AY681" t="s">
        <v>74</v>
      </c>
      <c r="AZ681" t="s">
        <v>74</v>
      </c>
      <c r="BA681" t="s">
        <v>74</v>
      </c>
      <c r="BB681">
        <v>1880</v>
      </c>
      <c r="BC681">
        <v>1893</v>
      </c>
      <c r="BD681" t="s">
        <v>74</v>
      </c>
      <c r="BE681" t="s">
        <v>12177</v>
      </c>
      <c r="BF681" t="str">
        <f>HYPERLINK("http://dx.doi.org/10.1016/j.quascirev.2010.04.006","http://dx.doi.org/10.1016/j.quascirev.2010.04.006")</f>
        <v>http://dx.doi.org/10.1016/j.quascirev.2010.04.006</v>
      </c>
      <c r="BG681" t="s">
        <v>74</v>
      </c>
      <c r="BH681" t="s">
        <v>74</v>
      </c>
      <c r="BI681">
        <v>14</v>
      </c>
      <c r="BJ681" t="s">
        <v>1409</v>
      </c>
      <c r="BK681" t="s">
        <v>100</v>
      </c>
      <c r="BL681" t="s">
        <v>1410</v>
      </c>
      <c r="BM681" t="s">
        <v>12145</v>
      </c>
      <c r="BN681" t="s">
        <v>74</v>
      </c>
      <c r="BO681" t="s">
        <v>74</v>
      </c>
      <c r="BP681" t="s">
        <v>74</v>
      </c>
      <c r="BQ681" t="s">
        <v>74</v>
      </c>
      <c r="BR681" t="s">
        <v>104</v>
      </c>
      <c r="BS681" t="s">
        <v>12178</v>
      </c>
      <c r="BT681" t="str">
        <f>HYPERLINK("https%3A%2F%2Fwww.webofscience.com%2Fwos%2Fwoscc%2Ffull-record%2FWOS:000279758400014","View Full Record in Web of Science")</f>
        <v>View Full Record in Web of Science</v>
      </c>
    </row>
    <row r="682" spans="1:72" x14ac:dyDescent="0.15">
      <c r="A682" t="s">
        <v>72</v>
      </c>
      <c r="B682" t="s">
        <v>12179</v>
      </c>
      <c r="C682" t="s">
        <v>74</v>
      </c>
      <c r="D682" t="s">
        <v>74</v>
      </c>
      <c r="E682" t="s">
        <v>74</v>
      </c>
      <c r="F682" t="s">
        <v>12180</v>
      </c>
      <c r="G682" t="s">
        <v>74</v>
      </c>
      <c r="H682" t="s">
        <v>74</v>
      </c>
      <c r="I682" t="s">
        <v>12181</v>
      </c>
      <c r="J682" t="s">
        <v>4269</v>
      </c>
      <c r="K682" t="s">
        <v>74</v>
      </c>
      <c r="L682" t="s">
        <v>74</v>
      </c>
      <c r="M682" t="s">
        <v>78</v>
      </c>
      <c r="N682" t="s">
        <v>79</v>
      </c>
      <c r="O682" t="s">
        <v>74</v>
      </c>
      <c r="P682" t="s">
        <v>74</v>
      </c>
      <c r="Q682" t="s">
        <v>74</v>
      </c>
      <c r="R682" t="s">
        <v>74</v>
      </c>
      <c r="S682" t="s">
        <v>74</v>
      </c>
      <c r="T682" t="s">
        <v>12182</v>
      </c>
      <c r="U682" t="s">
        <v>12183</v>
      </c>
      <c r="V682" t="s">
        <v>12184</v>
      </c>
      <c r="W682" t="s">
        <v>12185</v>
      </c>
      <c r="X682" t="s">
        <v>12186</v>
      </c>
      <c r="Y682" t="s">
        <v>12187</v>
      </c>
      <c r="Z682" t="s">
        <v>12188</v>
      </c>
      <c r="AA682" t="s">
        <v>12189</v>
      </c>
      <c r="AB682" t="s">
        <v>12190</v>
      </c>
      <c r="AC682" t="s">
        <v>12191</v>
      </c>
      <c r="AD682" t="s">
        <v>12192</v>
      </c>
      <c r="AE682" t="s">
        <v>12193</v>
      </c>
      <c r="AF682" t="s">
        <v>74</v>
      </c>
      <c r="AG682">
        <v>43</v>
      </c>
      <c r="AH682">
        <v>19</v>
      </c>
      <c r="AI682">
        <v>21</v>
      </c>
      <c r="AJ682">
        <v>0</v>
      </c>
      <c r="AK682">
        <v>4</v>
      </c>
      <c r="AL682" t="s">
        <v>549</v>
      </c>
      <c r="AM682" t="s">
        <v>550</v>
      </c>
      <c r="AN682" t="s">
        <v>551</v>
      </c>
      <c r="AO682" t="s">
        <v>4281</v>
      </c>
      <c r="AP682" t="s">
        <v>74</v>
      </c>
      <c r="AQ682" t="s">
        <v>74</v>
      </c>
      <c r="AR682" t="s">
        <v>4283</v>
      </c>
      <c r="AS682" t="s">
        <v>4284</v>
      </c>
      <c r="AT682" t="s">
        <v>10610</v>
      </c>
      <c r="AU682">
        <v>2010</v>
      </c>
      <c r="AV682">
        <v>161</v>
      </c>
      <c r="AW682" t="s">
        <v>556</v>
      </c>
      <c r="AX682" t="s">
        <v>74</v>
      </c>
      <c r="AY682" t="s">
        <v>74</v>
      </c>
      <c r="AZ682" t="s">
        <v>74</v>
      </c>
      <c r="BA682" t="s">
        <v>74</v>
      </c>
      <c r="BB682">
        <v>168</v>
      </c>
      <c r="BC682">
        <v>178</v>
      </c>
      <c r="BD682" t="s">
        <v>74</v>
      </c>
      <c r="BE682" t="s">
        <v>12194</v>
      </c>
      <c r="BF682" t="str">
        <f>HYPERLINK("http://dx.doi.org/10.1016/j.revpalbo.2010.03.011","http://dx.doi.org/10.1016/j.revpalbo.2010.03.011")</f>
        <v>http://dx.doi.org/10.1016/j.revpalbo.2010.03.011</v>
      </c>
      <c r="BG682" t="s">
        <v>74</v>
      </c>
      <c r="BH682" t="s">
        <v>74</v>
      </c>
      <c r="BI682">
        <v>11</v>
      </c>
      <c r="BJ682" t="s">
        <v>4286</v>
      </c>
      <c r="BK682" t="s">
        <v>100</v>
      </c>
      <c r="BL682" t="s">
        <v>4286</v>
      </c>
      <c r="BM682" t="s">
        <v>12195</v>
      </c>
      <c r="BN682" t="s">
        <v>74</v>
      </c>
      <c r="BO682" t="s">
        <v>631</v>
      </c>
      <c r="BP682" t="s">
        <v>74</v>
      </c>
      <c r="BQ682" t="s">
        <v>74</v>
      </c>
      <c r="BR682" t="s">
        <v>104</v>
      </c>
      <c r="BS682" t="s">
        <v>12196</v>
      </c>
      <c r="BT682" t="str">
        <f>HYPERLINK("https%3A%2F%2Fwww.webofscience.com%2Fwos%2Fwoscc%2Ffull-record%2FWOS:000279422200005","View Full Record in Web of Science")</f>
        <v>View Full Record in Web of Science</v>
      </c>
    </row>
    <row r="683" spans="1:72" x14ac:dyDescent="0.15">
      <c r="A683" t="s">
        <v>72</v>
      </c>
      <c r="B683" t="s">
        <v>12197</v>
      </c>
      <c r="C683" t="s">
        <v>74</v>
      </c>
      <c r="D683" t="s">
        <v>74</v>
      </c>
      <c r="E683" t="s">
        <v>74</v>
      </c>
      <c r="F683" t="s">
        <v>12198</v>
      </c>
      <c r="G683" t="s">
        <v>74</v>
      </c>
      <c r="H683" t="s">
        <v>74</v>
      </c>
      <c r="I683" t="s">
        <v>12199</v>
      </c>
      <c r="J683" t="s">
        <v>12200</v>
      </c>
      <c r="K683" t="s">
        <v>74</v>
      </c>
      <c r="L683" t="s">
        <v>74</v>
      </c>
      <c r="M683" t="s">
        <v>4311</v>
      </c>
      <c r="N683" t="s">
        <v>220</v>
      </c>
      <c r="O683" t="s">
        <v>74</v>
      </c>
      <c r="P683" t="s">
        <v>74</v>
      </c>
      <c r="Q683" t="s">
        <v>74</v>
      </c>
      <c r="R683" t="s">
        <v>74</v>
      </c>
      <c r="S683" t="s">
        <v>74</v>
      </c>
      <c r="T683" t="s">
        <v>74</v>
      </c>
      <c r="U683" t="s">
        <v>74</v>
      </c>
      <c r="V683" t="s">
        <v>74</v>
      </c>
      <c r="W683" t="s">
        <v>12201</v>
      </c>
      <c r="X683" t="s">
        <v>12202</v>
      </c>
      <c r="Y683" t="s">
        <v>12203</v>
      </c>
      <c r="Z683" t="s">
        <v>74</v>
      </c>
      <c r="AA683" t="s">
        <v>74</v>
      </c>
      <c r="AB683" t="s">
        <v>74</v>
      </c>
      <c r="AC683" t="s">
        <v>74</v>
      </c>
      <c r="AD683" t="s">
        <v>74</v>
      </c>
      <c r="AE683" t="s">
        <v>74</v>
      </c>
      <c r="AF683" t="s">
        <v>74</v>
      </c>
      <c r="AG683">
        <v>0</v>
      </c>
      <c r="AH683">
        <v>0</v>
      </c>
      <c r="AI683">
        <v>0</v>
      </c>
      <c r="AJ683">
        <v>0</v>
      </c>
      <c r="AK683">
        <v>0</v>
      </c>
      <c r="AL683" t="s">
        <v>12204</v>
      </c>
      <c r="AM683" t="s">
        <v>12205</v>
      </c>
      <c r="AN683" t="s">
        <v>12206</v>
      </c>
      <c r="AO683" t="s">
        <v>12207</v>
      </c>
      <c r="AP683" t="s">
        <v>12208</v>
      </c>
      <c r="AQ683" t="s">
        <v>74</v>
      </c>
      <c r="AR683" t="s">
        <v>12209</v>
      </c>
      <c r="AS683" t="s">
        <v>12210</v>
      </c>
      <c r="AT683" t="s">
        <v>12211</v>
      </c>
      <c r="AU683">
        <v>2010</v>
      </c>
      <c r="AV683" t="s">
        <v>74</v>
      </c>
      <c r="AW683">
        <v>28</v>
      </c>
      <c r="AX683" t="s">
        <v>74</v>
      </c>
      <c r="AY683" t="s">
        <v>74</v>
      </c>
      <c r="AZ683" t="s">
        <v>74</v>
      </c>
      <c r="BA683" t="s">
        <v>74</v>
      </c>
      <c r="BB683">
        <v>113</v>
      </c>
      <c r="BC683">
        <v>123</v>
      </c>
      <c r="BD683" t="s">
        <v>74</v>
      </c>
      <c r="BE683" t="s">
        <v>74</v>
      </c>
      <c r="BF683" t="s">
        <v>74</v>
      </c>
      <c r="BG683" t="s">
        <v>74</v>
      </c>
      <c r="BH683" t="s">
        <v>74</v>
      </c>
      <c r="BI683">
        <v>11</v>
      </c>
      <c r="BJ683" t="s">
        <v>12212</v>
      </c>
      <c r="BK683" t="s">
        <v>3947</v>
      </c>
      <c r="BL683" t="s">
        <v>12213</v>
      </c>
      <c r="BM683" t="s">
        <v>12214</v>
      </c>
      <c r="BN683" t="s">
        <v>74</v>
      </c>
      <c r="BO683" t="s">
        <v>74</v>
      </c>
      <c r="BP683" t="s">
        <v>74</v>
      </c>
      <c r="BQ683" t="s">
        <v>74</v>
      </c>
      <c r="BR683" t="s">
        <v>104</v>
      </c>
      <c r="BS683" t="s">
        <v>12215</v>
      </c>
      <c r="BT683" t="str">
        <f>HYPERLINK("https%3A%2F%2Fwww.webofscience.com%2Fwos%2Fwoscc%2Ffull-record%2FWOS:000219655100010","View Full Record in Web of Science")</f>
        <v>View Full Record in Web of Science</v>
      </c>
    </row>
    <row r="684" spans="1:72" x14ac:dyDescent="0.15">
      <c r="A684" t="s">
        <v>72</v>
      </c>
      <c r="B684" t="s">
        <v>12216</v>
      </c>
      <c r="C684" t="s">
        <v>74</v>
      </c>
      <c r="D684" t="s">
        <v>74</v>
      </c>
      <c r="E684" t="s">
        <v>74</v>
      </c>
      <c r="F684" t="s">
        <v>12217</v>
      </c>
      <c r="G684" t="s">
        <v>74</v>
      </c>
      <c r="H684" t="s">
        <v>74</v>
      </c>
      <c r="I684" t="s">
        <v>12218</v>
      </c>
      <c r="J684" t="s">
        <v>4292</v>
      </c>
      <c r="K684" t="s">
        <v>74</v>
      </c>
      <c r="L684" t="s">
        <v>74</v>
      </c>
      <c r="M684" t="s">
        <v>4311</v>
      </c>
      <c r="N684" t="s">
        <v>79</v>
      </c>
      <c r="O684" t="s">
        <v>74</v>
      </c>
      <c r="P684" t="s">
        <v>74</v>
      </c>
      <c r="Q684" t="s">
        <v>74</v>
      </c>
      <c r="R684" t="s">
        <v>74</v>
      </c>
      <c r="S684" t="s">
        <v>74</v>
      </c>
      <c r="T684" t="s">
        <v>12219</v>
      </c>
      <c r="U684" t="s">
        <v>74</v>
      </c>
      <c r="V684" t="s">
        <v>12220</v>
      </c>
      <c r="W684" t="s">
        <v>12221</v>
      </c>
      <c r="X684" t="s">
        <v>12222</v>
      </c>
      <c r="Y684" t="s">
        <v>12223</v>
      </c>
      <c r="Z684" t="s">
        <v>74</v>
      </c>
      <c r="AA684" t="s">
        <v>74</v>
      </c>
      <c r="AB684" t="s">
        <v>74</v>
      </c>
      <c r="AC684" t="s">
        <v>74</v>
      </c>
      <c r="AD684" t="s">
        <v>74</v>
      </c>
      <c r="AE684" t="s">
        <v>74</v>
      </c>
      <c r="AF684" t="s">
        <v>74</v>
      </c>
      <c r="AG684">
        <v>0</v>
      </c>
      <c r="AH684">
        <v>0</v>
      </c>
      <c r="AI684">
        <v>0</v>
      </c>
      <c r="AJ684">
        <v>0</v>
      </c>
      <c r="AK684">
        <v>0</v>
      </c>
      <c r="AL684" t="s">
        <v>4299</v>
      </c>
      <c r="AM684" t="s">
        <v>4300</v>
      </c>
      <c r="AN684" t="s">
        <v>4301</v>
      </c>
      <c r="AO684" t="s">
        <v>4302</v>
      </c>
      <c r="AP684" t="s">
        <v>74</v>
      </c>
      <c r="AQ684" t="s">
        <v>74</v>
      </c>
      <c r="AR684" t="s">
        <v>4303</v>
      </c>
      <c r="AS684" t="s">
        <v>4304</v>
      </c>
      <c r="AT684" t="s">
        <v>10925</v>
      </c>
      <c r="AU684">
        <v>2010</v>
      </c>
      <c r="AV684">
        <v>1</v>
      </c>
      <c r="AW684">
        <v>3</v>
      </c>
      <c r="AX684" t="s">
        <v>74</v>
      </c>
      <c r="AY684" t="s">
        <v>74</v>
      </c>
      <c r="AZ684" t="s">
        <v>74</v>
      </c>
      <c r="BA684" t="s">
        <v>74</v>
      </c>
      <c r="BB684">
        <v>1</v>
      </c>
      <c r="BC684">
        <v>10</v>
      </c>
      <c r="BD684" t="s">
        <v>74</v>
      </c>
      <c r="BE684" t="s">
        <v>74</v>
      </c>
      <c r="BF684" t="s">
        <v>74</v>
      </c>
      <c r="BG684" t="s">
        <v>74</v>
      </c>
      <c r="BH684" t="s">
        <v>74</v>
      </c>
      <c r="BI684">
        <v>10</v>
      </c>
      <c r="BJ684" t="s">
        <v>4305</v>
      </c>
      <c r="BK684" t="s">
        <v>3947</v>
      </c>
      <c r="BL684" t="s">
        <v>4305</v>
      </c>
      <c r="BM684" t="s">
        <v>12224</v>
      </c>
      <c r="BN684" t="s">
        <v>74</v>
      </c>
      <c r="BO684" t="s">
        <v>74</v>
      </c>
      <c r="BP684" t="s">
        <v>74</v>
      </c>
      <c r="BQ684" t="s">
        <v>74</v>
      </c>
      <c r="BR684" t="s">
        <v>104</v>
      </c>
      <c r="BS684" t="s">
        <v>12225</v>
      </c>
      <c r="BT684" t="str">
        <f>HYPERLINK("https%3A%2F%2Fwww.webofscience.com%2Fwos%2Fwoscc%2Ffull-record%2FWOS:000215955000001","View Full Record in Web of Science")</f>
        <v>View Full Record in Web of Science</v>
      </c>
    </row>
    <row r="685" spans="1:72" x14ac:dyDescent="0.15">
      <c r="A685" t="s">
        <v>72</v>
      </c>
      <c r="B685" t="s">
        <v>12226</v>
      </c>
      <c r="C685" t="s">
        <v>74</v>
      </c>
      <c r="D685" t="s">
        <v>74</v>
      </c>
      <c r="E685" t="s">
        <v>74</v>
      </c>
      <c r="F685" t="s">
        <v>12227</v>
      </c>
      <c r="G685" t="s">
        <v>74</v>
      </c>
      <c r="H685" t="s">
        <v>74</v>
      </c>
      <c r="I685" t="s">
        <v>12228</v>
      </c>
      <c r="J685" t="s">
        <v>4292</v>
      </c>
      <c r="K685" t="s">
        <v>74</v>
      </c>
      <c r="L685" t="s">
        <v>74</v>
      </c>
      <c r="M685" t="s">
        <v>4311</v>
      </c>
      <c r="N685" t="s">
        <v>79</v>
      </c>
      <c r="O685" t="s">
        <v>74</v>
      </c>
      <c r="P685" t="s">
        <v>74</v>
      </c>
      <c r="Q685" t="s">
        <v>74</v>
      </c>
      <c r="R685" t="s">
        <v>74</v>
      </c>
      <c r="S685" t="s">
        <v>74</v>
      </c>
      <c r="T685" t="s">
        <v>12229</v>
      </c>
      <c r="U685" t="s">
        <v>74</v>
      </c>
      <c r="V685" t="s">
        <v>12230</v>
      </c>
      <c r="W685" t="s">
        <v>12231</v>
      </c>
      <c r="X685" t="s">
        <v>74</v>
      </c>
      <c r="Y685" t="s">
        <v>12232</v>
      </c>
      <c r="Z685" t="s">
        <v>12233</v>
      </c>
      <c r="AA685" t="s">
        <v>74</v>
      </c>
      <c r="AB685" t="s">
        <v>74</v>
      </c>
      <c r="AC685" t="s">
        <v>74</v>
      </c>
      <c r="AD685" t="s">
        <v>74</v>
      </c>
      <c r="AE685" t="s">
        <v>74</v>
      </c>
      <c r="AF685" t="s">
        <v>74</v>
      </c>
      <c r="AG685">
        <v>7</v>
      </c>
      <c r="AH685">
        <v>0</v>
      </c>
      <c r="AI685">
        <v>0</v>
      </c>
      <c r="AJ685">
        <v>0</v>
      </c>
      <c r="AK685">
        <v>0</v>
      </c>
      <c r="AL685" t="s">
        <v>4299</v>
      </c>
      <c r="AM685" t="s">
        <v>4300</v>
      </c>
      <c r="AN685" t="s">
        <v>4301</v>
      </c>
      <c r="AO685" t="s">
        <v>4302</v>
      </c>
      <c r="AP685" t="s">
        <v>74</v>
      </c>
      <c r="AQ685" t="s">
        <v>74</v>
      </c>
      <c r="AR685" t="s">
        <v>4303</v>
      </c>
      <c r="AS685" t="s">
        <v>4304</v>
      </c>
      <c r="AT685" t="s">
        <v>10925</v>
      </c>
      <c r="AU685">
        <v>2010</v>
      </c>
      <c r="AV685">
        <v>1</v>
      </c>
      <c r="AW685">
        <v>3</v>
      </c>
      <c r="AX685" t="s">
        <v>74</v>
      </c>
      <c r="AY685" t="s">
        <v>74</v>
      </c>
      <c r="AZ685" t="s">
        <v>74</v>
      </c>
      <c r="BA685" t="s">
        <v>74</v>
      </c>
      <c r="BB685">
        <v>11</v>
      </c>
      <c r="BC685">
        <v>28</v>
      </c>
      <c r="BD685" t="s">
        <v>74</v>
      </c>
      <c r="BE685" t="s">
        <v>74</v>
      </c>
      <c r="BF685" t="s">
        <v>74</v>
      </c>
      <c r="BG685" t="s">
        <v>74</v>
      </c>
      <c r="BH685" t="s">
        <v>74</v>
      </c>
      <c r="BI685">
        <v>18</v>
      </c>
      <c r="BJ685" t="s">
        <v>4305</v>
      </c>
      <c r="BK685" t="s">
        <v>3947</v>
      </c>
      <c r="BL685" t="s">
        <v>4305</v>
      </c>
      <c r="BM685" t="s">
        <v>12224</v>
      </c>
      <c r="BN685" t="s">
        <v>74</v>
      </c>
      <c r="BO685" t="s">
        <v>74</v>
      </c>
      <c r="BP685" t="s">
        <v>74</v>
      </c>
      <c r="BQ685" t="s">
        <v>74</v>
      </c>
      <c r="BR685" t="s">
        <v>104</v>
      </c>
      <c r="BS685" t="s">
        <v>12234</v>
      </c>
      <c r="BT685" t="str">
        <f>HYPERLINK("https%3A%2F%2Fwww.webofscience.com%2Fwos%2Fwoscc%2Ffull-record%2FWOS:000215955000002","View Full Record in Web of Science")</f>
        <v>View Full Record in Web of Science</v>
      </c>
    </row>
    <row r="686" spans="1:72" x14ac:dyDescent="0.15">
      <c r="A686" t="s">
        <v>72</v>
      </c>
      <c r="B686" t="s">
        <v>12235</v>
      </c>
      <c r="C686" t="s">
        <v>74</v>
      </c>
      <c r="D686" t="s">
        <v>74</v>
      </c>
      <c r="E686" t="s">
        <v>74</v>
      </c>
      <c r="F686" t="s">
        <v>12236</v>
      </c>
      <c r="G686" t="s">
        <v>74</v>
      </c>
      <c r="H686" t="s">
        <v>74</v>
      </c>
      <c r="I686" t="s">
        <v>12237</v>
      </c>
      <c r="J686" t="s">
        <v>4982</v>
      </c>
      <c r="K686" t="s">
        <v>74</v>
      </c>
      <c r="L686" t="s">
        <v>74</v>
      </c>
      <c r="M686" t="s">
        <v>78</v>
      </c>
      <c r="N686" t="s">
        <v>79</v>
      </c>
      <c r="O686" t="s">
        <v>74</v>
      </c>
      <c r="P686" t="s">
        <v>74</v>
      </c>
      <c r="Q686" t="s">
        <v>74</v>
      </c>
      <c r="R686" t="s">
        <v>74</v>
      </c>
      <c r="S686" t="s">
        <v>74</v>
      </c>
      <c r="T686" t="s">
        <v>12238</v>
      </c>
      <c r="U686" t="s">
        <v>12239</v>
      </c>
      <c r="V686" t="s">
        <v>12240</v>
      </c>
      <c r="W686" t="s">
        <v>12241</v>
      </c>
      <c r="X686" t="s">
        <v>12242</v>
      </c>
      <c r="Y686" t="s">
        <v>12243</v>
      </c>
      <c r="Z686" t="s">
        <v>12244</v>
      </c>
      <c r="AA686" t="s">
        <v>12245</v>
      </c>
      <c r="AB686" t="s">
        <v>12246</v>
      </c>
      <c r="AC686" t="s">
        <v>74</v>
      </c>
      <c r="AD686" t="s">
        <v>74</v>
      </c>
      <c r="AE686" t="s">
        <v>74</v>
      </c>
      <c r="AF686" t="s">
        <v>74</v>
      </c>
      <c r="AG686">
        <v>116</v>
      </c>
      <c r="AH686">
        <v>112</v>
      </c>
      <c r="AI686">
        <v>118</v>
      </c>
      <c r="AJ686">
        <v>8</v>
      </c>
      <c r="AK686">
        <v>180</v>
      </c>
      <c r="AL686" t="s">
        <v>1038</v>
      </c>
      <c r="AM686" t="s">
        <v>550</v>
      </c>
      <c r="AN686" t="s">
        <v>1039</v>
      </c>
      <c r="AO686" t="s">
        <v>4995</v>
      </c>
      <c r="AP686" t="s">
        <v>4996</v>
      </c>
      <c r="AQ686" t="s">
        <v>74</v>
      </c>
      <c r="AR686" t="s">
        <v>4997</v>
      </c>
      <c r="AS686" t="s">
        <v>4998</v>
      </c>
      <c r="AT686" t="s">
        <v>10853</v>
      </c>
      <c r="AU686">
        <v>2010</v>
      </c>
      <c r="AV686">
        <v>408</v>
      </c>
      <c r="AW686">
        <v>15</v>
      </c>
      <c r="AX686" t="s">
        <v>74</v>
      </c>
      <c r="AY686" t="s">
        <v>74</v>
      </c>
      <c r="AZ686" t="s">
        <v>582</v>
      </c>
      <c r="BA686" t="s">
        <v>74</v>
      </c>
      <c r="BB686">
        <v>2919</v>
      </c>
      <c r="BC686">
        <v>2935</v>
      </c>
      <c r="BD686" t="s">
        <v>74</v>
      </c>
      <c r="BE686" t="s">
        <v>12247</v>
      </c>
      <c r="BF686" t="str">
        <f>HYPERLINK("http://dx.doi.org/10.1016/j.scitotenv.2009.09.013","http://dx.doi.org/10.1016/j.scitotenv.2009.09.013")</f>
        <v>http://dx.doi.org/10.1016/j.scitotenv.2009.09.013</v>
      </c>
      <c r="BG686" t="s">
        <v>74</v>
      </c>
      <c r="BH686" t="s">
        <v>74</v>
      </c>
      <c r="BI686">
        <v>17</v>
      </c>
      <c r="BJ686" t="s">
        <v>3562</v>
      </c>
      <c r="BK686" t="s">
        <v>100</v>
      </c>
      <c r="BL686" t="s">
        <v>2797</v>
      </c>
      <c r="BM686" t="s">
        <v>12248</v>
      </c>
      <c r="BN686">
        <v>19892388</v>
      </c>
      <c r="BO686" t="s">
        <v>74</v>
      </c>
      <c r="BP686" t="s">
        <v>74</v>
      </c>
      <c r="BQ686" t="s">
        <v>74</v>
      </c>
      <c r="BR686" t="s">
        <v>104</v>
      </c>
      <c r="BS686" t="s">
        <v>12249</v>
      </c>
      <c r="BT686" t="str">
        <f>HYPERLINK("https%3A%2F%2Fwww.webofscience.com%2Fwos%2Fwoscc%2Ffull-record%2FWOS:000279503900005","View Full Record in Web of Science")</f>
        <v>View Full Record in Web of Science</v>
      </c>
    </row>
    <row r="687" spans="1:72" x14ac:dyDescent="0.15">
      <c r="A687" t="s">
        <v>72</v>
      </c>
      <c r="B687" t="s">
        <v>12250</v>
      </c>
      <c r="C687" t="s">
        <v>74</v>
      </c>
      <c r="D687" t="s">
        <v>74</v>
      </c>
      <c r="E687" t="s">
        <v>74</v>
      </c>
      <c r="F687" t="s">
        <v>12251</v>
      </c>
      <c r="G687" t="s">
        <v>74</v>
      </c>
      <c r="H687" t="s">
        <v>74</v>
      </c>
      <c r="I687" t="s">
        <v>12252</v>
      </c>
      <c r="J687" t="s">
        <v>12253</v>
      </c>
      <c r="K687" t="s">
        <v>74</v>
      </c>
      <c r="L687" t="s">
        <v>74</v>
      </c>
      <c r="M687" t="s">
        <v>78</v>
      </c>
      <c r="N687" t="s">
        <v>79</v>
      </c>
      <c r="O687" t="s">
        <v>74</v>
      </c>
      <c r="P687" t="s">
        <v>74</v>
      </c>
      <c r="Q687" t="s">
        <v>74</v>
      </c>
      <c r="R687" t="s">
        <v>74</v>
      </c>
      <c r="S687" t="s">
        <v>74</v>
      </c>
      <c r="T687" t="s">
        <v>12254</v>
      </c>
      <c r="U687" t="s">
        <v>74</v>
      </c>
      <c r="V687" t="s">
        <v>12255</v>
      </c>
      <c r="W687" t="s">
        <v>12256</v>
      </c>
      <c r="X687" t="s">
        <v>12257</v>
      </c>
      <c r="Y687" t="s">
        <v>12258</v>
      </c>
      <c r="Z687" t="s">
        <v>74</v>
      </c>
      <c r="AA687" t="s">
        <v>74</v>
      </c>
      <c r="AB687" t="s">
        <v>74</v>
      </c>
      <c r="AC687" t="s">
        <v>74</v>
      </c>
      <c r="AD687" t="s">
        <v>74</v>
      </c>
      <c r="AE687" t="s">
        <v>74</v>
      </c>
      <c r="AF687" t="s">
        <v>74</v>
      </c>
      <c r="AG687">
        <v>24</v>
      </c>
      <c r="AH687">
        <v>2</v>
      </c>
      <c r="AI687">
        <v>2</v>
      </c>
      <c r="AJ687">
        <v>0</v>
      </c>
      <c r="AK687">
        <v>2</v>
      </c>
      <c r="AL687" t="s">
        <v>12259</v>
      </c>
      <c r="AM687" t="s">
        <v>1598</v>
      </c>
      <c r="AN687" t="s">
        <v>12260</v>
      </c>
      <c r="AO687" t="s">
        <v>12261</v>
      </c>
      <c r="AP687" t="s">
        <v>12262</v>
      </c>
      <c r="AQ687" t="s">
        <v>74</v>
      </c>
      <c r="AR687" t="s">
        <v>12263</v>
      </c>
      <c r="AS687" t="s">
        <v>12264</v>
      </c>
      <c r="AT687" t="s">
        <v>10610</v>
      </c>
      <c r="AU687">
        <v>2010</v>
      </c>
      <c r="AV687">
        <v>29</v>
      </c>
      <c r="AW687">
        <v>2</v>
      </c>
      <c r="AX687">
        <v>1</v>
      </c>
      <c r="AY687" t="s">
        <v>74</v>
      </c>
      <c r="AZ687" t="s">
        <v>74</v>
      </c>
      <c r="BA687" t="s">
        <v>74</v>
      </c>
      <c r="BB687" t="s">
        <v>74</v>
      </c>
      <c r="BC687" t="s">
        <v>74</v>
      </c>
      <c r="BD687" t="s">
        <v>74</v>
      </c>
      <c r="BE687" t="s">
        <v>12265</v>
      </c>
      <c r="BF687" t="str">
        <f>HYPERLINK("http://dx.doi.org/10.3723/ut.29.087","http://dx.doi.org/10.3723/ut.29.087")</f>
        <v>http://dx.doi.org/10.3723/ut.29.087</v>
      </c>
      <c r="BG687" t="s">
        <v>74</v>
      </c>
      <c r="BH687" t="s">
        <v>74</v>
      </c>
      <c r="BI687">
        <v>7</v>
      </c>
      <c r="BJ687" t="s">
        <v>12266</v>
      </c>
      <c r="BK687" t="s">
        <v>3947</v>
      </c>
      <c r="BL687" t="s">
        <v>12267</v>
      </c>
      <c r="BM687" t="s">
        <v>12268</v>
      </c>
      <c r="BN687" t="s">
        <v>74</v>
      </c>
      <c r="BO687" t="s">
        <v>74</v>
      </c>
      <c r="BP687" t="s">
        <v>74</v>
      </c>
      <c r="BQ687" t="s">
        <v>74</v>
      </c>
      <c r="BR687" t="s">
        <v>104</v>
      </c>
      <c r="BS687" t="s">
        <v>12269</v>
      </c>
      <c r="BT687" t="str">
        <f>HYPERLINK("https%3A%2F%2Fwww.webofscience.com%2Fwos%2Fwoscc%2Ffull-record%2FWOS:000437621000005","View Full Record in Web of Science")</f>
        <v>View Full Record in Web of Science</v>
      </c>
    </row>
    <row r="688" spans="1:72" x14ac:dyDescent="0.15">
      <c r="A688" t="s">
        <v>72</v>
      </c>
      <c r="B688" t="s">
        <v>12270</v>
      </c>
      <c r="C688" t="s">
        <v>74</v>
      </c>
      <c r="D688" t="s">
        <v>74</v>
      </c>
      <c r="E688" t="s">
        <v>74</v>
      </c>
      <c r="F688" t="s">
        <v>12271</v>
      </c>
      <c r="G688" t="s">
        <v>74</v>
      </c>
      <c r="H688" t="s">
        <v>74</v>
      </c>
      <c r="I688" t="s">
        <v>12272</v>
      </c>
      <c r="J688" t="s">
        <v>12273</v>
      </c>
      <c r="K688" t="s">
        <v>74</v>
      </c>
      <c r="L688" t="s">
        <v>74</v>
      </c>
      <c r="M688" t="s">
        <v>78</v>
      </c>
      <c r="N688" t="s">
        <v>79</v>
      </c>
      <c r="O688" t="s">
        <v>74</v>
      </c>
      <c r="P688" t="s">
        <v>74</v>
      </c>
      <c r="Q688" t="s">
        <v>74</v>
      </c>
      <c r="R688" t="s">
        <v>74</v>
      </c>
      <c r="S688" t="s">
        <v>74</v>
      </c>
      <c r="T688" t="s">
        <v>12274</v>
      </c>
      <c r="U688" t="s">
        <v>12275</v>
      </c>
      <c r="V688" t="s">
        <v>12276</v>
      </c>
      <c r="W688" t="s">
        <v>12277</v>
      </c>
      <c r="X688" t="s">
        <v>12278</v>
      </c>
      <c r="Y688" t="s">
        <v>12279</v>
      </c>
      <c r="Z688" t="s">
        <v>74</v>
      </c>
      <c r="AA688" t="s">
        <v>12280</v>
      </c>
      <c r="AB688" t="s">
        <v>12281</v>
      </c>
      <c r="AC688" t="s">
        <v>12282</v>
      </c>
      <c r="AD688" t="s">
        <v>4335</v>
      </c>
      <c r="AE688" t="s">
        <v>12283</v>
      </c>
      <c r="AF688" t="s">
        <v>74</v>
      </c>
      <c r="AG688">
        <v>31</v>
      </c>
      <c r="AH688">
        <v>8</v>
      </c>
      <c r="AI688">
        <v>8</v>
      </c>
      <c r="AJ688">
        <v>3</v>
      </c>
      <c r="AK688">
        <v>21</v>
      </c>
      <c r="AL688" t="s">
        <v>12284</v>
      </c>
      <c r="AM688" t="s">
        <v>12285</v>
      </c>
      <c r="AN688" t="s">
        <v>12286</v>
      </c>
      <c r="AO688" t="s">
        <v>12287</v>
      </c>
      <c r="AP688" t="s">
        <v>74</v>
      </c>
      <c r="AQ688" t="s">
        <v>74</v>
      </c>
      <c r="AR688" t="s">
        <v>12288</v>
      </c>
      <c r="AS688" t="s">
        <v>12289</v>
      </c>
      <c r="AT688" t="s">
        <v>10610</v>
      </c>
      <c r="AU688">
        <v>2010</v>
      </c>
      <c r="AV688">
        <v>37</v>
      </c>
      <c r="AW688">
        <v>4</v>
      </c>
      <c r="AX688" t="s">
        <v>74</v>
      </c>
      <c r="AY688" t="s">
        <v>74</v>
      </c>
      <c r="AZ688" t="s">
        <v>74</v>
      </c>
      <c r="BA688" t="s">
        <v>74</v>
      </c>
      <c r="BB688">
        <v>427</v>
      </c>
      <c r="BC688">
        <v>436</v>
      </c>
      <c r="BD688" t="s">
        <v>74</v>
      </c>
      <c r="BE688" t="s">
        <v>12290</v>
      </c>
      <c r="BF688" t="str">
        <f>HYPERLINK("http://dx.doi.org/10.1134/S0097807810040019","http://dx.doi.org/10.1134/S0097807810040019")</f>
        <v>http://dx.doi.org/10.1134/S0097807810040019</v>
      </c>
      <c r="BG688" t="s">
        <v>74</v>
      </c>
      <c r="BH688" t="s">
        <v>74</v>
      </c>
      <c r="BI688">
        <v>10</v>
      </c>
      <c r="BJ688" t="s">
        <v>12291</v>
      </c>
      <c r="BK688" t="s">
        <v>100</v>
      </c>
      <c r="BL688" t="s">
        <v>12291</v>
      </c>
      <c r="BM688" t="s">
        <v>12292</v>
      </c>
      <c r="BN688" t="s">
        <v>74</v>
      </c>
      <c r="BO688" t="s">
        <v>74</v>
      </c>
      <c r="BP688" t="s">
        <v>74</v>
      </c>
      <c r="BQ688" t="s">
        <v>74</v>
      </c>
      <c r="BR688" t="s">
        <v>104</v>
      </c>
      <c r="BS688" t="s">
        <v>12293</v>
      </c>
      <c r="BT688" t="str">
        <f>HYPERLINK("https%3A%2F%2Fwww.webofscience.com%2Fwos%2Fwoscc%2Ffull-record%2FWOS:000279699500001","View Full Record in Web of Science")</f>
        <v>View Full Record in Web of Science</v>
      </c>
    </row>
    <row r="689" spans="1:72" x14ac:dyDescent="0.15">
      <c r="A689" t="s">
        <v>72</v>
      </c>
      <c r="B689" t="s">
        <v>12294</v>
      </c>
      <c r="C689" t="s">
        <v>74</v>
      </c>
      <c r="D689" t="s">
        <v>74</v>
      </c>
      <c r="E689" t="s">
        <v>74</v>
      </c>
      <c r="F689" t="s">
        <v>12295</v>
      </c>
      <c r="G689" t="s">
        <v>74</v>
      </c>
      <c r="H689" t="s">
        <v>74</v>
      </c>
      <c r="I689" t="s">
        <v>12296</v>
      </c>
      <c r="J689" t="s">
        <v>12297</v>
      </c>
      <c r="K689" t="s">
        <v>74</v>
      </c>
      <c r="L689" t="s">
        <v>74</v>
      </c>
      <c r="M689" t="s">
        <v>78</v>
      </c>
      <c r="N689" t="s">
        <v>79</v>
      </c>
      <c r="O689" t="s">
        <v>74</v>
      </c>
      <c r="P689" t="s">
        <v>74</v>
      </c>
      <c r="Q689" t="s">
        <v>74</v>
      </c>
      <c r="R689" t="s">
        <v>74</v>
      </c>
      <c r="S689" t="s">
        <v>74</v>
      </c>
      <c r="T689" t="s">
        <v>12298</v>
      </c>
      <c r="U689" t="s">
        <v>12299</v>
      </c>
      <c r="V689" t="s">
        <v>12300</v>
      </c>
      <c r="W689" t="s">
        <v>12301</v>
      </c>
      <c r="X689" t="s">
        <v>12302</v>
      </c>
      <c r="Y689" t="s">
        <v>12303</v>
      </c>
      <c r="Z689" t="s">
        <v>12304</v>
      </c>
      <c r="AA689" t="s">
        <v>12305</v>
      </c>
      <c r="AB689" t="s">
        <v>12306</v>
      </c>
      <c r="AC689" t="s">
        <v>12307</v>
      </c>
      <c r="AD689" t="s">
        <v>12308</v>
      </c>
      <c r="AE689" t="s">
        <v>12309</v>
      </c>
      <c r="AF689" t="s">
        <v>74</v>
      </c>
      <c r="AG689">
        <v>34</v>
      </c>
      <c r="AH689">
        <v>5</v>
      </c>
      <c r="AI689">
        <v>5</v>
      </c>
      <c r="AJ689">
        <v>1</v>
      </c>
      <c r="AK689">
        <v>12</v>
      </c>
      <c r="AL689" t="s">
        <v>464</v>
      </c>
      <c r="AM689" t="s">
        <v>576</v>
      </c>
      <c r="AN689" t="s">
        <v>577</v>
      </c>
      <c r="AO689" t="s">
        <v>12310</v>
      </c>
      <c r="AP689" t="s">
        <v>12311</v>
      </c>
      <c r="AQ689" t="s">
        <v>74</v>
      </c>
      <c r="AR689" t="s">
        <v>12312</v>
      </c>
      <c r="AS689" t="s">
        <v>12313</v>
      </c>
      <c r="AT689" t="s">
        <v>10610</v>
      </c>
      <c r="AU689">
        <v>2010</v>
      </c>
      <c r="AV689">
        <v>26</v>
      </c>
      <c r="AW689">
        <v>7</v>
      </c>
      <c r="AX689" t="s">
        <v>74</v>
      </c>
      <c r="AY689" t="s">
        <v>74</v>
      </c>
      <c r="AZ689" t="s">
        <v>74</v>
      </c>
      <c r="BA689" t="s">
        <v>74</v>
      </c>
      <c r="BB689">
        <v>1251</v>
      </c>
      <c r="BC689">
        <v>1259</v>
      </c>
      <c r="BD689" t="s">
        <v>74</v>
      </c>
      <c r="BE689" t="s">
        <v>12314</v>
      </c>
      <c r="BF689" t="str">
        <f>HYPERLINK("http://dx.doi.org/10.1007/s11274-009-0295-9","http://dx.doi.org/10.1007/s11274-009-0295-9")</f>
        <v>http://dx.doi.org/10.1007/s11274-009-0295-9</v>
      </c>
      <c r="BG689" t="s">
        <v>74</v>
      </c>
      <c r="BH689" t="s">
        <v>74</v>
      </c>
      <c r="BI689">
        <v>9</v>
      </c>
      <c r="BJ689" t="s">
        <v>370</v>
      </c>
      <c r="BK689" t="s">
        <v>100</v>
      </c>
      <c r="BL689" t="s">
        <v>370</v>
      </c>
      <c r="BM689" t="s">
        <v>12315</v>
      </c>
      <c r="BN689">
        <v>24026930</v>
      </c>
      <c r="BO689" t="s">
        <v>74</v>
      </c>
      <c r="BP689" t="s">
        <v>74</v>
      </c>
      <c r="BQ689" t="s">
        <v>74</v>
      </c>
      <c r="BR689" t="s">
        <v>104</v>
      </c>
      <c r="BS689" t="s">
        <v>12316</v>
      </c>
      <c r="BT689" t="str">
        <f>HYPERLINK("https%3A%2F%2Fwww.webofscience.com%2Fwos%2Fwoscc%2Ffull-record%2FWOS:000278695800013","View Full Record in Web of Science")</f>
        <v>View Full Record in Web of Science</v>
      </c>
    </row>
    <row r="690" spans="1:72" x14ac:dyDescent="0.15">
      <c r="A690" t="s">
        <v>72</v>
      </c>
      <c r="B690" t="s">
        <v>12317</v>
      </c>
      <c r="C690" t="s">
        <v>74</v>
      </c>
      <c r="D690" t="s">
        <v>74</v>
      </c>
      <c r="E690" t="s">
        <v>74</v>
      </c>
      <c r="F690" t="s">
        <v>12318</v>
      </c>
      <c r="G690" t="s">
        <v>74</v>
      </c>
      <c r="H690" t="s">
        <v>74</v>
      </c>
      <c r="I690" t="s">
        <v>12319</v>
      </c>
      <c r="J690" t="s">
        <v>7584</v>
      </c>
      <c r="K690" t="s">
        <v>74</v>
      </c>
      <c r="L690" t="s">
        <v>74</v>
      </c>
      <c r="M690" t="s">
        <v>78</v>
      </c>
      <c r="N690" t="s">
        <v>79</v>
      </c>
      <c r="O690" t="s">
        <v>74</v>
      </c>
      <c r="P690" t="s">
        <v>74</v>
      </c>
      <c r="Q690" t="s">
        <v>74</v>
      </c>
      <c r="R690" t="s">
        <v>74</v>
      </c>
      <c r="S690" t="s">
        <v>74</v>
      </c>
      <c r="T690" t="s">
        <v>12320</v>
      </c>
      <c r="U690" t="s">
        <v>12321</v>
      </c>
      <c r="V690" t="s">
        <v>12322</v>
      </c>
      <c r="W690" t="s">
        <v>12323</v>
      </c>
      <c r="X690" t="s">
        <v>12324</v>
      </c>
      <c r="Y690" t="s">
        <v>12325</v>
      </c>
      <c r="Z690" t="s">
        <v>12326</v>
      </c>
      <c r="AA690" t="s">
        <v>12327</v>
      </c>
      <c r="AB690" t="s">
        <v>12328</v>
      </c>
      <c r="AC690" t="s">
        <v>12329</v>
      </c>
      <c r="AD690" t="s">
        <v>12330</v>
      </c>
      <c r="AE690" t="s">
        <v>12331</v>
      </c>
      <c r="AF690" t="s">
        <v>74</v>
      </c>
      <c r="AG690">
        <v>23</v>
      </c>
      <c r="AH690">
        <v>1</v>
      </c>
      <c r="AI690">
        <v>1</v>
      </c>
      <c r="AJ690">
        <v>0</v>
      </c>
      <c r="AK690">
        <v>14</v>
      </c>
      <c r="AL690" t="s">
        <v>1521</v>
      </c>
      <c r="AM690" t="s">
        <v>1522</v>
      </c>
      <c r="AN690" t="s">
        <v>1523</v>
      </c>
      <c r="AO690" t="s">
        <v>7596</v>
      </c>
      <c r="AP690" t="s">
        <v>74</v>
      </c>
      <c r="AQ690" t="s">
        <v>74</v>
      </c>
      <c r="AR690" t="s">
        <v>7597</v>
      </c>
      <c r="AS690" t="s">
        <v>7598</v>
      </c>
      <c r="AT690" t="s">
        <v>12332</v>
      </c>
      <c r="AU690">
        <v>2010</v>
      </c>
      <c r="AV690">
        <v>11</v>
      </c>
      <c r="AW690" t="s">
        <v>74</v>
      </c>
      <c r="AX690" t="s">
        <v>74</v>
      </c>
      <c r="AY690" t="s">
        <v>74</v>
      </c>
      <c r="AZ690" t="s">
        <v>74</v>
      </c>
      <c r="BA690" t="s">
        <v>74</v>
      </c>
      <c r="BB690" t="s">
        <v>74</v>
      </c>
      <c r="BC690" t="s">
        <v>74</v>
      </c>
      <c r="BD690" t="s">
        <v>12333</v>
      </c>
      <c r="BE690" t="s">
        <v>12334</v>
      </c>
      <c r="BF690" t="str">
        <f>HYPERLINK("http://dx.doi.org/10.1029/2009GC002949","http://dx.doi.org/10.1029/2009GC002949")</f>
        <v>http://dx.doi.org/10.1029/2009GC002949</v>
      </c>
      <c r="BG690" t="s">
        <v>74</v>
      </c>
      <c r="BH690" t="s">
        <v>74</v>
      </c>
      <c r="BI690">
        <v>14</v>
      </c>
      <c r="BJ690" t="s">
        <v>558</v>
      </c>
      <c r="BK690" t="s">
        <v>100</v>
      </c>
      <c r="BL690" t="s">
        <v>558</v>
      </c>
      <c r="BM690" t="s">
        <v>12335</v>
      </c>
      <c r="BN690" t="s">
        <v>74</v>
      </c>
      <c r="BO690" t="s">
        <v>7523</v>
      </c>
      <c r="BP690" t="s">
        <v>74</v>
      </c>
      <c r="BQ690" t="s">
        <v>74</v>
      </c>
      <c r="BR690" t="s">
        <v>104</v>
      </c>
      <c r="BS690" t="s">
        <v>12336</v>
      </c>
      <c r="BT690" t="str">
        <f>HYPERLINK("https%3A%2F%2Fwww.webofscience.com%2Fwos%2Fwoscc%2Ffull-record%2FWOS:000279494900001","View Full Record in Web of Science")</f>
        <v>View Full Record in Web of Science</v>
      </c>
    </row>
    <row r="691" spans="1:72" x14ac:dyDescent="0.15">
      <c r="A691" t="s">
        <v>72</v>
      </c>
      <c r="B691" t="s">
        <v>12337</v>
      </c>
      <c r="C691" t="s">
        <v>74</v>
      </c>
      <c r="D691" t="s">
        <v>74</v>
      </c>
      <c r="E691" t="s">
        <v>74</v>
      </c>
      <c r="F691" t="s">
        <v>12338</v>
      </c>
      <c r="G691" t="s">
        <v>74</v>
      </c>
      <c r="H691" t="s">
        <v>74</v>
      </c>
      <c r="I691" t="s">
        <v>12339</v>
      </c>
      <c r="J691" t="s">
        <v>2132</v>
      </c>
      <c r="K691" t="s">
        <v>74</v>
      </c>
      <c r="L691" t="s">
        <v>74</v>
      </c>
      <c r="M691" t="s">
        <v>78</v>
      </c>
      <c r="N691" t="s">
        <v>79</v>
      </c>
      <c r="O691" t="s">
        <v>74</v>
      </c>
      <c r="P691" t="s">
        <v>74</v>
      </c>
      <c r="Q691" t="s">
        <v>74</v>
      </c>
      <c r="R691" t="s">
        <v>74</v>
      </c>
      <c r="S691" t="s">
        <v>74</v>
      </c>
      <c r="T691" t="s">
        <v>12340</v>
      </c>
      <c r="U691" t="s">
        <v>12341</v>
      </c>
      <c r="V691" t="s">
        <v>12342</v>
      </c>
      <c r="W691" t="s">
        <v>12343</v>
      </c>
      <c r="X691" t="s">
        <v>12344</v>
      </c>
      <c r="Y691" t="s">
        <v>12345</v>
      </c>
      <c r="Z691" t="s">
        <v>12346</v>
      </c>
      <c r="AA691" t="s">
        <v>12347</v>
      </c>
      <c r="AB691" t="s">
        <v>74</v>
      </c>
      <c r="AC691" t="s">
        <v>12348</v>
      </c>
      <c r="AD691" t="s">
        <v>12349</v>
      </c>
      <c r="AE691" t="s">
        <v>12350</v>
      </c>
      <c r="AF691" t="s">
        <v>74</v>
      </c>
      <c r="AG691">
        <v>36</v>
      </c>
      <c r="AH691">
        <v>305</v>
      </c>
      <c r="AI691">
        <v>346</v>
      </c>
      <c r="AJ691">
        <v>12</v>
      </c>
      <c r="AK691">
        <v>154</v>
      </c>
      <c r="AL691" t="s">
        <v>2143</v>
      </c>
      <c r="AM691" t="s">
        <v>1522</v>
      </c>
      <c r="AN691" t="s">
        <v>2144</v>
      </c>
      <c r="AO691" t="s">
        <v>2145</v>
      </c>
      <c r="AP691" t="s">
        <v>74</v>
      </c>
      <c r="AQ691" t="s">
        <v>74</v>
      </c>
      <c r="AR691" t="s">
        <v>2147</v>
      </c>
      <c r="AS691" t="s">
        <v>2148</v>
      </c>
      <c r="AT691" t="s">
        <v>12332</v>
      </c>
      <c r="AU691">
        <v>2010</v>
      </c>
      <c r="AV691">
        <v>107</v>
      </c>
      <c r="AW691">
        <v>26</v>
      </c>
      <c r="AX691" t="s">
        <v>74</v>
      </c>
      <c r="AY691" t="s">
        <v>74</v>
      </c>
      <c r="AZ691" t="s">
        <v>74</v>
      </c>
      <c r="BA691" t="s">
        <v>74</v>
      </c>
      <c r="BB691">
        <v>11721</v>
      </c>
      <c r="BC691">
        <v>11726</v>
      </c>
      <c r="BD691" t="s">
        <v>74</v>
      </c>
      <c r="BE691" t="s">
        <v>12351</v>
      </c>
      <c r="BF691" t="str">
        <f>HYPERLINK("http://dx.doi.org/10.1073/pnas.1005985107","http://dx.doi.org/10.1073/pnas.1005985107")</f>
        <v>http://dx.doi.org/10.1073/pnas.1005985107</v>
      </c>
      <c r="BG691" t="s">
        <v>74</v>
      </c>
      <c r="BH691" t="s">
        <v>74</v>
      </c>
      <c r="BI691">
        <v>6</v>
      </c>
      <c r="BJ691" t="s">
        <v>444</v>
      </c>
      <c r="BK691" t="s">
        <v>2796</v>
      </c>
      <c r="BL691" t="s">
        <v>445</v>
      </c>
      <c r="BM691" t="s">
        <v>12352</v>
      </c>
      <c r="BN691">
        <v>20547856</v>
      </c>
      <c r="BO691" t="s">
        <v>1987</v>
      </c>
      <c r="BP691" t="s">
        <v>74</v>
      </c>
      <c r="BQ691" t="s">
        <v>74</v>
      </c>
      <c r="BR691" t="s">
        <v>104</v>
      </c>
      <c r="BS691" t="s">
        <v>12353</v>
      </c>
      <c r="BT691" t="str">
        <f>HYPERLINK("https%3A%2F%2Fwww.webofscience.com%2Fwos%2Fwoscc%2Ffull-record%2FWOS:000279332300015","View Full Record in Web of Science")</f>
        <v>View Full Record in Web of Science</v>
      </c>
    </row>
    <row r="692" spans="1:72" x14ac:dyDescent="0.15">
      <c r="A692" t="s">
        <v>72</v>
      </c>
      <c r="B692" t="s">
        <v>12354</v>
      </c>
      <c r="C692" t="s">
        <v>74</v>
      </c>
      <c r="D692" t="s">
        <v>74</v>
      </c>
      <c r="E692" t="s">
        <v>74</v>
      </c>
      <c r="F692" t="s">
        <v>12355</v>
      </c>
      <c r="G692" t="s">
        <v>74</v>
      </c>
      <c r="H692" t="s">
        <v>74</v>
      </c>
      <c r="I692" t="s">
        <v>12356</v>
      </c>
      <c r="J692" t="s">
        <v>1509</v>
      </c>
      <c r="K692" t="s">
        <v>74</v>
      </c>
      <c r="L692" t="s">
        <v>74</v>
      </c>
      <c r="M692" t="s">
        <v>78</v>
      </c>
      <c r="N692" t="s">
        <v>79</v>
      </c>
      <c r="O692" t="s">
        <v>74</v>
      </c>
      <c r="P692" t="s">
        <v>74</v>
      </c>
      <c r="Q692" t="s">
        <v>74</v>
      </c>
      <c r="R692" t="s">
        <v>74</v>
      </c>
      <c r="S692" t="s">
        <v>74</v>
      </c>
      <c r="T692" t="s">
        <v>74</v>
      </c>
      <c r="U692" t="s">
        <v>12357</v>
      </c>
      <c r="V692" t="s">
        <v>12358</v>
      </c>
      <c r="W692" t="s">
        <v>12359</v>
      </c>
      <c r="X692" t="s">
        <v>12360</v>
      </c>
      <c r="Y692" t="s">
        <v>12361</v>
      </c>
      <c r="Z692" t="s">
        <v>12362</v>
      </c>
      <c r="AA692" t="s">
        <v>12363</v>
      </c>
      <c r="AB692" t="s">
        <v>12364</v>
      </c>
      <c r="AC692" t="s">
        <v>12365</v>
      </c>
      <c r="AD692" t="s">
        <v>12366</v>
      </c>
      <c r="AE692" t="s">
        <v>12367</v>
      </c>
      <c r="AF692" t="s">
        <v>74</v>
      </c>
      <c r="AG692">
        <v>82</v>
      </c>
      <c r="AH692">
        <v>47</v>
      </c>
      <c r="AI692">
        <v>48</v>
      </c>
      <c r="AJ692">
        <v>1</v>
      </c>
      <c r="AK692">
        <v>17</v>
      </c>
      <c r="AL692" t="s">
        <v>1521</v>
      </c>
      <c r="AM692" t="s">
        <v>1522</v>
      </c>
      <c r="AN692" t="s">
        <v>1523</v>
      </c>
      <c r="AO692" t="s">
        <v>1524</v>
      </c>
      <c r="AP692" t="s">
        <v>1525</v>
      </c>
      <c r="AQ692" t="s">
        <v>74</v>
      </c>
      <c r="AR692" t="s">
        <v>1526</v>
      </c>
      <c r="AS692" t="s">
        <v>1527</v>
      </c>
      <c r="AT692" t="s">
        <v>12368</v>
      </c>
      <c r="AU692">
        <v>2010</v>
      </c>
      <c r="AV692">
        <v>115</v>
      </c>
      <c r="AW692" t="s">
        <v>74</v>
      </c>
      <c r="AX692" t="s">
        <v>74</v>
      </c>
      <c r="AY692" t="s">
        <v>74</v>
      </c>
      <c r="AZ692" t="s">
        <v>74</v>
      </c>
      <c r="BA692" t="s">
        <v>74</v>
      </c>
      <c r="BB692" t="s">
        <v>74</v>
      </c>
      <c r="BC692" t="s">
        <v>74</v>
      </c>
      <c r="BD692" t="s">
        <v>12369</v>
      </c>
      <c r="BE692" t="s">
        <v>12370</v>
      </c>
      <c r="BF692" t="str">
        <f>HYPERLINK("http://dx.doi.org/10.1029/2009JC005529","http://dx.doi.org/10.1029/2009JC005529")</f>
        <v>http://dx.doi.org/10.1029/2009JC005529</v>
      </c>
      <c r="BG692" t="s">
        <v>74</v>
      </c>
      <c r="BH692" t="s">
        <v>74</v>
      </c>
      <c r="BI692">
        <v>21</v>
      </c>
      <c r="BJ692" t="s">
        <v>1531</v>
      </c>
      <c r="BK692" t="s">
        <v>100</v>
      </c>
      <c r="BL692" t="s">
        <v>1531</v>
      </c>
      <c r="BM692" t="s">
        <v>12371</v>
      </c>
      <c r="BN692" t="s">
        <v>74</v>
      </c>
      <c r="BO692" t="s">
        <v>5408</v>
      </c>
      <c r="BP692" t="s">
        <v>74</v>
      </c>
      <c r="BQ692" t="s">
        <v>74</v>
      </c>
      <c r="BR692" t="s">
        <v>104</v>
      </c>
      <c r="BS692" t="s">
        <v>12372</v>
      </c>
      <c r="BT692" t="str">
        <f>HYPERLINK("https%3A%2F%2Fwww.webofscience.com%2Fwos%2Fwoscc%2Ffull-record%2FWOS:000279312500001","View Full Record in Web of Science")</f>
        <v>View Full Record in Web of Science</v>
      </c>
    </row>
    <row r="693" spans="1:72" x14ac:dyDescent="0.15">
      <c r="A693" t="s">
        <v>72</v>
      </c>
      <c r="B693" t="s">
        <v>12373</v>
      </c>
      <c r="C693" t="s">
        <v>74</v>
      </c>
      <c r="D693" t="s">
        <v>74</v>
      </c>
      <c r="E693" t="s">
        <v>74</v>
      </c>
      <c r="F693" t="s">
        <v>12374</v>
      </c>
      <c r="G693" t="s">
        <v>74</v>
      </c>
      <c r="H693" t="s">
        <v>74</v>
      </c>
      <c r="I693" t="s">
        <v>12375</v>
      </c>
      <c r="J693" t="s">
        <v>4716</v>
      </c>
      <c r="K693" t="s">
        <v>74</v>
      </c>
      <c r="L693" t="s">
        <v>74</v>
      </c>
      <c r="M693" t="s">
        <v>78</v>
      </c>
      <c r="N693" t="s">
        <v>326</v>
      </c>
      <c r="O693" t="s">
        <v>74</v>
      </c>
      <c r="P693" t="s">
        <v>74</v>
      </c>
      <c r="Q693" t="s">
        <v>74</v>
      </c>
      <c r="R693" t="s">
        <v>74</v>
      </c>
      <c r="S693" t="s">
        <v>74</v>
      </c>
      <c r="T693" t="s">
        <v>74</v>
      </c>
      <c r="U693" t="s">
        <v>12376</v>
      </c>
      <c r="V693" t="s">
        <v>12377</v>
      </c>
      <c r="W693" t="s">
        <v>12378</v>
      </c>
      <c r="X693" t="s">
        <v>12379</v>
      </c>
      <c r="Y693" t="s">
        <v>12380</v>
      </c>
      <c r="Z693" t="s">
        <v>12381</v>
      </c>
      <c r="AA693" t="s">
        <v>12382</v>
      </c>
      <c r="AB693" t="s">
        <v>12383</v>
      </c>
      <c r="AC693" t="s">
        <v>12384</v>
      </c>
      <c r="AD693" t="s">
        <v>12385</v>
      </c>
      <c r="AE693" t="s">
        <v>12386</v>
      </c>
      <c r="AF693" t="s">
        <v>74</v>
      </c>
      <c r="AG693">
        <v>73</v>
      </c>
      <c r="AH693">
        <v>618</v>
      </c>
      <c r="AI693">
        <v>707</v>
      </c>
      <c r="AJ693">
        <v>9</v>
      </c>
      <c r="AK693">
        <v>331</v>
      </c>
      <c r="AL693" t="s">
        <v>4717</v>
      </c>
      <c r="AM693" t="s">
        <v>1522</v>
      </c>
      <c r="AN693" t="s">
        <v>4718</v>
      </c>
      <c r="AO693" t="s">
        <v>4719</v>
      </c>
      <c r="AP693" t="s">
        <v>5162</v>
      </c>
      <c r="AQ693" t="s">
        <v>74</v>
      </c>
      <c r="AR693" t="s">
        <v>4716</v>
      </c>
      <c r="AS693" t="s">
        <v>4720</v>
      </c>
      <c r="AT693" t="s">
        <v>12368</v>
      </c>
      <c r="AU693">
        <v>2010</v>
      </c>
      <c r="AV693">
        <v>328</v>
      </c>
      <c r="AW693">
        <v>5986</v>
      </c>
      <c r="AX693" t="s">
        <v>74</v>
      </c>
      <c r="AY693" t="s">
        <v>74</v>
      </c>
      <c r="AZ693" t="s">
        <v>74</v>
      </c>
      <c r="BA693" t="s">
        <v>74</v>
      </c>
      <c r="BB693">
        <v>1652</v>
      </c>
      <c r="BC693">
        <v>1656</v>
      </c>
      <c r="BD693" t="s">
        <v>74</v>
      </c>
      <c r="BE693" t="s">
        <v>12387</v>
      </c>
      <c r="BF693" t="str">
        <f>HYPERLINK("http://dx.doi.org/10.1126/science.1184119","http://dx.doi.org/10.1126/science.1184119")</f>
        <v>http://dx.doi.org/10.1126/science.1184119</v>
      </c>
      <c r="BG693" t="s">
        <v>74</v>
      </c>
      <c r="BH693" t="s">
        <v>74</v>
      </c>
      <c r="BI693">
        <v>5</v>
      </c>
      <c r="BJ693" t="s">
        <v>444</v>
      </c>
      <c r="BK693" t="s">
        <v>100</v>
      </c>
      <c r="BL693" t="s">
        <v>445</v>
      </c>
      <c r="BM693" t="s">
        <v>12388</v>
      </c>
      <c r="BN693">
        <v>20576882</v>
      </c>
      <c r="BO693" t="s">
        <v>74</v>
      </c>
      <c r="BP693" t="s">
        <v>74</v>
      </c>
      <c r="BQ693" t="s">
        <v>74</v>
      </c>
      <c r="BR693" t="s">
        <v>104</v>
      </c>
      <c r="BS693" t="s">
        <v>12389</v>
      </c>
      <c r="BT693" t="str">
        <f>HYPERLINK("https%3A%2F%2Fwww.webofscience.com%2Fwos%2Fwoscc%2Ffull-record%2FWOS:000279107400032","View Full Record in Web of Science")</f>
        <v>View Full Record in Web of Science</v>
      </c>
    </row>
    <row r="694" spans="1:72" x14ac:dyDescent="0.15">
      <c r="A694" t="s">
        <v>72</v>
      </c>
      <c r="B694" t="s">
        <v>12390</v>
      </c>
      <c r="C694" t="s">
        <v>74</v>
      </c>
      <c r="D694" t="s">
        <v>74</v>
      </c>
      <c r="E694" t="s">
        <v>74</v>
      </c>
      <c r="F694" t="s">
        <v>12391</v>
      </c>
      <c r="G694" t="s">
        <v>74</v>
      </c>
      <c r="H694" t="s">
        <v>74</v>
      </c>
      <c r="I694" t="s">
        <v>12392</v>
      </c>
      <c r="J694" t="s">
        <v>1658</v>
      </c>
      <c r="K694" t="s">
        <v>74</v>
      </c>
      <c r="L694" t="s">
        <v>74</v>
      </c>
      <c r="M694" t="s">
        <v>78</v>
      </c>
      <c r="N694" t="s">
        <v>79</v>
      </c>
      <c r="O694" t="s">
        <v>74</v>
      </c>
      <c r="P694" t="s">
        <v>74</v>
      </c>
      <c r="Q694" t="s">
        <v>74</v>
      </c>
      <c r="R694" t="s">
        <v>74</v>
      </c>
      <c r="S694" t="s">
        <v>74</v>
      </c>
      <c r="T694" t="s">
        <v>12393</v>
      </c>
      <c r="U694" t="s">
        <v>12394</v>
      </c>
      <c r="V694" t="s">
        <v>12395</v>
      </c>
      <c r="W694" t="s">
        <v>12396</v>
      </c>
      <c r="X694" t="s">
        <v>12397</v>
      </c>
      <c r="Y694" t="s">
        <v>12398</v>
      </c>
      <c r="Z694" t="s">
        <v>12399</v>
      </c>
      <c r="AA694" t="s">
        <v>12400</v>
      </c>
      <c r="AB694" t="s">
        <v>12401</v>
      </c>
      <c r="AC694" t="s">
        <v>12402</v>
      </c>
      <c r="AD694" t="s">
        <v>12403</v>
      </c>
      <c r="AE694" t="s">
        <v>12404</v>
      </c>
      <c r="AF694" t="s">
        <v>74</v>
      </c>
      <c r="AG694">
        <v>18</v>
      </c>
      <c r="AH694">
        <v>12</v>
      </c>
      <c r="AI694">
        <v>12</v>
      </c>
      <c r="AJ694">
        <v>0</v>
      </c>
      <c r="AK694">
        <v>16</v>
      </c>
      <c r="AL694" t="s">
        <v>1670</v>
      </c>
      <c r="AM694" t="s">
        <v>1598</v>
      </c>
      <c r="AN694" t="s">
        <v>1671</v>
      </c>
      <c r="AO694" t="s">
        <v>1672</v>
      </c>
      <c r="AP694" t="s">
        <v>12405</v>
      </c>
      <c r="AQ694" t="s">
        <v>74</v>
      </c>
      <c r="AR694" t="s">
        <v>1673</v>
      </c>
      <c r="AS694" t="s">
        <v>1674</v>
      </c>
      <c r="AT694" t="s">
        <v>12406</v>
      </c>
      <c r="AU694">
        <v>2010</v>
      </c>
      <c r="AV694">
        <v>6</v>
      </c>
      <c r="AW694">
        <v>3</v>
      </c>
      <c r="AX694" t="s">
        <v>74</v>
      </c>
      <c r="AY694" t="s">
        <v>74</v>
      </c>
      <c r="AZ694" t="s">
        <v>74</v>
      </c>
      <c r="BA694" t="s">
        <v>74</v>
      </c>
      <c r="BB694">
        <v>346</v>
      </c>
      <c r="BC694">
        <v>349</v>
      </c>
      <c r="BD694" t="s">
        <v>74</v>
      </c>
      <c r="BE694" t="s">
        <v>12407</v>
      </c>
      <c r="BF694" t="str">
        <f>HYPERLINK("http://dx.doi.org/10.1098/rsbl.2009.0873","http://dx.doi.org/10.1098/rsbl.2009.0873")</f>
        <v>http://dx.doi.org/10.1098/rsbl.2009.0873</v>
      </c>
      <c r="BG694" t="s">
        <v>74</v>
      </c>
      <c r="BH694" t="s">
        <v>74</v>
      </c>
      <c r="BI694">
        <v>4</v>
      </c>
      <c r="BJ694" t="s">
        <v>1677</v>
      </c>
      <c r="BK694" t="s">
        <v>100</v>
      </c>
      <c r="BL694" t="s">
        <v>1678</v>
      </c>
      <c r="BM694" t="s">
        <v>12408</v>
      </c>
      <c r="BN694">
        <v>19934216</v>
      </c>
      <c r="BO694" t="s">
        <v>1533</v>
      </c>
      <c r="BP694" t="s">
        <v>74</v>
      </c>
      <c r="BQ694" t="s">
        <v>74</v>
      </c>
      <c r="BR694" t="s">
        <v>104</v>
      </c>
      <c r="BS694" t="s">
        <v>12409</v>
      </c>
      <c r="BT694" t="str">
        <f>HYPERLINK("https%3A%2F%2Fwww.webofscience.com%2Fwos%2Fwoscc%2Ffull-record%2FWOS:000277559000019","View Full Record in Web of Science")</f>
        <v>View Full Record in Web of Science</v>
      </c>
    </row>
    <row r="695" spans="1:72" x14ac:dyDescent="0.15">
      <c r="A695" t="s">
        <v>72</v>
      </c>
      <c r="B695" t="s">
        <v>12410</v>
      </c>
      <c r="C695" t="s">
        <v>74</v>
      </c>
      <c r="D695" t="s">
        <v>74</v>
      </c>
      <c r="E695" t="s">
        <v>74</v>
      </c>
      <c r="F695" t="s">
        <v>12411</v>
      </c>
      <c r="G695" t="s">
        <v>74</v>
      </c>
      <c r="H695" t="s">
        <v>74</v>
      </c>
      <c r="I695" t="s">
        <v>12412</v>
      </c>
      <c r="J695" t="s">
        <v>1538</v>
      </c>
      <c r="K695" t="s">
        <v>74</v>
      </c>
      <c r="L695" t="s">
        <v>74</v>
      </c>
      <c r="M695" t="s">
        <v>78</v>
      </c>
      <c r="N695" t="s">
        <v>79</v>
      </c>
      <c r="O695" t="s">
        <v>74</v>
      </c>
      <c r="P695" t="s">
        <v>74</v>
      </c>
      <c r="Q695" t="s">
        <v>74</v>
      </c>
      <c r="R695" t="s">
        <v>74</v>
      </c>
      <c r="S695" t="s">
        <v>74</v>
      </c>
      <c r="T695" t="s">
        <v>74</v>
      </c>
      <c r="U695" t="s">
        <v>12413</v>
      </c>
      <c r="V695" t="s">
        <v>12414</v>
      </c>
      <c r="W695" t="s">
        <v>12415</v>
      </c>
      <c r="X695" t="s">
        <v>12416</v>
      </c>
      <c r="Y695" t="s">
        <v>12417</v>
      </c>
      <c r="Z695" t="s">
        <v>12418</v>
      </c>
      <c r="AA695" t="s">
        <v>12419</v>
      </c>
      <c r="AB695" t="s">
        <v>12420</v>
      </c>
      <c r="AC695" t="s">
        <v>12421</v>
      </c>
      <c r="AD695" t="s">
        <v>12422</v>
      </c>
      <c r="AE695" t="s">
        <v>12423</v>
      </c>
      <c r="AF695" t="s">
        <v>74</v>
      </c>
      <c r="AG695">
        <v>32</v>
      </c>
      <c r="AH695">
        <v>39</v>
      </c>
      <c r="AI695">
        <v>47</v>
      </c>
      <c r="AJ695">
        <v>0</v>
      </c>
      <c r="AK695">
        <v>25</v>
      </c>
      <c r="AL695" t="s">
        <v>1521</v>
      </c>
      <c r="AM695" t="s">
        <v>1522</v>
      </c>
      <c r="AN695" t="s">
        <v>1523</v>
      </c>
      <c r="AO695" t="s">
        <v>1550</v>
      </c>
      <c r="AP695" t="s">
        <v>74</v>
      </c>
      <c r="AQ695" t="s">
        <v>74</v>
      </c>
      <c r="AR695" t="s">
        <v>1552</v>
      </c>
      <c r="AS695" t="s">
        <v>1553</v>
      </c>
      <c r="AT695" t="s">
        <v>12406</v>
      </c>
      <c r="AU695">
        <v>2010</v>
      </c>
      <c r="AV695">
        <v>37</v>
      </c>
      <c r="AW695" t="s">
        <v>74</v>
      </c>
      <c r="AX695" t="s">
        <v>74</v>
      </c>
      <c r="AY695" t="s">
        <v>74</v>
      </c>
      <c r="AZ695" t="s">
        <v>74</v>
      </c>
      <c r="BA695" t="s">
        <v>74</v>
      </c>
      <c r="BB695" t="s">
        <v>74</v>
      </c>
      <c r="BC695" t="s">
        <v>74</v>
      </c>
      <c r="BD695" t="s">
        <v>12424</v>
      </c>
      <c r="BE695" t="s">
        <v>12425</v>
      </c>
      <c r="BF695" t="str">
        <f>HYPERLINK("http://dx.doi.org/10.1029/2010GL043289","http://dx.doi.org/10.1029/2010GL043289")</f>
        <v>http://dx.doi.org/10.1029/2010GL043289</v>
      </c>
      <c r="BG695" t="s">
        <v>74</v>
      </c>
      <c r="BH695" t="s">
        <v>74</v>
      </c>
      <c r="BI695">
        <v>5</v>
      </c>
      <c r="BJ695" t="s">
        <v>1194</v>
      </c>
      <c r="BK695" t="s">
        <v>100</v>
      </c>
      <c r="BL695" t="s">
        <v>807</v>
      </c>
      <c r="BM695" t="s">
        <v>12426</v>
      </c>
      <c r="BN695" t="s">
        <v>74</v>
      </c>
      <c r="BO695" t="s">
        <v>1987</v>
      </c>
      <c r="BP695" t="s">
        <v>74</v>
      </c>
      <c r="BQ695" t="s">
        <v>74</v>
      </c>
      <c r="BR695" t="s">
        <v>104</v>
      </c>
      <c r="BS695" t="s">
        <v>12427</v>
      </c>
      <c r="BT695" t="str">
        <f>HYPERLINK("https%3A%2F%2Fwww.webofscience.com%2Fwos%2Fwoscc%2Ffull-record%2FWOS:000279307700003","View Full Record in Web of Science")</f>
        <v>View Full Record in Web of Science</v>
      </c>
    </row>
    <row r="696" spans="1:72" x14ac:dyDescent="0.15">
      <c r="A696" t="s">
        <v>72</v>
      </c>
      <c r="B696" t="s">
        <v>12428</v>
      </c>
      <c r="C696" t="s">
        <v>74</v>
      </c>
      <c r="D696" t="s">
        <v>74</v>
      </c>
      <c r="E696" t="s">
        <v>74</v>
      </c>
      <c r="F696" t="s">
        <v>12429</v>
      </c>
      <c r="G696" t="s">
        <v>74</v>
      </c>
      <c r="H696" t="s">
        <v>74</v>
      </c>
      <c r="I696" t="s">
        <v>12430</v>
      </c>
      <c r="J696" t="s">
        <v>1538</v>
      </c>
      <c r="K696" t="s">
        <v>74</v>
      </c>
      <c r="L696" t="s">
        <v>74</v>
      </c>
      <c r="M696" t="s">
        <v>78</v>
      </c>
      <c r="N696" t="s">
        <v>79</v>
      </c>
      <c r="O696" t="s">
        <v>74</v>
      </c>
      <c r="P696" t="s">
        <v>74</v>
      </c>
      <c r="Q696" t="s">
        <v>74</v>
      </c>
      <c r="R696" t="s">
        <v>74</v>
      </c>
      <c r="S696" t="s">
        <v>74</v>
      </c>
      <c r="T696" t="s">
        <v>74</v>
      </c>
      <c r="U696" t="s">
        <v>12431</v>
      </c>
      <c r="V696" t="s">
        <v>12432</v>
      </c>
      <c r="W696" t="s">
        <v>12433</v>
      </c>
      <c r="X696" t="s">
        <v>12434</v>
      </c>
      <c r="Y696" t="s">
        <v>12435</v>
      </c>
      <c r="Z696" t="s">
        <v>12436</v>
      </c>
      <c r="AA696" t="s">
        <v>12437</v>
      </c>
      <c r="AB696" t="s">
        <v>12438</v>
      </c>
      <c r="AC696" t="s">
        <v>12439</v>
      </c>
      <c r="AD696" t="s">
        <v>12440</v>
      </c>
      <c r="AE696" t="s">
        <v>12441</v>
      </c>
      <c r="AF696" t="s">
        <v>74</v>
      </c>
      <c r="AG696">
        <v>15</v>
      </c>
      <c r="AH696">
        <v>47</v>
      </c>
      <c r="AI696">
        <v>49</v>
      </c>
      <c r="AJ696">
        <v>1</v>
      </c>
      <c r="AK696">
        <v>12</v>
      </c>
      <c r="AL696" t="s">
        <v>1521</v>
      </c>
      <c r="AM696" t="s">
        <v>1522</v>
      </c>
      <c r="AN696" t="s">
        <v>1523</v>
      </c>
      <c r="AO696" t="s">
        <v>1550</v>
      </c>
      <c r="AP696" t="s">
        <v>1551</v>
      </c>
      <c r="AQ696" t="s">
        <v>74</v>
      </c>
      <c r="AR696" t="s">
        <v>1552</v>
      </c>
      <c r="AS696" t="s">
        <v>1553</v>
      </c>
      <c r="AT696" t="s">
        <v>12442</v>
      </c>
      <c r="AU696">
        <v>2010</v>
      </c>
      <c r="AV696">
        <v>37</v>
      </c>
      <c r="AW696" t="s">
        <v>74</v>
      </c>
      <c r="AX696" t="s">
        <v>74</v>
      </c>
      <c r="AY696" t="s">
        <v>74</v>
      </c>
      <c r="AZ696" t="s">
        <v>74</v>
      </c>
      <c r="BA696" t="s">
        <v>74</v>
      </c>
      <c r="BB696" t="s">
        <v>74</v>
      </c>
      <c r="BC696" t="s">
        <v>74</v>
      </c>
      <c r="BD696" t="s">
        <v>12443</v>
      </c>
      <c r="BE696" t="s">
        <v>12444</v>
      </c>
      <c r="BF696" t="str">
        <f>HYPERLINK("http://dx.doi.org/10.1029/2010GL043355","http://dx.doi.org/10.1029/2010GL043355")</f>
        <v>http://dx.doi.org/10.1029/2010GL043355</v>
      </c>
      <c r="BG696" t="s">
        <v>74</v>
      </c>
      <c r="BH696" t="s">
        <v>74</v>
      </c>
      <c r="BI696">
        <v>5</v>
      </c>
      <c r="BJ696" t="s">
        <v>1194</v>
      </c>
      <c r="BK696" t="s">
        <v>100</v>
      </c>
      <c r="BL696" t="s">
        <v>807</v>
      </c>
      <c r="BM696" t="s">
        <v>12445</v>
      </c>
      <c r="BN696" t="s">
        <v>74</v>
      </c>
      <c r="BO696" t="s">
        <v>394</v>
      </c>
      <c r="BP696" t="s">
        <v>74</v>
      </c>
      <c r="BQ696" t="s">
        <v>74</v>
      </c>
      <c r="BR696" t="s">
        <v>104</v>
      </c>
      <c r="BS696" t="s">
        <v>12446</v>
      </c>
      <c r="BT696" t="str">
        <f>HYPERLINK("https%3A%2F%2Fwww.webofscience.com%2Fwos%2Fwoscc%2Ffull-record%2FWOS:000279307300006","View Full Record in Web of Science")</f>
        <v>View Full Record in Web of Science</v>
      </c>
    </row>
    <row r="697" spans="1:72" x14ac:dyDescent="0.15">
      <c r="A697" t="s">
        <v>72</v>
      </c>
      <c r="B697" t="s">
        <v>12447</v>
      </c>
      <c r="C697" t="s">
        <v>74</v>
      </c>
      <c r="D697" t="s">
        <v>74</v>
      </c>
      <c r="E697" t="s">
        <v>74</v>
      </c>
      <c r="F697" t="s">
        <v>12448</v>
      </c>
      <c r="G697" t="s">
        <v>74</v>
      </c>
      <c r="H697" t="s">
        <v>74</v>
      </c>
      <c r="I697" t="s">
        <v>12449</v>
      </c>
      <c r="J697" t="s">
        <v>1538</v>
      </c>
      <c r="K697" t="s">
        <v>74</v>
      </c>
      <c r="L697" t="s">
        <v>74</v>
      </c>
      <c r="M697" t="s">
        <v>78</v>
      </c>
      <c r="N697" t="s">
        <v>79</v>
      </c>
      <c r="O697" t="s">
        <v>74</v>
      </c>
      <c r="P697" t="s">
        <v>74</v>
      </c>
      <c r="Q697" t="s">
        <v>74</v>
      </c>
      <c r="R697" t="s">
        <v>74</v>
      </c>
      <c r="S697" t="s">
        <v>74</v>
      </c>
      <c r="T697" t="s">
        <v>74</v>
      </c>
      <c r="U697" t="s">
        <v>12450</v>
      </c>
      <c r="V697" t="s">
        <v>12451</v>
      </c>
      <c r="W697" t="s">
        <v>12452</v>
      </c>
      <c r="X697" t="s">
        <v>690</v>
      </c>
      <c r="Y697" t="s">
        <v>12453</v>
      </c>
      <c r="Z697" t="s">
        <v>12454</v>
      </c>
      <c r="AA697" t="s">
        <v>12455</v>
      </c>
      <c r="AB697" t="s">
        <v>12456</v>
      </c>
      <c r="AC697" t="s">
        <v>12457</v>
      </c>
      <c r="AD697" t="s">
        <v>12458</v>
      </c>
      <c r="AE697" t="s">
        <v>12459</v>
      </c>
      <c r="AF697" t="s">
        <v>74</v>
      </c>
      <c r="AG697">
        <v>15</v>
      </c>
      <c r="AH697">
        <v>8</v>
      </c>
      <c r="AI697">
        <v>9</v>
      </c>
      <c r="AJ697">
        <v>0</v>
      </c>
      <c r="AK697">
        <v>5</v>
      </c>
      <c r="AL697" t="s">
        <v>1521</v>
      </c>
      <c r="AM697" t="s">
        <v>1522</v>
      </c>
      <c r="AN697" t="s">
        <v>1523</v>
      </c>
      <c r="AO697" t="s">
        <v>1550</v>
      </c>
      <c r="AP697" t="s">
        <v>74</v>
      </c>
      <c r="AQ697" t="s">
        <v>74</v>
      </c>
      <c r="AR697" t="s">
        <v>1552</v>
      </c>
      <c r="AS697" t="s">
        <v>1553</v>
      </c>
      <c r="AT697" t="s">
        <v>12442</v>
      </c>
      <c r="AU697">
        <v>2010</v>
      </c>
      <c r="AV697">
        <v>37</v>
      </c>
      <c r="AW697" t="s">
        <v>74</v>
      </c>
      <c r="AX697" t="s">
        <v>74</v>
      </c>
      <c r="AY697" t="s">
        <v>74</v>
      </c>
      <c r="AZ697" t="s">
        <v>74</v>
      </c>
      <c r="BA697" t="s">
        <v>74</v>
      </c>
      <c r="BB697" t="s">
        <v>74</v>
      </c>
      <c r="BC697" t="s">
        <v>74</v>
      </c>
      <c r="BD697" t="s">
        <v>12460</v>
      </c>
      <c r="BE697" t="s">
        <v>12461</v>
      </c>
      <c r="BF697" t="str">
        <f>HYPERLINK("http://dx.doi.org/10.1029/2010GL043714","http://dx.doi.org/10.1029/2010GL043714")</f>
        <v>http://dx.doi.org/10.1029/2010GL043714</v>
      </c>
      <c r="BG697" t="s">
        <v>74</v>
      </c>
      <c r="BH697" t="s">
        <v>74</v>
      </c>
      <c r="BI697">
        <v>5</v>
      </c>
      <c r="BJ697" t="s">
        <v>1194</v>
      </c>
      <c r="BK697" t="s">
        <v>100</v>
      </c>
      <c r="BL697" t="s">
        <v>807</v>
      </c>
      <c r="BM697" t="s">
        <v>12445</v>
      </c>
      <c r="BN697" t="s">
        <v>74</v>
      </c>
      <c r="BO697" t="s">
        <v>1697</v>
      </c>
      <c r="BP697" t="s">
        <v>74</v>
      </c>
      <c r="BQ697" t="s">
        <v>74</v>
      </c>
      <c r="BR697" t="s">
        <v>104</v>
      </c>
      <c r="BS697" t="s">
        <v>12462</v>
      </c>
      <c r="BT697" t="str">
        <f>HYPERLINK("https%3A%2F%2Fwww.webofscience.com%2Fwos%2Fwoscc%2Ffull-record%2FWOS:000279307300008","View Full Record in Web of Science")</f>
        <v>View Full Record in Web of Science</v>
      </c>
    </row>
    <row r="698" spans="1:72" x14ac:dyDescent="0.15">
      <c r="A698" t="s">
        <v>72</v>
      </c>
      <c r="B698" t="s">
        <v>12463</v>
      </c>
      <c r="C698" t="s">
        <v>74</v>
      </c>
      <c r="D698" t="s">
        <v>74</v>
      </c>
      <c r="E698" t="s">
        <v>74</v>
      </c>
      <c r="F698" t="s">
        <v>12464</v>
      </c>
      <c r="G698" t="s">
        <v>74</v>
      </c>
      <c r="H698" t="s">
        <v>74</v>
      </c>
      <c r="I698" t="s">
        <v>12465</v>
      </c>
      <c r="J698" t="s">
        <v>1538</v>
      </c>
      <c r="K698" t="s">
        <v>74</v>
      </c>
      <c r="L698" t="s">
        <v>74</v>
      </c>
      <c r="M698" t="s">
        <v>78</v>
      </c>
      <c r="N698" t="s">
        <v>79</v>
      </c>
      <c r="O698" t="s">
        <v>74</v>
      </c>
      <c r="P698" t="s">
        <v>74</v>
      </c>
      <c r="Q698" t="s">
        <v>74</v>
      </c>
      <c r="R698" t="s">
        <v>74</v>
      </c>
      <c r="S698" t="s">
        <v>74</v>
      </c>
      <c r="T698" t="s">
        <v>74</v>
      </c>
      <c r="U698" t="s">
        <v>12466</v>
      </c>
      <c r="V698" t="s">
        <v>12467</v>
      </c>
      <c r="W698" t="s">
        <v>12468</v>
      </c>
      <c r="X698" t="s">
        <v>12469</v>
      </c>
      <c r="Y698" t="s">
        <v>12470</v>
      </c>
      <c r="Z698" t="s">
        <v>12471</v>
      </c>
      <c r="AA698" t="s">
        <v>12472</v>
      </c>
      <c r="AB698" t="s">
        <v>12473</v>
      </c>
      <c r="AC698" t="s">
        <v>12474</v>
      </c>
      <c r="AD698" t="s">
        <v>12475</v>
      </c>
      <c r="AE698" t="s">
        <v>12476</v>
      </c>
      <c r="AF698" t="s">
        <v>74</v>
      </c>
      <c r="AG698">
        <v>24</v>
      </c>
      <c r="AH698">
        <v>33</v>
      </c>
      <c r="AI698">
        <v>34</v>
      </c>
      <c r="AJ698">
        <v>1</v>
      </c>
      <c r="AK698">
        <v>18</v>
      </c>
      <c r="AL698" t="s">
        <v>1521</v>
      </c>
      <c r="AM698" t="s">
        <v>1522</v>
      </c>
      <c r="AN698" t="s">
        <v>1523</v>
      </c>
      <c r="AO698" t="s">
        <v>1550</v>
      </c>
      <c r="AP698" t="s">
        <v>1551</v>
      </c>
      <c r="AQ698" t="s">
        <v>74</v>
      </c>
      <c r="AR698" t="s">
        <v>1552</v>
      </c>
      <c r="AS698" t="s">
        <v>1553</v>
      </c>
      <c r="AT698" t="s">
        <v>12477</v>
      </c>
      <c r="AU698">
        <v>2010</v>
      </c>
      <c r="AV698">
        <v>37</v>
      </c>
      <c r="AW698" t="s">
        <v>74</v>
      </c>
      <c r="AX698" t="s">
        <v>74</v>
      </c>
      <c r="AY698" t="s">
        <v>74</v>
      </c>
      <c r="AZ698" t="s">
        <v>74</v>
      </c>
      <c r="BA698" t="s">
        <v>74</v>
      </c>
      <c r="BB698" t="s">
        <v>74</v>
      </c>
      <c r="BC698" t="s">
        <v>74</v>
      </c>
      <c r="BD698" t="s">
        <v>12478</v>
      </c>
      <c r="BE698" t="s">
        <v>12479</v>
      </c>
      <c r="BF698" t="str">
        <f>HYPERLINK("http://dx.doi.org/10.1029/2010GL043462","http://dx.doi.org/10.1029/2010GL043462")</f>
        <v>http://dx.doi.org/10.1029/2010GL043462</v>
      </c>
      <c r="BG698" t="s">
        <v>74</v>
      </c>
      <c r="BH698" t="s">
        <v>74</v>
      </c>
      <c r="BI698">
        <v>6</v>
      </c>
      <c r="BJ698" t="s">
        <v>1194</v>
      </c>
      <c r="BK698" t="s">
        <v>100</v>
      </c>
      <c r="BL698" t="s">
        <v>807</v>
      </c>
      <c r="BM698" t="s">
        <v>12480</v>
      </c>
      <c r="BN698" t="s">
        <v>74</v>
      </c>
      <c r="BO698" t="s">
        <v>394</v>
      </c>
      <c r="BP698" t="s">
        <v>74</v>
      </c>
      <c r="BQ698" t="s">
        <v>74</v>
      </c>
      <c r="BR698" t="s">
        <v>104</v>
      </c>
      <c r="BS698" t="s">
        <v>12481</v>
      </c>
      <c r="BT698" t="str">
        <f>HYPERLINK("https%3A%2F%2Fwww.webofscience.com%2Fwos%2Fwoscc%2Ffull-record%2FWOS:000278985900001","View Full Record in Web of Science")</f>
        <v>View Full Record in Web of Science</v>
      </c>
    </row>
    <row r="699" spans="1:72" x14ac:dyDescent="0.15">
      <c r="A699" t="s">
        <v>72</v>
      </c>
      <c r="B699" t="s">
        <v>12482</v>
      </c>
      <c r="C699" t="s">
        <v>74</v>
      </c>
      <c r="D699" t="s">
        <v>74</v>
      </c>
      <c r="E699" t="s">
        <v>74</v>
      </c>
      <c r="F699" t="s">
        <v>12483</v>
      </c>
      <c r="G699" t="s">
        <v>74</v>
      </c>
      <c r="H699" t="s">
        <v>74</v>
      </c>
      <c r="I699" t="s">
        <v>12484</v>
      </c>
      <c r="J699" t="s">
        <v>12485</v>
      </c>
      <c r="K699" t="s">
        <v>74</v>
      </c>
      <c r="L699" t="s">
        <v>74</v>
      </c>
      <c r="M699" t="s">
        <v>78</v>
      </c>
      <c r="N699" t="s">
        <v>79</v>
      </c>
      <c r="O699" t="s">
        <v>74</v>
      </c>
      <c r="P699" t="s">
        <v>74</v>
      </c>
      <c r="Q699" t="s">
        <v>74</v>
      </c>
      <c r="R699" t="s">
        <v>74</v>
      </c>
      <c r="S699" t="s">
        <v>74</v>
      </c>
      <c r="T699" t="s">
        <v>12486</v>
      </c>
      <c r="U699" t="s">
        <v>12487</v>
      </c>
      <c r="V699" t="s">
        <v>12488</v>
      </c>
      <c r="W699" t="s">
        <v>12489</v>
      </c>
      <c r="X699" t="s">
        <v>12490</v>
      </c>
      <c r="Y699" t="s">
        <v>12491</v>
      </c>
      <c r="Z699" t="s">
        <v>12492</v>
      </c>
      <c r="AA699" t="s">
        <v>74</v>
      </c>
      <c r="AB699" t="s">
        <v>74</v>
      </c>
      <c r="AC699" t="s">
        <v>74</v>
      </c>
      <c r="AD699" t="s">
        <v>74</v>
      </c>
      <c r="AE699" t="s">
        <v>74</v>
      </c>
      <c r="AF699" t="s">
        <v>74</v>
      </c>
      <c r="AG699">
        <v>29</v>
      </c>
      <c r="AH699">
        <v>11</v>
      </c>
      <c r="AI699">
        <v>11</v>
      </c>
      <c r="AJ699">
        <v>0</v>
      </c>
      <c r="AK699">
        <v>3</v>
      </c>
      <c r="AL699" t="s">
        <v>12493</v>
      </c>
      <c r="AM699" t="s">
        <v>12494</v>
      </c>
      <c r="AN699" t="s">
        <v>12495</v>
      </c>
      <c r="AO699" t="s">
        <v>12496</v>
      </c>
      <c r="AP699" t="s">
        <v>74</v>
      </c>
      <c r="AQ699" t="s">
        <v>74</v>
      </c>
      <c r="AR699" t="s">
        <v>12497</v>
      </c>
      <c r="AS699" t="s">
        <v>12498</v>
      </c>
      <c r="AT699" t="s">
        <v>12499</v>
      </c>
      <c r="AU699">
        <v>2010</v>
      </c>
      <c r="AV699">
        <v>4</v>
      </c>
      <c r="AW699">
        <v>12</v>
      </c>
      <c r="AX699" t="s">
        <v>74</v>
      </c>
      <c r="AY699" t="s">
        <v>74</v>
      </c>
      <c r="AZ699" t="s">
        <v>74</v>
      </c>
      <c r="BA699" t="s">
        <v>74</v>
      </c>
      <c r="BB699">
        <v>1257</v>
      </c>
      <c r="BC699">
        <v>1264</v>
      </c>
      <c r="BD699" t="s">
        <v>74</v>
      </c>
      <c r="BE699" t="s">
        <v>74</v>
      </c>
      <c r="BF699" t="s">
        <v>74</v>
      </c>
      <c r="BG699" t="s">
        <v>74</v>
      </c>
      <c r="BH699" t="s">
        <v>74</v>
      </c>
      <c r="BI699">
        <v>8</v>
      </c>
      <c r="BJ699" t="s">
        <v>737</v>
      </c>
      <c r="BK699" t="s">
        <v>100</v>
      </c>
      <c r="BL699" t="s">
        <v>737</v>
      </c>
      <c r="BM699" t="s">
        <v>12500</v>
      </c>
      <c r="BN699" t="s">
        <v>74</v>
      </c>
      <c r="BO699" t="s">
        <v>74</v>
      </c>
      <c r="BP699" t="s">
        <v>74</v>
      </c>
      <c r="BQ699" t="s">
        <v>74</v>
      </c>
      <c r="BR699" t="s">
        <v>104</v>
      </c>
      <c r="BS699" t="s">
        <v>12501</v>
      </c>
      <c r="BT699" t="str">
        <f>HYPERLINK("https%3A%2F%2Fwww.webofscience.com%2Fwos%2Fwoscc%2Ffull-record%2FWOS:000280352000013","View Full Record in Web of Science")</f>
        <v>View Full Record in Web of Science</v>
      </c>
    </row>
    <row r="700" spans="1:72" x14ac:dyDescent="0.15">
      <c r="A700" t="s">
        <v>72</v>
      </c>
      <c r="B700" t="s">
        <v>12502</v>
      </c>
      <c r="C700" t="s">
        <v>74</v>
      </c>
      <c r="D700" t="s">
        <v>74</v>
      </c>
      <c r="E700" t="s">
        <v>74</v>
      </c>
      <c r="F700" t="s">
        <v>12503</v>
      </c>
      <c r="G700" t="s">
        <v>74</v>
      </c>
      <c r="H700" t="s">
        <v>74</v>
      </c>
      <c r="I700" t="s">
        <v>12504</v>
      </c>
      <c r="J700" t="s">
        <v>4716</v>
      </c>
      <c r="K700" t="s">
        <v>74</v>
      </c>
      <c r="L700" t="s">
        <v>74</v>
      </c>
      <c r="M700" t="s">
        <v>78</v>
      </c>
      <c r="N700" t="s">
        <v>326</v>
      </c>
      <c r="O700" t="s">
        <v>74</v>
      </c>
      <c r="P700" t="s">
        <v>74</v>
      </c>
      <c r="Q700" t="s">
        <v>74</v>
      </c>
      <c r="R700" t="s">
        <v>74</v>
      </c>
      <c r="S700" t="s">
        <v>74</v>
      </c>
      <c r="T700" t="s">
        <v>74</v>
      </c>
      <c r="U700" t="s">
        <v>12505</v>
      </c>
      <c r="V700" t="s">
        <v>12506</v>
      </c>
      <c r="W700" t="s">
        <v>12507</v>
      </c>
      <c r="X700" t="s">
        <v>12508</v>
      </c>
      <c r="Y700" t="s">
        <v>12509</v>
      </c>
      <c r="Z700" t="s">
        <v>12510</v>
      </c>
      <c r="AA700" t="s">
        <v>12511</v>
      </c>
      <c r="AB700" t="s">
        <v>12512</v>
      </c>
      <c r="AC700" t="s">
        <v>74</v>
      </c>
      <c r="AD700" t="s">
        <v>74</v>
      </c>
      <c r="AE700" t="s">
        <v>74</v>
      </c>
      <c r="AF700" t="s">
        <v>74</v>
      </c>
      <c r="AG700">
        <v>46</v>
      </c>
      <c r="AH700">
        <v>1624</v>
      </c>
      <c r="AI700">
        <v>1897</v>
      </c>
      <c r="AJ700">
        <v>46</v>
      </c>
      <c r="AK700">
        <v>1031</v>
      </c>
      <c r="AL700" t="s">
        <v>4717</v>
      </c>
      <c r="AM700" t="s">
        <v>1522</v>
      </c>
      <c r="AN700" t="s">
        <v>4718</v>
      </c>
      <c r="AO700" t="s">
        <v>4719</v>
      </c>
      <c r="AP700" t="s">
        <v>5162</v>
      </c>
      <c r="AQ700" t="s">
        <v>74</v>
      </c>
      <c r="AR700" t="s">
        <v>4716</v>
      </c>
      <c r="AS700" t="s">
        <v>4720</v>
      </c>
      <c r="AT700" t="s">
        <v>12499</v>
      </c>
      <c r="AU700">
        <v>2010</v>
      </c>
      <c r="AV700">
        <v>328</v>
      </c>
      <c r="AW700">
        <v>5985</v>
      </c>
      <c r="AX700" t="s">
        <v>74</v>
      </c>
      <c r="AY700" t="s">
        <v>74</v>
      </c>
      <c r="AZ700" t="s">
        <v>74</v>
      </c>
      <c r="BA700" t="s">
        <v>74</v>
      </c>
      <c r="BB700">
        <v>1517</v>
      </c>
      <c r="BC700">
        <v>1520</v>
      </c>
      <c r="BD700" t="s">
        <v>74</v>
      </c>
      <c r="BE700" t="s">
        <v>12513</v>
      </c>
      <c r="BF700" t="str">
        <f>HYPERLINK("http://dx.doi.org/10.1126/science.1185782","http://dx.doi.org/10.1126/science.1185782")</f>
        <v>http://dx.doi.org/10.1126/science.1185782</v>
      </c>
      <c r="BG700" t="s">
        <v>74</v>
      </c>
      <c r="BH700" t="s">
        <v>74</v>
      </c>
      <c r="BI700">
        <v>4</v>
      </c>
      <c r="BJ700" t="s">
        <v>444</v>
      </c>
      <c r="BK700" t="s">
        <v>100</v>
      </c>
      <c r="BL700" t="s">
        <v>445</v>
      </c>
      <c r="BM700" t="s">
        <v>12514</v>
      </c>
      <c r="BN700">
        <v>20558707</v>
      </c>
      <c r="BO700" t="s">
        <v>74</v>
      </c>
      <c r="BP700" t="s">
        <v>74</v>
      </c>
      <c r="BQ700" t="s">
        <v>74</v>
      </c>
      <c r="BR700" t="s">
        <v>104</v>
      </c>
      <c r="BS700" t="s">
        <v>12515</v>
      </c>
      <c r="BT700" t="str">
        <f>HYPERLINK("https%3A%2F%2Fwww.webofscience.com%2Fwos%2Fwoscc%2Ffull-record%2FWOS:000278859200035","View Full Record in Web of Science")</f>
        <v>View Full Record in Web of Science</v>
      </c>
    </row>
    <row r="701" spans="1:72" x14ac:dyDescent="0.15">
      <c r="A701" t="s">
        <v>72</v>
      </c>
      <c r="B701" t="s">
        <v>12516</v>
      </c>
      <c r="C701" t="s">
        <v>74</v>
      </c>
      <c r="D701" t="s">
        <v>74</v>
      </c>
      <c r="E701" t="s">
        <v>74</v>
      </c>
      <c r="F701" t="s">
        <v>12517</v>
      </c>
      <c r="G701" t="s">
        <v>74</v>
      </c>
      <c r="H701" t="s">
        <v>74</v>
      </c>
      <c r="I701" t="s">
        <v>12518</v>
      </c>
      <c r="J701" t="s">
        <v>4716</v>
      </c>
      <c r="K701" t="s">
        <v>74</v>
      </c>
      <c r="L701" t="s">
        <v>74</v>
      </c>
      <c r="M701" t="s">
        <v>78</v>
      </c>
      <c r="N701" t="s">
        <v>326</v>
      </c>
      <c r="O701" t="s">
        <v>74</v>
      </c>
      <c r="P701" t="s">
        <v>74</v>
      </c>
      <c r="Q701" t="s">
        <v>74</v>
      </c>
      <c r="R701" t="s">
        <v>74</v>
      </c>
      <c r="S701" t="s">
        <v>74</v>
      </c>
      <c r="T701" t="s">
        <v>74</v>
      </c>
      <c r="U701" t="s">
        <v>12519</v>
      </c>
      <c r="V701" t="s">
        <v>12520</v>
      </c>
      <c r="W701" t="s">
        <v>12521</v>
      </c>
      <c r="X701" t="s">
        <v>12522</v>
      </c>
      <c r="Y701" t="s">
        <v>12523</v>
      </c>
      <c r="Z701" t="s">
        <v>12524</v>
      </c>
      <c r="AA701" t="s">
        <v>12525</v>
      </c>
      <c r="AB701" t="s">
        <v>12526</v>
      </c>
      <c r="AC701" t="s">
        <v>12527</v>
      </c>
      <c r="AD701" t="s">
        <v>12528</v>
      </c>
      <c r="AE701" t="s">
        <v>12529</v>
      </c>
      <c r="AF701" t="s">
        <v>74</v>
      </c>
      <c r="AG701">
        <v>45</v>
      </c>
      <c r="AH701">
        <v>250</v>
      </c>
      <c r="AI701">
        <v>282</v>
      </c>
      <c r="AJ701">
        <v>15</v>
      </c>
      <c r="AK701">
        <v>205</v>
      </c>
      <c r="AL701" t="s">
        <v>4717</v>
      </c>
      <c r="AM701" t="s">
        <v>1522</v>
      </c>
      <c r="AN701" t="s">
        <v>4718</v>
      </c>
      <c r="AO701" t="s">
        <v>4719</v>
      </c>
      <c r="AP701" t="s">
        <v>5162</v>
      </c>
      <c r="AQ701" t="s">
        <v>74</v>
      </c>
      <c r="AR701" t="s">
        <v>4716</v>
      </c>
      <c r="AS701" t="s">
        <v>4720</v>
      </c>
      <c r="AT701" t="s">
        <v>12499</v>
      </c>
      <c r="AU701">
        <v>2010</v>
      </c>
      <c r="AV701">
        <v>328</v>
      </c>
      <c r="AW701">
        <v>5985</v>
      </c>
      <c r="AX701" t="s">
        <v>74</v>
      </c>
      <c r="AY701" t="s">
        <v>74</v>
      </c>
      <c r="AZ701" t="s">
        <v>74</v>
      </c>
      <c r="BA701" t="s">
        <v>74</v>
      </c>
      <c r="BB701">
        <v>1520</v>
      </c>
      <c r="BC701">
        <v>1523</v>
      </c>
      <c r="BD701" t="s">
        <v>74</v>
      </c>
      <c r="BE701" t="s">
        <v>12530</v>
      </c>
      <c r="BF701" t="str">
        <f>HYPERLINK("http://dx.doi.org/10.1126/science.1185779","http://dx.doi.org/10.1126/science.1185779")</f>
        <v>http://dx.doi.org/10.1126/science.1185779</v>
      </c>
      <c r="BG701" t="s">
        <v>74</v>
      </c>
      <c r="BH701" t="s">
        <v>74</v>
      </c>
      <c r="BI701">
        <v>4</v>
      </c>
      <c r="BJ701" t="s">
        <v>444</v>
      </c>
      <c r="BK701" t="s">
        <v>100</v>
      </c>
      <c r="BL701" t="s">
        <v>445</v>
      </c>
      <c r="BM701" t="s">
        <v>12514</v>
      </c>
      <c r="BN701">
        <v>20558708</v>
      </c>
      <c r="BO701" t="s">
        <v>134</v>
      </c>
      <c r="BP701" t="s">
        <v>74</v>
      </c>
      <c r="BQ701" t="s">
        <v>74</v>
      </c>
      <c r="BR701" t="s">
        <v>104</v>
      </c>
      <c r="BS701" t="s">
        <v>12531</v>
      </c>
      <c r="BT701" t="str">
        <f>HYPERLINK("https%3A%2F%2Fwww.webofscience.com%2Fwos%2Fwoscc%2Ffull-record%2FWOS:000278859200036","View Full Record in Web of Science")</f>
        <v>View Full Record in Web of Science</v>
      </c>
    </row>
    <row r="702" spans="1:72" x14ac:dyDescent="0.15">
      <c r="A702" t="s">
        <v>72</v>
      </c>
      <c r="B702" t="s">
        <v>12532</v>
      </c>
      <c r="C702" t="s">
        <v>74</v>
      </c>
      <c r="D702" t="s">
        <v>74</v>
      </c>
      <c r="E702" t="s">
        <v>74</v>
      </c>
      <c r="F702" t="s">
        <v>12533</v>
      </c>
      <c r="G702" t="s">
        <v>74</v>
      </c>
      <c r="H702" t="s">
        <v>74</v>
      </c>
      <c r="I702" t="s">
        <v>12534</v>
      </c>
      <c r="J702" t="s">
        <v>4716</v>
      </c>
      <c r="K702" t="s">
        <v>74</v>
      </c>
      <c r="L702" t="s">
        <v>74</v>
      </c>
      <c r="M702" t="s">
        <v>78</v>
      </c>
      <c r="N702" t="s">
        <v>79</v>
      </c>
      <c r="O702" t="s">
        <v>74</v>
      </c>
      <c r="P702" t="s">
        <v>74</v>
      </c>
      <c r="Q702" t="s">
        <v>74</v>
      </c>
      <c r="R702" t="s">
        <v>74</v>
      </c>
      <c r="S702" t="s">
        <v>74</v>
      </c>
      <c r="T702" t="s">
        <v>74</v>
      </c>
      <c r="U702" t="s">
        <v>12535</v>
      </c>
      <c r="V702" t="s">
        <v>12536</v>
      </c>
      <c r="W702" t="s">
        <v>12537</v>
      </c>
      <c r="X702" t="s">
        <v>12538</v>
      </c>
      <c r="Y702" t="s">
        <v>12539</v>
      </c>
      <c r="Z702" t="s">
        <v>12540</v>
      </c>
      <c r="AA702" t="s">
        <v>12541</v>
      </c>
      <c r="AB702" t="s">
        <v>12542</v>
      </c>
      <c r="AC702" t="s">
        <v>12543</v>
      </c>
      <c r="AD702" t="s">
        <v>12544</v>
      </c>
      <c r="AE702" t="s">
        <v>12545</v>
      </c>
      <c r="AF702" t="s">
        <v>74</v>
      </c>
      <c r="AG702">
        <v>28</v>
      </c>
      <c r="AH702">
        <v>161</v>
      </c>
      <c r="AI702">
        <v>186</v>
      </c>
      <c r="AJ702">
        <v>3</v>
      </c>
      <c r="AK702">
        <v>47</v>
      </c>
      <c r="AL702" t="s">
        <v>4717</v>
      </c>
      <c r="AM702" t="s">
        <v>1522</v>
      </c>
      <c r="AN702" t="s">
        <v>4718</v>
      </c>
      <c r="AO702" t="s">
        <v>4719</v>
      </c>
      <c r="AP702" t="s">
        <v>5162</v>
      </c>
      <c r="AQ702" t="s">
        <v>74</v>
      </c>
      <c r="AR702" t="s">
        <v>4716</v>
      </c>
      <c r="AS702" t="s">
        <v>4720</v>
      </c>
      <c r="AT702" t="s">
        <v>12499</v>
      </c>
      <c r="AU702">
        <v>2010</v>
      </c>
      <c r="AV702">
        <v>328</v>
      </c>
      <c r="AW702">
        <v>5985</v>
      </c>
      <c r="AX702" t="s">
        <v>74</v>
      </c>
      <c r="AY702" t="s">
        <v>74</v>
      </c>
      <c r="AZ702" t="s">
        <v>74</v>
      </c>
      <c r="BA702" t="s">
        <v>74</v>
      </c>
      <c r="BB702">
        <v>1550</v>
      </c>
      <c r="BC702">
        <v>1553</v>
      </c>
      <c r="BD702" t="s">
        <v>74</v>
      </c>
      <c r="BE702" t="s">
        <v>12546</v>
      </c>
      <c r="BF702" t="str">
        <f>HYPERLINK("http://dx.doi.org/10.1126/science.1184480","http://dx.doi.org/10.1126/science.1184480")</f>
        <v>http://dx.doi.org/10.1126/science.1184480</v>
      </c>
      <c r="BG702" t="s">
        <v>74</v>
      </c>
      <c r="BH702" t="s">
        <v>74</v>
      </c>
      <c r="BI702">
        <v>4</v>
      </c>
      <c r="BJ702" t="s">
        <v>444</v>
      </c>
      <c r="BK702" t="s">
        <v>100</v>
      </c>
      <c r="BL702" t="s">
        <v>445</v>
      </c>
      <c r="BM702" t="s">
        <v>12514</v>
      </c>
      <c r="BN702">
        <v>20558716</v>
      </c>
      <c r="BO702" t="s">
        <v>74</v>
      </c>
      <c r="BP702" t="s">
        <v>74</v>
      </c>
      <c r="BQ702" t="s">
        <v>74</v>
      </c>
      <c r="BR702" t="s">
        <v>104</v>
      </c>
      <c r="BS702" t="s">
        <v>12547</v>
      </c>
      <c r="BT702" t="str">
        <f>HYPERLINK("https%3A%2F%2Fwww.webofscience.com%2Fwos%2Fwoscc%2Ffull-record%2FWOS:000278859200044","View Full Record in Web of Science")</f>
        <v>View Full Record in Web of Science</v>
      </c>
    </row>
    <row r="703" spans="1:72" x14ac:dyDescent="0.15">
      <c r="A703" t="s">
        <v>72</v>
      </c>
      <c r="B703" t="s">
        <v>12548</v>
      </c>
      <c r="C703" t="s">
        <v>74</v>
      </c>
      <c r="D703" t="s">
        <v>74</v>
      </c>
      <c r="E703" t="s">
        <v>74</v>
      </c>
      <c r="F703" t="s">
        <v>12549</v>
      </c>
      <c r="G703" t="s">
        <v>74</v>
      </c>
      <c r="H703" t="s">
        <v>74</v>
      </c>
      <c r="I703" t="s">
        <v>12550</v>
      </c>
      <c r="J703" t="s">
        <v>1611</v>
      </c>
      <c r="K703" t="s">
        <v>74</v>
      </c>
      <c r="L703" t="s">
        <v>74</v>
      </c>
      <c r="M703" t="s">
        <v>78</v>
      </c>
      <c r="N703" t="s">
        <v>79</v>
      </c>
      <c r="O703" t="s">
        <v>74</v>
      </c>
      <c r="P703" t="s">
        <v>74</v>
      </c>
      <c r="Q703" t="s">
        <v>74</v>
      </c>
      <c r="R703" t="s">
        <v>74</v>
      </c>
      <c r="S703" t="s">
        <v>74</v>
      </c>
      <c r="T703" t="s">
        <v>74</v>
      </c>
      <c r="U703" t="s">
        <v>12551</v>
      </c>
      <c r="V703" t="s">
        <v>12552</v>
      </c>
      <c r="W703" t="s">
        <v>12553</v>
      </c>
      <c r="X703" t="s">
        <v>12554</v>
      </c>
      <c r="Y703" t="s">
        <v>12555</v>
      </c>
      <c r="Z703" t="s">
        <v>12556</v>
      </c>
      <c r="AA703" t="s">
        <v>12557</v>
      </c>
      <c r="AB703" t="s">
        <v>12558</v>
      </c>
      <c r="AC703" t="s">
        <v>12559</v>
      </c>
      <c r="AD703" t="s">
        <v>12560</v>
      </c>
      <c r="AE703" t="s">
        <v>12561</v>
      </c>
      <c r="AF703" t="s">
        <v>74</v>
      </c>
      <c r="AG703">
        <v>92</v>
      </c>
      <c r="AH703">
        <v>91</v>
      </c>
      <c r="AI703">
        <v>95</v>
      </c>
      <c r="AJ703">
        <v>1</v>
      </c>
      <c r="AK703">
        <v>44</v>
      </c>
      <c r="AL703" t="s">
        <v>1521</v>
      </c>
      <c r="AM703" t="s">
        <v>1522</v>
      </c>
      <c r="AN703" t="s">
        <v>1523</v>
      </c>
      <c r="AO703" t="s">
        <v>1623</v>
      </c>
      <c r="AP703" t="s">
        <v>1624</v>
      </c>
      <c r="AQ703" t="s">
        <v>74</v>
      </c>
      <c r="AR703" t="s">
        <v>1625</v>
      </c>
      <c r="AS703" t="s">
        <v>1626</v>
      </c>
      <c r="AT703" t="s">
        <v>12562</v>
      </c>
      <c r="AU703">
        <v>2010</v>
      </c>
      <c r="AV703">
        <v>24</v>
      </c>
      <c r="AW703" t="s">
        <v>74</v>
      </c>
      <c r="AX703" t="s">
        <v>74</v>
      </c>
      <c r="AY703" t="s">
        <v>74</v>
      </c>
      <c r="AZ703" t="s">
        <v>74</v>
      </c>
      <c r="BA703" t="s">
        <v>74</v>
      </c>
      <c r="BB703" t="s">
        <v>74</v>
      </c>
      <c r="BC703" t="s">
        <v>74</v>
      </c>
      <c r="BD703" t="s">
        <v>12563</v>
      </c>
      <c r="BE703" t="s">
        <v>12564</v>
      </c>
      <c r="BF703" t="str">
        <f>HYPERLINK("http://dx.doi.org/10.1029/2009GB003545","http://dx.doi.org/10.1029/2009GB003545")</f>
        <v>http://dx.doi.org/10.1029/2009GB003545</v>
      </c>
      <c r="BG703" t="s">
        <v>74</v>
      </c>
      <c r="BH703" t="s">
        <v>74</v>
      </c>
      <c r="BI703">
        <v>15</v>
      </c>
      <c r="BJ703" t="s">
        <v>1629</v>
      </c>
      <c r="BK703" t="s">
        <v>100</v>
      </c>
      <c r="BL703" t="s">
        <v>1630</v>
      </c>
      <c r="BM703" t="s">
        <v>12565</v>
      </c>
      <c r="BN703" t="s">
        <v>74</v>
      </c>
      <c r="BO703" t="s">
        <v>3827</v>
      </c>
      <c r="BP703" t="s">
        <v>74</v>
      </c>
      <c r="BQ703" t="s">
        <v>74</v>
      </c>
      <c r="BR703" t="s">
        <v>104</v>
      </c>
      <c r="BS703" t="s">
        <v>12566</v>
      </c>
      <c r="BT703" t="str">
        <f>HYPERLINK("https%3A%2F%2Fwww.webofscience.com%2Fwos%2Fwoscc%2Ffull-record%2FWOS:000278986300001","View Full Record in Web of Science")</f>
        <v>View Full Record in Web of Science</v>
      </c>
    </row>
    <row r="704" spans="1:72" x14ac:dyDescent="0.15">
      <c r="A704" t="s">
        <v>72</v>
      </c>
      <c r="B704" t="s">
        <v>12567</v>
      </c>
      <c r="C704" t="s">
        <v>74</v>
      </c>
      <c r="D704" t="s">
        <v>74</v>
      </c>
      <c r="E704" t="s">
        <v>74</v>
      </c>
      <c r="F704" t="s">
        <v>12568</v>
      </c>
      <c r="G704" t="s">
        <v>74</v>
      </c>
      <c r="H704" t="s">
        <v>74</v>
      </c>
      <c r="I704" t="s">
        <v>12569</v>
      </c>
      <c r="J704" t="s">
        <v>1702</v>
      </c>
      <c r="K704" t="s">
        <v>74</v>
      </c>
      <c r="L704" t="s">
        <v>74</v>
      </c>
      <c r="M704" t="s">
        <v>78</v>
      </c>
      <c r="N704" t="s">
        <v>79</v>
      </c>
      <c r="O704" t="s">
        <v>74</v>
      </c>
      <c r="P704" t="s">
        <v>74</v>
      </c>
      <c r="Q704" t="s">
        <v>74</v>
      </c>
      <c r="R704" t="s">
        <v>74</v>
      </c>
      <c r="S704" t="s">
        <v>74</v>
      </c>
      <c r="T704" t="s">
        <v>74</v>
      </c>
      <c r="U704" t="s">
        <v>12570</v>
      </c>
      <c r="V704" t="s">
        <v>12571</v>
      </c>
      <c r="W704" t="s">
        <v>12572</v>
      </c>
      <c r="X704" t="s">
        <v>12573</v>
      </c>
      <c r="Y704" t="s">
        <v>12574</v>
      </c>
      <c r="Z704" t="s">
        <v>12575</v>
      </c>
      <c r="AA704" t="s">
        <v>12576</v>
      </c>
      <c r="AB704" t="s">
        <v>12577</v>
      </c>
      <c r="AC704" t="s">
        <v>12578</v>
      </c>
      <c r="AD704" t="s">
        <v>12579</v>
      </c>
      <c r="AE704" t="s">
        <v>12580</v>
      </c>
      <c r="AF704" t="s">
        <v>74</v>
      </c>
      <c r="AG704">
        <v>41</v>
      </c>
      <c r="AH704">
        <v>17</v>
      </c>
      <c r="AI704">
        <v>17</v>
      </c>
      <c r="AJ704">
        <v>0</v>
      </c>
      <c r="AK704">
        <v>6</v>
      </c>
      <c r="AL704" t="s">
        <v>1521</v>
      </c>
      <c r="AM704" t="s">
        <v>1522</v>
      </c>
      <c r="AN704" t="s">
        <v>1523</v>
      </c>
      <c r="AO704" t="s">
        <v>1714</v>
      </c>
      <c r="AP704" t="s">
        <v>1715</v>
      </c>
      <c r="AQ704" t="s">
        <v>74</v>
      </c>
      <c r="AR704" t="s">
        <v>1716</v>
      </c>
      <c r="AS704" t="s">
        <v>1717</v>
      </c>
      <c r="AT704" t="s">
        <v>12581</v>
      </c>
      <c r="AU704">
        <v>2010</v>
      </c>
      <c r="AV704">
        <v>115</v>
      </c>
      <c r="AW704" t="s">
        <v>74</v>
      </c>
      <c r="AX704" t="s">
        <v>74</v>
      </c>
      <c r="AY704" t="s">
        <v>74</v>
      </c>
      <c r="AZ704" t="s">
        <v>74</v>
      </c>
      <c r="BA704" t="s">
        <v>74</v>
      </c>
      <c r="BB704" t="s">
        <v>74</v>
      </c>
      <c r="BC704" t="s">
        <v>74</v>
      </c>
      <c r="BD704" t="s">
        <v>12582</v>
      </c>
      <c r="BE704" t="s">
        <v>12583</v>
      </c>
      <c r="BF704" t="str">
        <f>HYPERLINK("http://dx.doi.org/10.1029/2009JD013205","http://dx.doi.org/10.1029/2009JD013205")</f>
        <v>http://dx.doi.org/10.1029/2009JD013205</v>
      </c>
      <c r="BG704" t="s">
        <v>74</v>
      </c>
      <c r="BH704" t="s">
        <v>74</v>
      </c>
      <c r="BI704">
        <v>13</v>
      </c>
      <c r="BJ704" t="s">
        <v>319</v>
      </c>
      <c r="BK704" t="s">
        <v>100</v>
      </c>
      <c r="BL704" t="s">
        <v>319</v>
      </c>
      <c r="BM704" t="s">
        <v>12584</v>
      </c>
      <c r="BN704" t="s">
        <v>74</v>
      </c>
      <c r="BO704" t="s">
        <v>74</v>
      </c>
      <c r="BP704" t="s">
        <v>74</v>
      </c>
      <c r="BQ704" t="s">
        <v>74</v>
      </c>
      <c r="BR704" t="s">
        <v>104</v>
      </c>
      <c r="BS704" t="s">
        <v>12585</v>
      </c>
      <c r="BT704" t="str">
        <f>HYPERLINK("https%3A%2F%2Fwww.webofscience.com%2Fwos%2Fwoscc%2Ffull-record%2FWOS:000278986900004","View Full Record in Web of Science")</f>
        <v>View Full Record in Web of Science</v>
      </c>
    </row>
    <row r="705" spans="1:72" x14ac:dyDescent="0.15">
      <c r="A705" t="s">
        <v>72</v>
      </c>
      <c r="B705" t="s">
        <v>12586</v>
      </c>
      <c r="C705" t="s">
        <v>74</v>
      </c>
      <c r="D705" t="s">
        <v>74</v>
      </c>
      <c r="E705" t="s">
        <v>74</v>
      </c>
      <c r="F705" t="s">
        <v>12587</v>
      </c>
      <c r="G705" t="s">
        <v>74</v>
      </c>
      <c r="H705" t="s">
        <v>74</v>
      </c>
      <c r="I705" t="s">
        <v>12588</v>
      </c>
      <c r="J705" t="s">
        <v>12589</v>
      </c>
      <c r="K705" t="s">
        <v>74</v>
      </c>
      <c r="L705" t="s">
        <v>74</v>
      </c>
      <c r="M705" t="s">
        <v>78</v>
      </c>
      <c r="N705" t="s">
        <v>79</v>
      </c>
      <c r="O705" t="s">
        <v>74</v>
      </c>
      <c r="P705" t="s">
        <v>74</v>
      </c>
      <c r="Q705" t="s">
        <v>74</v>
      </c>
      <c r="R705" t="s">
        <v>74</v>
      </c>
      <c r="S705" t="s">
        <v>74</v>
      </c>
      <c r="T705" t="s">
        <v>12590</v>
      </c>
      <c r="U705" t="s">
        <v>12591</v>
      </c>
      <c r="V705" t="s">
        <v>12592</v>
      </c>
      <c r="W705" t="s">
        <v>12593</v>
      </c>
      <c r="X705" t="s">
        <v>74</v>
      </c>
      <c r="Y705" t="s">
        <v>12594</v>
      </c>
      <c r="Z705" t="s">
        <v>12595</v>
      </c>
      <c r="AA705" t="s">
        <v>12596</v>
      </c>
      <c r="AB705" t="s">
        <v>12597</v>
      </c>
      <c r="AC705" t="s">
        <v>12598</v>
      </c>
      <c r="AD705" t="s">
        <v>12599</v>
      </c>
      <c r="AE705" t="s">
        <v>12600</v>
      </c>
      <c r="AF705" t="s">
        <v>74</v>
      </c>
      <c r="AG705">
        <v>54</v>
      </c>
      <c r="AH705">
        <v>40</v>
      </c>
      <c r="AI705">
        <v>42</v>
      </c>
      <c r="AJ705">
        <v>0</v>
      </c>
      <c r="AK705">
        <v>14</v>
      </c>
      <c r="AL705" t="s">
        <v>826</v>
      </c>
      <c r="AM705" t="s">
        <v>827</v>
      </c>
      <c r="AN705" t="s">
        <v>828</v>
      </c>
      <c r="AO705" t="s">
        <v>12601</v>
      </c>
      <c r="AP705" t="s">
        <v>12602</v>
      </c>
      <c r="AQ705" t="s">
        <v>74</v>
      </c>
      <c r="AR705" t="s">
        <v>12603</v>
      </c>
      <c r="AS705" t="s">
        <v>12604</v>
      </c>
      <c r="AT705" t="s">
        <v>12581</v>
      </c>
      <c r="AU705">
        <v>2010</v>
      </c>
      <c r="AV705">
        <v>91</v>
      </c>
      <c r="AW705">
        <v>3</v>
      </c>
      <c r="AX705" t="s">
        <v>74</v>
      </c>
      <c r="AY705" t="s">
        <v>74</v>
      </c>
      <c r="AZ705" t="s">
        <v>74</v>
      </c>
      <c r="BA705" t="s">
        <v>74</v>
      </c>
      <c r="BB705">
        <v>758</v>
      </c>
      <c r="BC705">
        <v>767</v>
      </c>
      <c r="BD705" t="s">
        <v>74</v>
      </c>
      <c r="BE705" t="s">
        <v>12605</v>
      </c>
      <c r="BF705" t="str">
        <f>HYPERLINK("http://dx.doi.org/10.1644/09-MAMM-A-285.1","http://dx.doi.org/10.1644/09-MAMM-A-285.1")</f>
        <v>http://dx.doi.org/10.1644/09-MAMM-A-285.1</v>
      </c>
      <c r="BG705" t="s">
        <v>74</v>
      </c>
      <c r="BH705" t="s">
        <v>74</v>
      </c>
      <c r="BI705">
        <v>10</v>
      </c>
      <c r="BJ705" t="s">
        <v>492</v>
      </c>
      <c r="BK705" t="s">
        <v>100</v>
      </c>
      <c r="BL705" t="s">
        <v>492</v>
      </c>
      <c r="BM705" t="s">
        <v>12606</v>
      </c>
      <c r="BN705" t="s">
        <v>74</v>
      </c>
      <c r="BO705" t="s">
        <v>394</v>
      </c>
      <c r="BP705" t="s">
        <v>74</v>
      </c>
      <c r="BQ705" t="s">
        <v>74</v>
      </c>
      <c r="BR705" t="s">
        <v>104</v>
      </c>
      <c r="BS705" t="s">
        <v>12607</v>
      </c>
      <c r="BT705" t="str">
        <f>HYPERLINK("https%3A%2F%2Fwww.webofscience.com%2Fwos%2Fwoscc%2Ffull-record%2FWOS:000279130300023","View Full Record in Web of Science")</f>
        <v>View Full Record in Web of Science</v>
      </c>
    </row>
    <row r="706" spans="1:72" x14ac:dyDescent="0.15">
      <c r="A706" t="s">
        <v>72</v>
      </c>
      <c r="B706" t="s">
        <v>12608</v>
      </c>
      <c r="C706" t="s">
        <v>74</v>
      </c>
      <c r="D706" t="s">
        <v>74</v>
      </c>
      <c r="E706" t="s">
        <v>74</v>
      </c>
      <c r="F706" t="s">
        <v>12609</v>
      </c>
      <c r="G706" t="s">
        <v>74</v>
      </c>
      <c r="H706" t="s">
        <v>74</v>
      </c>
      <c r="I706" t="s">
        <v>12610</v>
      </c>
      <c r="J706" t="s">
        <v>762</v>
      </c>
      <c r="K706" t="s">
        <v>74</v>
      </c>
      <c r="L706" t="s">
        <v>74</v>
      </c>
      <c r="M706" t="s">
        <v>78</v>
      </c>
      <c r="N706" t="s">
        <v>79</v>
      </c>
      <c r="O706" t="s">
        <v>74</v>
      </c>
      <c r="P706" t="s">
        <v>74</v>
      </c>
      <c r="Q706" t="s">
        <v>74</v>
      </c>
      <c r="R706" t="s">
        <v>74</v>
      </c>
      <c r="S706" t="s">
        <v>74</v>
      </c>
      <c r="T706" t="s">
        <v>12611</v>
      </c>
      <c r="U706" t="s">
        <v>12612</v>
      </c>
      <c r="V706" t="s">
        <v>12613</v>
      </c>
      <c r="W706" t="s">
        <v>12614</v>
      </c>
      <c r="X706" t="s">
        <v>2314</v>
      </c>
      <c r="Y706" t="s">
        <v>12615</v>
      </c>
      <c r="Z706" t="s">
        <v>12616</v>
      </c>
      <c r="AA706" t="s">
        <v>74</v>
      </c>
      <c r="AB706" t="s">
        <v>12617</v>
      </c>
      <c r="AC706" t="s">
        <v>12618</v>
      </c>
      <c r="AD706" t="s">
        <v>12618</v>
      </c>
      <c r="AE706" t="s">
        <v>12619</v>
      </c>
      <c r="AF706" t="s">
        <v>74</v>
      </c>
      <c r="AG706">
        <v>40</v>
      </c>
      <c r="AH706">
        <v>6</v>
      </c>
      <c r="AI706">
        <v>7</v>
      </c>
      <c r="AJ706">
        <v>2</v>
      </c>
      <c r="AK706">
        <v>15</v>
      </c>
      <c r="AL706" t="s">
        <v>10256</v>
      </c>
      <c r="AM706" t="s">
        <v>412</v>
      </c>
      <c r="AN706" t="s">
        <v>10257</v>
      </c>
      <c r="AO706" t="s">
        <v>777</v>
      </c>
      <c r="AP706" t="s">
        <v>74</v>
      </c>
      <c r="AQ706" t="s">
        <v>74</v>
      </c>
      <c r="AR706" t="s">
        <v>779</v>
      </c>
      <c r="AS706" t="s">
        <v>780</v>
      </c>
      <c r="AT706" t="s">
        <v>12620</v>
      </c>
      <c r="AU706">
        <v>2010</v>
      </c>
      <c r="AV706">
        <v>213</v>
      </c>
      <c r="AW706">
        <v>12</v>
      </c>
      <c r="AX706" t="s">
        <v>74</v>
      </c>
      <c r="AY706" t="s">
        <v>74</v>
      </c>
      <c r="AZ706" t="s">
        <v>74</v>
      </c>
      <c r="BA706" t="s">
        <v>74</v>
      </c>
      <c r="BB706">
        <v>2025</v>
      </c>
      <c r="BC706">
        <v>2030</v>
      </c>
      <c r="BD706" t="s">
        <v>74</v>
      </c>
      <c r="BE706" t="s">
        <v>12621</v>
      </c>
      <c r="BF706" t="str">
        <f>HYPERLINK("http://dx.doi.org/10.1242/jeb.041202","http://dx.doi.org/10.1242/jeb.041202")</f>
        <v>http://dx.doi.org/10.1242/jeb.041202</v>
      </c>
      <c r="BG706" t="s">
        <v>74</v>
      </c>
      <c r="BH706" t="s">
        <v>74</v>
      </c>
      <c r="BI706">
        <v>6</v>
      </c>
      <c r="BJ706" t="s">
        <v>346</v>
      </c>
      <c r="BK706" t="s">
        <v>100</v>
      </c>
      <c r="BL706" t="s">
        <v>347</v>
      </c>
      <c r="BM706" t="s">
        <v>12622</v>
      </c>
      <c r="BN706">
        <v>20511515</v>
      </c>
      <c r="BO706" t="s">
        <v>74</v>
      </c>
      <c r="BP706" t="s">
        <v>74</v>
      </c>
      <c r="BQ706" t="s">
        <v>74</v>
      </c>
      <c r="BR706" t="s">
        <v>104</v>
      </c>
      <c r="BS706" t="s">
        <v>12623</v>
      </c>
      <c r="BT706" t="str">
        <f>HYPERLINK("https%3A%2F%2Fwww.webofscience.com%2Fwos%2Fwoscc%2Ffull-record%2FWOS:000278175700009","View Full Record in Web of Science")</f>
        <v>View Full Record in Web of Science</v>
      </c>
    </row>
    <row r="707" spans="1:72" x14ac:dyDescent="0.15">
      <c r="A707" t="s">
        <v>72</v>
      </c>
      <c r="B707" t="s">
        <v>12624</v>
      </c>
      <c r="C707" t="s">
        <v>74</v>
      </c>
      <c r="D707" t="s">
        <v>74</v>
      </c>
      <c r="E707" t="s">
        <v>74</v>
      </c>
      <c r="F707" t="s">
        <v>12625</v>
      </c>
      <c r="G707" t="s">
        <v>74</v>
      </c>
      <c r="H707" t="s">
        <v>74</v>
      </c>
      <c r="I707" t="s">
        <v>12626</v>
      </c>
      <c r="J707" t="s">
        <v>12627</v>
      </c>
      <c r="K707" t="s">
        <v>74</v>
      </c>
      <c r="L707" t="s">
        <v>74</v>
      </c>
      <c r="M707" t="s">
        <v>78</v>
      </c>
      <c r="N707" t="s">
        <v>79</v>
      </c>
      <c r="O707" t="s">
        <v>74</v>
      </c>
      <c r="P707" t="s">
        <v>74</v>
      </c>
      <c r="Q707" t="s">
        <v>74</v>
      </c>
      <c r="R707" t="s">
        <v>74</v>
      </c>
      <c r="S707" t="s">
        <v>74</v>
      </c>
      <c r="T707" t="s">
        <v>12628</v>
      </c>
      <c r="U707" t="s">
        <v>12629</v>
      </c>
      <c r="V707" t="s">
        <v>12630</v>
      </c>
      <c r="W707" t="s">
        <v>12631</v>
      </c>
      <c r="X707" t="s">
        <v>12632</v>
      </c>
      <c r="Y707" t="s">
        <v>12633</v>
      </c>
      <c r="Z707" t="s">
        <v>12634</v>
      </c>
      <c r="AA707" t="s">
        <v>12635</v>
      </c>
      <c r="AB707" t="s">
        <v>74</v>
      </c>
      <c r="AC707" t="s">
        <v>12636</v>
      </c>
      <c r="AD707" t="s">
        <v>12637</v>
      </c>
      <c r="AE707" t="s">
        <v>12638</v>
      </c>
      <c r="AF707" t="s">
        <v>74</v>
      </c>
      <c r="AG707">
        <v>29</v>
      </c>
      <c r="AH707">
        <v>73</v>
      </c>
      <c r="AI707">
        <v>78</v>
      </c>
      <c r="AJ707">
        <v>0</v>
      </c>
      <c r="AK707">
        <v>19</v>
      </c>
      <c r="AL707" t="s">
        <v>1038</v>
      </c>
      <c r="AM707" t="s">
        <v>550</v>
      </c>
      <c r="AN707" t="s">
        <v>1039</v>
      </c>
      <c r="AO707" t="s">
        <v>12639</v>
      </c>
      <c r="AP707" t="s">
        <v>12640</v>
      </c>
      <c r="AQ707" t="s">
        <v>74</v>
      </c>
      <c r="AR707" t="s">
        <v>12641</v>
      </c>
      <c r="AS707" t="s">
        <v>12642</v>
      </c>
      <c r="AT707" t="s">
        <v>12620</v>
      </c>
      <c r="AU707">
        <v>2010</v>
      </c>
      <c r="AV707">
        <v>387</v>
      </c>
      <c r="AW707" t="s">
        <v>556</v>
      </c>
      <c r="AX707" t="s">
        <v>74</v>
      </c>
      <c r="AY707" t="s">
        <v>74</v>
      </c>
      <c r="AZ707" t="s">
        <v>74</v>
      </c>
      <c r="BA707" t="s">
        <v>74</v>
      </c>
      <c r="BB707">
        <v>312</v>
      </c>
      <c r="BC707">
        <v>319</v>
      </c>
      <c r="BD707" t="s">
        <v>74</v>
      </c>
      <c r="BE707" t="s">
        <v>12643</v>
      </c>
      <c r="BF707" t="str">
        <f>HYPERLINK("http://dx.doi.org/10.1016/j.jhydrol.2010.04.023","http://dx.doi.org/10.1016/j.jhydrol.2010.04.023")</f>
        <v>http://dx.doi.org/10.1016/j.jhydrol.2010.04.023</v>
      </c>
      <c r="BG707" t="s">
        <v>74</v>
      </c>
      <c r="BH707" t="s">
        <v>74</v>
      </c>
      <c r="BI707">
        <v>8</v>
      </c>
      <c r="BJ707" t="s">
        <v>12644</v>
      </c>
      <c r="BK707" t="s">
        <v>100</v>
      </c>
      <c r="BL707" t="s">
        <v>12645</v>
      </c>
      <c r="BM707" t="s">
        <v>12646</v>
      </c>
      <c r="BN707" t="s">
        <v>74</v>
      </c>
      <c r="BO707" t="s">
        <v>631</v>
      </c>
      <c r="BP707" t="s">
        <v>74</v>
      </c>
      <c r="BQ707" t="s">
        <v>74</v>
      </c>
      <c r="BR707" t="s">
        <v>104</v>
      </c>
      <c r="BS707" t="s">
        <v>12647</v>
      </c>
      <c r="BT707" t="str">
        <f>HYPERLINK("https%3A%2F%2Fwww.webofscience.com%2Fwos%2Fwoscc%2Ffull-record%2FWOS:000279277100016","View Full Record in Web of Science")</f>
        <v>View Full Record in Web of Science</v>
      </c>
    </row>
    <row r="708" spans="1:72" x14ac:dyDescent="0.15">
      <c r="A708" t="s">
        <v>72</v>
      </c>
      <c r="B708" t="s">
        <v>12648</v>
      </c>
      <c r="C708" t="s">
        <v>74</v>
      </c>
      <c r="D708" t="s">
        <v>74</v>
      </c>
      <c r="E708" t="s">
        <v>74</v>
      </c>
      <c r="F708" t="s">
        <v>12649</v>
      </c>
      <c r="G708" t="s">
        <v>74</v>
      </c>
      <c r="H708" t="s">
        <v>74</v>
      </c>
      <c r="I708" t="s">
        <v>12650</v>
      </c>
      <c r="J708" t="s">
        <v>12651</v>
      </c>
      <c r="K708" t="s">
        <v>74</v>
      </c>
      <c r="L708" t="s">
        <v>74</v>
      </c>
      <c r="M708" t="s">
        <v>78</v>
      </c>
      <c r="N708" t="s">
        <v>79</v>
      </c>
      <c r="O708" t="s">
        <v>74</v>
      </c>
      <c r="P708" t="s">
        <v>74</v>
      </c>
      <c r="Q708" t="s">
        <v>74</v>
      </c>
      <c r="R708" t="s">
        <v>74</v>
      </c>
      <c r="S708" t="s">
        <v>74</v>
      </c>
      <c r="T708" t="s">
        <v>12652</v>
      </c>
      <c r="U708" t="s">
        <v>12653</v>
      </c>
      <c r="V708" t="s">
        <v>12654</v>
      </c>
      <c r="W708" t="s">
        <v>12655</v>
      </c>
      <c r="X708" t="s">
        <v>12656</v>
      </c>
      <c r="Y708" t="s">
        <v>12657</v>
      </c>
      <c r="Z708" t="s">
        <v>74</v>
      </c>
      <c r="AA708" t="s">
        <v>12658</v>
      </c>
      <c r="AB708" t="s">
        <v>12659</v>
      </c>
      <c r="AC708" t="s">
        <v>12660</v>
      </c>
      <c r="AD708" t="s">
        <v>12661</v>
      </c>
      <c r="AE708" t="s">
        <v>12662</v>
      </c>
      <c r="AF708" t="s">
        <v>74</v>
      </c>
      <c r="AG708">
        <v>53</v>
      </c>
      <c r="AH708">
        <v>16</v>
      </c>
      <c r="AI708">
        <v>19</v>
      </c>
      <c r="AJ708">
        <v>2</v>
      </c>
      <c r="AK708">
        <v>53</v>
      </c>
      <c r="AL708" t="s">
        <v>923</v>
      </c>
      <c r="AM708" t="s">
        <v>339</v>
      </c>
      <c r="AN708" t="s">
        <v>340</v>
      </c>
      <c r="AO708" t="s">
        <v>12663</v>
      </c>
      <c r="AP708" t="s">
        <v>12664</v>
      </c>
      <c r="AQ708" t="s">
        <v>74</v>
      </c>
      <c r="AR708" t="s">
        <v>12665</v>
      </c>
      <c r="AS708" t="s">
        <v>12666</v>
      </c>
      <c r="AT708" t="s">
        <v>12620</v>
      </c>
      <c r="AU708">
        <v>2010</v>
      </c>
      <c r="AV708">
        <v>48</v>
      </c>
      <c r="AW708">
        <v>12</v>
      </c>
      <c r="AX708" t="s">
        <v>74</v>
      </c>
      <c r="AY708" t="s">
        <v>74</v>
      </c>
      <c r="AZ708" t="s">
        <v>74</v>
      </c>
      <c r="BA708" t="s">
        <v>74</v>
      </c>
      <c r="BB708">
        <v>2610</v>
      </c>
      <c r="BC708">
        <v>2621</v>
      </c>
      <c r="BD708" t="s">
        <v>74</v>
      </c>
      <c r="BE708" t="s">
        <v>12667</v>
      </c>
      <c r="BF708" t="str">
        <f>HYPERLINK("http://dx.doi.org/10.1002/pola.24041","http://dx.doi.org/10.1002/pola.24041")</f>
        <v>http://dx.doi.org/10.1002/pola.24041</v>
      </c>
      <c r="BG708" t="s">
        <v>74</v>
      </c>
      <c r="BH708" t="s">
        <v>74</v>
      </c>
      <c r="BI708">
        <v>12</v>
      </c>
      <c r="BJ708" t="s">
        <v>4159</v>
      </c>
      <c r="BK708" t="s">
        <v>100</v>
      </c>
      <c r="BL708" t="s">
        <v>4159</v>
      </c>
      <c r="BM708" t="s">
        <v>12668</v>
      </c>
      <c r="BN708" t="s">
        <v>74</v>
      </c>
      <c r="BO708" t="s">
        <v>74</v>
      </c>
      <c r="BP708" t="s">
        <v>74</v>
      </c>
      <c r="BQ708" t="s">
        <v>74</v>
      </c>
      <c r="BR708" t="s">
        <v>104</v>
      </c>
      <c r="BS708" t="s">
        <v>12669</v>
      </c>
      <c r="BT708" t="str">
        <f>HYPERLINK("https%3A%2F%2Fwww.webofscience.com%2Fwos%2Fwoscc%2Ffull-record%2FWOS:000278750500012","View Full Record in Web of Science")</f>
        <v>View Full Record in Web of Science</v>
      </c>
    </row>
    <row r="709" spans="1:72" x14ac:dyDescent="0.15">
      <c r="A709" t="s">
        <v>72</v>
      </c>
      <c r="B709" t="s">
        <v>12670</v>
      </c>
      <c r="C709" t="s">
        <v>74</v>
      </c>
      <c r="D709" t="s">
        <v>74</v>
      </c>
      <c r="E709" t="s">
        <v>74</v>
      </c>
      <c r="F709" t="s">
        <v>12671</v>
      </c>
      <c r="G709" t="s">
        <v>74</v>
      </c>
      <c r="H709" t="s">
        <v>74</v>
      </c>
      <c r="I709" t="s">
        <v>12672</v>
      </c>
      <c r="J709" t="s">
        <v>4560</v>
      </c>
      <c r="K709" t="s">
        <v>74</v>
      </c>
      <c r="L709" t="s">
        <v>74</v>
      </c>
      <c r="M709" t="s">
        <v>78</v>
      </c>
      <c r="N709" t="s">
        <v>79</v>
      </c>
      <c r="O709" t="s">
        <v>74</v>
      </c>
      <c r="P709" t="s">
        <v>74</v>
      </c>
      <c r="Q709" t="s">
        <v>74</v>
      </c>
      <c r="R709" t="s">
        <v>74</v>
      </c>
      <c r="S709" t="s">
        <v>74</v>
      </c>
      <c r="T709" t="s">
        <v>74</v>
      </c>
      <c r="U709" t="s">
        <v>12673</v>
      </c>
      <c r="V709" t="s">
        <v>12674</v>
      </c>
      <c r="W709" t="s">
        <v>12675</v>
      </c>
      <c r="X709" t="s">
        <v>12676</v>
      </c>
      <c r="Y709" t="s">
        <v>12677</v>
      </c>
      <c r="Z709" t="s">
        <v>12678</v>
      </c>
      <c r="AA709" t="s">
        <v>12679</v>
      </c>
      <c r="AB709" t="s">
        <v>12680</v>
      </c>
      <c r="AC709" t="s">
        <v>74</v>
      </c>
      <c r="AD709" t="s">
        <v>74</v>
      </c>
      <c r="AE709" t="s">
        <v>74</v>
      </c>
      <c r="AF709" t="s">
        <v>74</v>
      </c>
      <c r="AG709">
        <v>71</v>
      </c>
      <c r="AH709">
        <v>73</v>
      </c>
      <c r="AI709">
        <v>82</v>
      </c>
      <c r="AJ709">
        <v>0</v>
      </c>
      <c r="AK709">
        <v>38</v>
      </c>
      <c r="AL709" t="s">
        <v>1521</v>
      </c>
      <c r="AM709" t="s">
        <v>1522</v>
      </c>
      <c r="AN709" t="s">
        <v>1523</v>
      </c>
      <c r="AO709" t="s">
        <v>4571</v>
      </c>
      <c r="AP709" t="s">
        <v>4572</v>
      </c>
      <c r="AQ709" t="s">
        <v>74</v>
      </c>
      <c r="AR709" t="s">
        <v>4560</v>
      </c>
      <c r="AS709" t="s">
        <v>4573</v>
      </c>
      <c r="AT709" t="s">
        <v>12620</v>
      </c>
      <c r="AU709">
        <v>2010</v>
      </c>
      <c r="AV709">
        <v>25</v>
      </c>
      <c r="AW709" t="s">
        <v>74</v>
      </c>
      <c r="AX709" t="s">
        <v>74</v>
      </c>
      <c r="AY709" t="s">
        <v>74</v>
      </c>
      <c r="AZ709" t="s">
        <v>74</v>
      </c>
      <c r="BA709" t="s">
        <v>74</v>
      </c>
      <c r="BB709" t="s">
        <v>74</v>
      </c>
      <c r="BC709" t="s">
        <v>74</v>
      </c>
      <c r="BD709" t="s">
        <v>12681</v>
      </c>
      <c r="BE709" t="s">
        <v>12682</v>
      </c>
      <c r="BF709" t="str">
        <f>HYPERLINK("http://dx.doi.org/10.1029/2009PA001758","http://dx.doi.org/10.1029/2009PA001758")</f>
        <v>http://dx.doi.org/10.1029/2009PA001758</v>
      </c>
      <c r="BG709" t="s">
        <v>74</v>
      </c>
      <c r="BH709" t="s">
        <v>74</v>
      </c>
      <c r="BI709">
        <v>14</v>
      </c>
      <c r="BJ709" t="s">
        <v>4576</v>
      </c>
      <c r="BK709" t="s">
        <v>100</v>
      </c>
      <c r="BL709" t="s">
        <v>4577</v>
      </c>
      <c r="BM709" t="s">
        <v>12683</v>
      </c>
      <c r="BN709" t="s">
        <v>74</v>
      </c>
      <c r="BO709" t="s">
        <v>394</v>
      </c>
      <c r="BP709" t="s">
        <v>74</v>
      </c>
      <c r="BQ709" t="s">
        <v>74</v>
      </c>
      <c r="BR709" t="s">
        <v>104</v>
      </c>
      <c r="BS709" t="s">
        <v>12684</v>
      </c>
      <c r="BT709" t="str">
        <f>HYPERLINK("https%3A%2F%2Fwww.webofscience.com%2Fwos%2Fwoscc%2Ffull-record%2FWOS:000278992500001","View Full Record in Web of Science")</f>
        <v>View Full Record in Web of Science</v>
      </c>
    </row>
    <row r="710" spans="1:72" x14ac:dyDescent="0.15">
      <c r="A710" t="s">
        <v>72</v>
      </c>
      <c r="B710" t="s">
        <v>12685</v>
      </c>
      <c r="C710" t="s">
        <v>74</v>
      </c>
      <c r="D710" t="s">
        <v>74</v>
      </c>
      <c r="E710" t="s">
        <v>74</v>
      </c>
      <c r="F710" t="s">
        <v>12686</v>
      </c>
      <c r="G710" t="s">
        <v>74</v>
      </c>
      <c r="H710" t="s">
        <v>74</v>
      </c>
      <c r="I710" t="s">
        <v>12687</v>
      </c>
      <c r="J710" t="s">
        <v>12688</v>
      </c>
      <c r="K710" t="s">
        <v>74</v>
      </c>
      <c r="L710" t="s">
        <v>74</v>
      </c>
      <c r="M710" t="s">
        <v>78</v>
      </c>
      <c r="N710" t="s">
        <v>79</v>
      </c>
      <c r="O710" t="s">
        <v>74</v>
      </c>
      <c r="P710" t="s">
        <v>74</v>
      </c>
      <c r="Q710" t="s">
        <v>74</v>
      </c>
      <c r="R710" t="s">
        <v>74</v>
      </c>
      <c r="S710" t="s">
        <v>74</v>
      </c>
      <c r="T710" t="s">
        <v>12689</v>
      </c>
      <c r="U710" t="s">
        <v>12690</v>
      </c>
      <c r="V710" t="s">
        <v>12691</v>
      </c>
      <c r="W710" t="s">
        <v>12692</v>
      </c>
      <c r="X710" t="s">
        <v>12693</v>
      </c>
      <c r="Y710" t="s">
        <v>12694</v>
      </c>
      <c r="Z710" t="s">
        <v>12695</v>
      </c>
      <c r="AA710" t="s">
        <v>12696</v>
      </c>
      <c r="AB710" t="s">
        <v>12697</v>
      </c>
      <c r="AC710" t="s">
        <v>74</v>
      </c>
      <c r="AD710" t="s">
        <v>74</v>
      </c>
      <c r="AE710" t="s">
        <v>74</v>
      </c>
      <c r="AF710" t="s">
        <v>74</v>
      </c>
      <c r="AG710">
        <v>26</v>
      </c>
      <c r="AH710">
        <v>9</v>
      </c>
      <c r="AI710">
        <v>11</v>
      </c>
      <c r="AJ710">
        <v>0</v>
      </c>
      <c r="AK710">
        <v>30</v>
      </c>
      <c r="AL710" t="s">
        <v>549</v>
      </c>
      <c r="AM710" t="s">
        <v>550</v>
      </c>
      <c r="AN710" t="s">
        <v>551</v>
      </c>
      <c r="AO710" t="s">
        <v>12698</v>
      </c>
      <c r="AP710" t="s">
        <v>74</v>
      </c>
      <c r="AQ710" t="s">
        <v>74</v>
      </c>
      <c r="AR710" t="s">
        <v>12699</v>
      </c>
      <c r="AS710" t="s">
        <v>12700</v>
      </c>
      <c r="AT710" t="s">
        <v>12701</v>
      </c>
      <c r="AU710">
        <v>2010</v>
      </c>
      <c r="AV710">
        <v>1217</v>
      </c>
      <c r="AW710">
        <v>24</v>
      </c>
      <c r="AX710" t="s">
        <v>74</v>
      </c>
      <c r="AY710" t="s">
        <v>74</v>
      </c>
      <c r="AZ710" t="s">
        <v>74</v>
      </c>
      <c r="BA710" t="s">
        <v>74</v>
      </c>
      <c r="BB710">
        <v>3890</v>
      </c>
      <c r="BC710">
        <v>3895</v>
      </c>
      <c r="BD710" t="s">
        <v>74</v>
      </c>
      <c r="BE710" t="s">
        <v>12702</v>
      </c>
      <c r="BF710" t="str">
        <f>HYPERLINK("http://dx.doi.org/10.1016/j.chroma.2010.04.013","http://dx.doi.org/10.1016/j.chroma.2010.04.013")</f>
        <v>http://dx.doi.org/10.1016/j.chroma.2010.04.013</v>
      </c>
      <c r="BG710" t="s">
        <v>74</v>
      </c>
      <c r="BH710" t="s">
        <v>74</v>
      </c>
      <c r="BI710">
        <v>6</v>
      </c>
      <c r="BJ710" t="s">
        <v>12703</v>
      </c>
      <c r="BK710" t="s">
        <v>100</v>
      </c>
      <c r="BL710" t="s">
        <v>12704</v>
      </c>
      <c r="BM710" t="s">
        <v>12705</v>
      </c>
      <c r="BN710">
        <v>20444461</v>
      </c>
      <c r="BO710" t="s">
        <v>74</v>
      </c>
      <c r="BP710" t="s">
        <v>74</v>
      </c>
      <c r="BQ710" t="s">
        <v>74</v>
      </c>
      <c r="BR710" t="s">
        <v>104</v>
      </c>
      <c r="BS710" t="s">
        <v>12706</v>
      </c>
      <c r="BT710" t="str">
        <f>HYPERLINK("https%3A%2F%2Fwww.webofscience.com%2Fwos%2Fwoscc%2Ffull-record%2FWOS:000278563900020","View Full Record in Web of Science")</f>
        <v>View Full Record in Web of Science</v>
      </c>
    </row>
    <row r="711" spans="1:72" x14ac:dyDescent="0.15">
      <c r="A711" t="s">
        <v>72</v>
      </c>
      <c r="B711" t="s">
        <v>12707</v>
      </c>
      <c r="C711" t="s">
        <v>74</v>
      </c>
      <c r="D711" t="s">
        <v>74</v>
      </c>
      <c r="E711" t="s">
        <v>74</v>
      </c>
      <c r="F711" t="s">
        <v>12708</v>
      </c>
      <c r="G711" t="s">
        <v>74</v>
      </c>
      <c r="H711" t="s">
        <v>74</v>
      </c>
      <c r="I711" t="s">
        <v>12709</v>
      </c>
      <c r="J711" t="s">
        <v>12710</v>
      </c>
      <c r="K711" t="s">
        <v>74</v>
      </c>
      <c r="L711" t="s">
        <v>74</v>
      </c>
      <c r="M711" t="s">
        <v>78</v>
      </c>
      <c r="N711" t="s">
        <v>79</v>
      </c>
      <c r="O711" t="s">
        <v>74</v>
      </c>
      <c r="P711" t="s">
        <v>74</v>
      </c>
      <c r="Q711" t="s">
        <v>74</v>
      </c>
      <c r="R711" t="s">
        <v>74</v>
      </c>
      <c r="S711" t="s">
        <v>74</v>
      </c>
      <c r="T711" t="s">
        <v>74</v>
      </c>
      <c r="U711" t="s">
        <v>12711</v>
      </c>
      <c r="V711" t="s">
        <v>12712</v>
      </c>
      <c r="W711" t="s">
        <v>12713</v>
      </c>
      <c r="X711" t="s">
        <v>12714</v>
      </c>
      <c r="Y711" t="s">
        <v>12715</v>
      </c>
      <c r="Z711" t="s">
        <v>12716</v>
      </c>
      <c r="AA711" t="s">
        <v>74</v>
      </c>
      <c r="AB711" t="s">
        <v>12717</v>
      </c>
      <c r="AC711" t="s">
        <v>12718</v>
      </c>
      <c r="AD711" t="s">
        <v>3179</v>
      </c>
      <c r="AE711" t="s">
        <v>12719</v>
      </c>
      <c r="AF711" t="s">
        <v>74</v>
      </c>
      <c r="AG711">
        <v>34</v>
      </c>
      <c r="AH711">
        <v>5</v>
      </c>
      <c r="AI711">
        <v>5</v>
      </c>
      <c r="AJ711">
        <v>0</v>
      </c>
      <c r="AK711">
        <v>16</v>
      </c>
      <c r="AL711" t="s">
        <v>2117</v>
      </c>
      <c r="AM711" t="s">
        <v>2118</v>
      </c>
      <c r="AN711" t="s">
        <v>2119</v>
      </c>
      <c r="AO711" t="s">
        <v>12720</v>
      </c>
      <c r="AP711" t="s">
        <v>74</v>
      </c>
      <c r="AQ711" t="s">
        <v>74</v>
      </c>
      <c r="AR711" t="s">
        <v>12721</v>
      </c>
      <c r="AS711" t="s">
        <v>12722</v>
      </c>
      <c r="AT711" t="s">
        <v>12701</v>
      </c>
      <c r="AU711">
        <v>2010</v>
      </c>
      <c r="AV711">
        <v>81</v>
      </c>
      <c r="AW711">
        <v>22</v>
      </c>
      <c r="AX711" t="s">
        <v>74</v>
      </c>
      <c r="AY711" t="s">
        <v>74</v>
      </c>
      <c r="AZ711" t="s">
        <v>74</v>
      </c>
      <c r="BA711" t="s">
        <v>74</v>
      </c>
      <c r="BB711" t="s">
        <v>74</v>
      </c>
      <c r="BC711" t="s">
        <v>74</v>
      </c>
      <c r="BD711">
        <v>224206</v>
      </c>
      <c r="BE711" t="s">
        <v>12723</v>
      </c>
      <c r="BF711" t="str">
        <f>HYPERLINK("http://dx.doi.org/10.1103/PhysRevB.81.224206","http://dx.doi.org/10.1103/PhysRevB.81.224206")</f>
        <v>http://dx.doi.org/10.1103/PhysRevB.81.224206</v>
      </c>
      <c r="BG711" t="s">
        <v>74</v>
      </c>
      <c r="BH711" t="s">
        <v>74</v>
      </c>
      <c r="BI711">
        <v>10</v>
      </c>
      <c r="BJ711" t="s">
        <v>12724</v>
      </c>
      <c r="BK711" t="s">
        <v>100</v>
      </c>
      <c r="BL711" t="s">
        <v>12725</v>
      </c>
      <c r="BM711" t="s">
        <v>12726</v>
      </c>
      <c r="BN711" t="s">
        <v>74</v>
      </c>
      <c r="BO711" t="s">
        <v>74</v>
      </c>
      <c r="BP711" t="s">
        <v>74</v>
      </c>
      <c r="BQ711" t="s">
        <v>74</v>
      </c>
      <c r="BR711" t="s">
        <v>104</v>
      </c>
      <c r="BS711" t="s">
        <v>12727</v>
      </c>
      <c r="BT711" t="str">
        <f>HYPERLINK("https%3A%2F%2Fwww.webofscience.com%2Fwos%2Fwoscc%2Ffull-record%2FWOS:000278654900001","View Full Record in Web of Science")</f>
        <v>View Full Record in Web of Science</v>
      </c>
    </row>
    <row r="712" spans="1:72" x14ac:dyDescent="0.15">
      <c r="A712" t="s">
        <v>72</v>
      </c>
      <c r="B712" t="s">
        <v>12728</v>
      </c>
      <c r="C712" t="s">
        <v>74</v>
      </c>
      <c r="D712" t="s">
        <v>74</v>
      </c>
      <c r="E712" t="s">
        <v>74</v>
      </c>
      <c r="F712" t="s">
        <v>12729</v>
      </c>
      <c r="G712" t="s">
        <v>74</v>
      </c>
      <c r="H712" t="s">
        <v>74</v>
      </c>
      <c r="I712" t="s">
        <v>12730</v>
      </c>
      <c r="J712" t="s">
        <v>1509</v>
      </c>
      <c r="K712" t="s">
        <v>74</v>
      </c>
      <c r="L712" t="s">
        <v>74</v>
      </c>
      <c r="M712" t="s">
        <v>78</v>
      </c>
      <c r="N712" t="s">
        <v>79</v>
      </c>
      <c r="O712" t="s">
        <v>74</v>
      </c>
      <c r="P712" t="s">
        <v>74</v>
      </c>
      <c r="Q712" t="s">
        <v>74</v>
      </c>
      <c r="R712" t="s">
        <v>74</v>
      </c>
      <c r="S712" t="s">
        <v>74</v>
      </c>
      <c r="T712" t="s">
        <v>74</v>
      </c>
      <c r="U712" t="s">
        <v>12731</v>
      </c>
      <c r="V712" t="s">
        <v>12732</v>
      </c>
      <c r="W712" t="s">
        <v>12733</v>
      </c>
      <c r="X712" t="s">
        <v>12734</v>
      </c>
      <c r="Y712" t="s">
        <v>12735</v>
      </c>
      <c r="Z712" t="s">
        <v>12736</v>
      </c>
      <c r="AA712" t="s">
        <v>12737</v>
      </c>
      <c r="AB712" t="s">
        <v>12738</v>
      </c>
      <c r="AC712" t="s">
        <v>12739</v>
      </c>
      <c r="AD712" t="s">
        <v>12740</v>
      </c>
      <c r="AE712" t="s">
        <v>12741</v>
      </c>
      <c r="AF712" t="s">
        <v>74</v>
      </c>
      <c r="AG712">
        <v>63</v>
      </c>
      <c r="AH712">
        <v>46</v>
      </c>
      <c r="AI712">
        <v>47</v>
      </c>
      <c r="AJ712">
        <v>1</v>
      </c>
      <c r="AK712">
        <v>13</v>
      </c>
      <c r="AL712" t="s">
        <v>1521</v>
      </c>
      <c r="AM712" t="s">
        <v>1522</v>
      </c>
      <c r="AN712" t="s">
        <v>1523</v>
      </c>
      <c r="AO712" t="s">
        <v>1524</v>
      </c>
      <c r="AP712" t="s">
        <v>1525</v>
      </c>
      <c r="AQ712" t="s">
        <v>74</v>
      </c>
      <c r="AR712" t="s">
        <v>1526</v>
      </c>
      <c r="AS712" t="s">
        <v>1527</v>
      </c>
      <c r="AT712" t="s">
        <v>12742</v>
      </c>
      <c r="AU712">
        <v>2010</v>
      </c>
      <c r="AV712">
        <v>115</v>
      </c>
      <c r="AW712" t="s">
        <v>74</v>
      </c>
      <c r="AX712" t="s">
        <v>74</v>
      </c>
      <c r="AY712" t="s">
        <v>74</v>
      </c>
      <c r="AZ712" t="s">
        <v>74</v>
      </c>
      <c r="BA712" t="s">
        <v>74</v>
      </c>
      <c r="BB712" t="s">
        <v>74</v>
      </c>
      <c r="BC712" t="s">
        <v>74</v>
      </c>
      <c r="BD712" t="s">
        <v>12743</v>
      </c>
      <c r="BE712" t="s">
        <v>12744</v>
      </c>
      <c r="BF712" t="str">
        <f>HYPERLINK("http://dx.doi.org/10.1029/2009JC005821","http://dx.doi.org/10.1029/2009JC005821")</f>
        <v>http://dx.doi.org/10.1029/2009JC005821</v>
      </c>
      <c r="BG712" t="s">
        <v>74</v>
      </c>
      <c r="BH712" t="s">
        <v>74</v>
      </c>
      <c r="BI712">
        <v>18</v>
      </c>
      <c r="BJ712" t="s">
        <v>1531</v>
      </c>
      <c r="BK712" t="s">
        <v>100</v>
      </c>
      <c r="BL712" t="s">
        <v>1531</v>
      </c>
      <c r="BM712" t="s">
        <v>12745</v>
      </c>
      <c r="BN712" t="s">
        <v>74</v>
      </c>
      <c r="BO712" t="s">
        <v>74</v>
      </c>
      <c r="BP712" t="s">
        <v>74</v>
      </c>
      <c r="BQ712" t="s">
        <v>74</v>
      </c>
      <c r="BR712" t="s">
        <v>104</v>
      </c>
      <c r="BS712" t="s">
        <v>12746</v>
      </c>
      <c r="BT712" t="str">
        <f>HYPERLINK("https%3A%2F%2Fwww.webofscience.com%2Fwos%2Fwoscc%2Ffull-record%2FWOS:000278735500002","View Full Record in Web of Science")</f>
        <v>View Full Record in Web of Science</v>
      </c>
    </row>
    <row r="713" spans="1:72" x14ac:dyDescent="0.15">
      <c r="A713" t="s">
        <v>72</v>
      </c>
      <c r="B713" t="s">
        <v>12747</v>
      </c>
      <c r="C713" t="s">
        <v>74</v>
      </c>
      <c r="D713" t="s">
        <v>74</v>
      </c>
      <c r="E713" t="s">
        <v>74</v>
      </c>
      <c r="F713" t="s">
        <v>12748</v>
      </c>
      <c r="G713" t="s">
        <v>74</v>
      </c>
      <c r="H713" t="s">
        <v>74</v>
      </c>
      <c r="I713" t="s">
        <v>12749</v>
      </c>
      <c r="J713" t="s">
        <v>12750</v>
      </c>
      <c r="K713" t="s">
        <v>74</v>
      </c>
      <c r="L713" t="s">
        <v>74</v>
      </c>
      <c r="M713" t="s">
        <v>78</v>
      </c>
      <c r="N713" t="s">
        <v>79</v>
      </c>
      <c r="O713" t="s">
        <v>74</v>
      </c>
      <c r="P713" t="s">
        <v>74</v>
      </c>
      <c r="Q713" t="s">
        <v>74</v>
      </c>
      <c r="R713" t="s">
        <v>74</v>
      </c>
      <c r="S713" t="s">
        <v>74</v>
      </c>
      <c r="T713" t="s">
        <v>12751</v>
      </c>
      <c r="U713" t="s">
        <v>12752</v>
      </c>
      <c r="V713" t="s">
        <v>12753</v>
      </c>
      <c r="W713" t="s">
        <v>12754</v>
      </c>
      <c r="X713" t="s">
        <v>12755</v>
      </c>
      <c r="Y713" t="s">
        <v>12756</v>
      </c>
      <c r="Z713" t="s">
        <v>12757</v>
      </c>
      <c r="AA713" t="s">
        <v>12758</v>
      </c>
      <c r="AB713" t="s">
        <v>12759</v>
      </c>
      <c r="AC713" t="s">
        <v>12760</v>
      </c>
      <c r="AD713" t="s">
        <v>12761</v>
      </c>
      <c r="AE713" t="s">
        <v>12762</v>
      </c>
      <c r="AF713" t="s">
        <v>74</v>
      </c>
      <c r="AG713">
        <v>36</v>
      </c>
      <c r="AH713">
        <v>73</v>
      </c>
      <c r="AI713">
        <v>75</v>
      </c>
      <c r="AJ713">
        <v>0</v>
      </c>
      <c r="AK713">
        <v>18</v>
      </c>
      <c r="AL713" t="s">
        <v>1670</v>
      </c>
      <c r="AM713" t="s">
        <v>1598</v>
      </c>
      <c r="AN713" t="s">
        <v>1671</v>
      </c>
      <c r="AO713" t="s">
        <v>12763</v>
      </c>
      <c r="AP713" t="s">
        <v>12764</v>
      </c>
      <c r="AQ713" t="s">
        <v>74</v>
      </c>
      <c r="AR713" t="s">
        <v>12765</v>
      </c>
      <c r="AS713" t="s">
        <v>12766</v>
      </c>
      <c r="AT713" t="s">
        <v>12767</v>
      </c>
      <c r="AU713">
        <v>2010</v>
      </c>
      <c r="AV713">
        <v>466</v>
      </c>
      <c r="AW713">
        <v>2118</v>
      </c>
      <c r="AX713" t="s">
        <v>74</v>
      </c>
      <c r="AY713" t="s">
        <v>74</v>
      </c>
      <c r="AZ713" t="s">
        <v>74</v>
      </c>
      <c r="BA713" t="s">
        <v>74</v>
      </c>
      <c r="BB713">
        <v>1597</v>
      </c>
      <c r="BC713">
        <v>1620</v>
      </c>
      <c r="BD713" t="s">
        <v>74</v>
      </c>
      <c r="BE713" t="s">
        <v>12768</v>
      </c>
      <c r="BF713" t="str">
        <f>HYPERLINK("http://dx.doi.org/10.1098/rspa.2009.0434","http://dx.doi.org/10.1098/rspa.2009.0434")</f>
        <v>http://dx.doi.org/10.1098/rspa.2009.0434</v>
      </c>
      <c r="BG713" t="s">
        <v>74</v>
      </c>
      <c r="BH713" t="s">
        <v>74</v>
      </c>
      <c r="BI713">
        <v>24</v>
      </c>
      <c r="BJ713" t="s">
        <v>444</v>
      </c>
      <c r="BK713" t="s">
        <v>100</v>
      </c>
      <c r="BL713" t="s">
        <v>445</v>
      </c>
      <c r="BM713" t="s">
        <v>12769</v>
      </c>
      <c r="BN713" t="s">
        <v>74</v>
      </c>
      <c r="BO713" t="s">
        <v>134</v>
      </c>
      <c r="BP713" t="s">
        <v>74</v>
      </c>
      <c r="BQ713" t="s">
        <v>74</v>
      </c>
      <c r="BR713" t="s">
        <v>104</v>
      </c>
      <c r="BS713" t="s">
        <v>12770</v>
      </c>
      <c r="BT713" t="str">
        <f>HYPERLINK("https%3A%2F%2Fwww.webofscience.com%2Fwos%2Fwoscc%2Ffull-record%2FWOS:000277038700002","View Full Record in Web of Science")</f>
        <v>View Full Record in Web of Science</v>
      </c>
    </row>
    <row r="714" spans="1:72" x14ac:dyDescent="0.15">
      <c r="A714" t="s">
        <v>72</v>
      </c>
      <c r="B714" t="s">
        <v>12771</v>
      </c>
      <c r="C714" t="s">
        <v>74</v>
      </c>
      <c r="D714" t="s">
        <v>74</v>
      </c>
      <c r="E714" t="s">
        <v>74</v>
      </c>
      <c r="F714" t="s">
        <v>12772</v>
      </c>
      <c r="G714" t="s">
        <v>74</v>
      </c>
      <c r="H714" t="s">
        <v>74</v>
      </c>
      <c r="I714" t="s">
        <v>12773</v>
      </c>
      <c r="J714" t="s">
        <v>1868</v>
      </c>
      <c r="K714" t="s">
        <v>74</v>
      </c>
      <c r="L714" t="s">
        <v>74</v>
      </c>
      <c r="M714" t="s">
        <v>78</v>
      </c>
      <c r="N714" t="s">
        <v>79</v>
      </c>
      <c r="O714" t="s">
        <v>74</v>
      </c>
      <c r="P714" t="s">
        <v>74</v>
      </c>
      <c r="Q714" t="s">
        <v>74</v>
      </c>
      <c r="R714" t="s">
        <v>74</v>
      </c>
      <c r="S714" t="s">
        <v>74</v>
      </c>
      <c r="T714" t="s">
        <v>74</v>
      </c>
      <c r="U714" t="s">
        <v>12774</v>
      </c>
      <c r="V714" t="s">
        <v>12775</v>
      </c>
      <c r="W714" t="s">
        <v>12776</v>
      </c>
      <c r="X714" t="s">
        <v>12777</v>
      </c>
      <c r="Y714" t="s">
        <v>12778</v>
      </c>
      <c r="Z714" t="s">
        <v>12779</v>
      </c>
      <c r="AA714" t="s">
        <v>12780</v>
      </c>
      <c r="AB714" t="s">
        <v>12781</v>
      </c>
      <c r="AC714" t="s">
        <v>12782</v>
      </c>
      <c r="AD714" t="s">
        <v>1572</v>
      </c>
      <c r="AE714" t="s">
        <v>12783</v>
      </c>
      <c r="AF714" t="s">
        <v>74</v>
      </c>
      <c r="AG714">
        <v>96</v>
      </c>
      <c r="AH714">
        <v>143</v>
      </c>
      <c r="AI714">
        <v>158</v>
      </c>
      <c r="AJ714">
        <v>1</v>
      </c>
      <c r="AK714">
        <v>55</v>
      </c>
      <c r="AL714" t="s">
        <v>1597</v>
      </c>
      <c r="AM714" t="s">
        <v>1598</v>
      </c>
      <c r="AN714" t="s">
        <v>1599</v>
      </c>
      <c r="AO714" t="s">
        <v>1880</v>
      </c>
      <c r="AP714" t="s">
        <v>74</v>
      </c>
      <c r="AQ714" t="s">
        <v>74</v>
      </c>
      <c r="AR714" t="s">
        <v>1868</v>
      </c>
      <c r="AS714" t="s">
        <v>1881</v>
      </c>
      <c r="AT714" t="s">
        <v>12784</v>
      </c>
      <c r="AU714">
        <v>2010</v>
      </c>
      <c r="AV714">
        <v>11</v>
      </c>
      <c r="AW714" t="s">
        <v>74</v>
      </c>
      <c r="AX714" t="s">
        <v>74</v>
      </c>
      <c r="AY714" t="s">
        <v>74</v>
      </c>
      <c r="AZ714" t="s">
        <v>74</v>
      </c>
      <c r="BA714" t="s">
        <v>74</v>
      </c>
      <c r="BB714" t="s">
        <v>74</v>
      </c>
      <c r="BC714" t="s">
        <v>74</v>
      </c>
      <c r="BD714">
        <v>362</v>
      </c>
      <c r="BE714" t="s">
        <v>12785</v>
      </c>
      <c r="BF714" t="str">
        <f>HYPERLINK("http://dx.doi.org/10.1186/1471-2164-11-362","http://dx.doi.org/10.1186/1471-2164-11-362")</f>
        <v>http://dx.doi.org/10.1186/1471-2164-11-362</v>
      </c>
      <c r="BG714" t="s">
        <v>74</v>
      </c>
      <c r="BH714" t="s">
        <v>74</v>
      </c>
      <c r="BI714">
        <v>14</v>
      </c>
      <c r="BJ714" t="s">
        <v>1884</v>
      </c>
      <c r="BK714" t="s">
        <v>100</v>
      </c>
      <c r="BL714" t="s">
        <v>1884</v>
      </c>
      <c r="BM714" t="s">
        <v>12786</v>
      </c>
      <c r="BN714">
        <v>20529341</v>
      </c>
      <c r="BO714" t="s">
        <v>12787</v>
      </c>
      <c r="BP714" t="s">
        <v>74</v>
      </c>
      <c r="BQ714" t="s">
        <v>74</v>
      </c>
      <c r="BR714" t="s">
        <v>104</v>
      </c>
      <c r="BS714" t="s">
        <v>12788</v>
      </c>
      <c r="BT714" t="str">
        <f>HYPERLINK("https%3A%2F%2Fwww.webofscience.com%2Fwos%2Fwoscc%2Ffull-record%2FWOS:000279868500003","View Full Record in Web of Science")</f>
        <v>View Full Record in Web of Science</v>
      </c>
    </row>
    <row r="715" spans="1:72" x14ac:dyDescent="0.15">
      <c r="A715" t="s">
        <v>72</v>
      </c>
      <c r="B715" t="s">
        <v>12789</v>
      </c>
      <c r="C715" t="s">
        <v>74</v>
      </c>
      <c r="D715" t="s">
        <v>74</v>
      </c>
      <c r="E715" t="s">
        <v>74</v>
      </c>
      <c r="F715" t="s">
        <v>12790</v>
      </c>
      <c r="G715" t="s">
        <v>74</v>
      </c>
      <c r="H715" t="s">
        <v>74</v>
      </c>
      <c r="I715" t="s">
        <v>12791</v>
      </c>
      <c r="J715" t="s">
        <v>12792</v>
      </c>
      <c r="K715" t="s">
        <v>74</v>
      </c>
      <c r="L715" t="s">
        <v>74</v>
      </c>
      <c r="M715" t="s">
        <v>78</v>
      </c>
      <c r="N715" t="s">
        <v>79</v>
      </c>
      <c r="O715" t="s">
        <v>74</v>
      </c>
      <c r="P715" t="s">
        <v>74</v>
      </c>
      <c r="Q715" t="s">
        <v>74</v>
      </c>
      <c r="R715" t="s">
        <v>74</v>
      </c>
      <c r="S715" t="s">
        <v>74</v>
      </c>
      <c r="T715" t="s">
        <v>12793</v>
      </c>
      <c r="U715" t="s">
        <v>12794</v>
      </c>
      <c r="V715" t="s">
        <v>12795</v>
      </c>
      <c r="W715" t="s">
        <v>12796</v>
      </c>
      <c r="X715" t="s">
        <v>12797</v>
      </c>
      <c r="Y715" t="s">
        <v>12798</v>
      </c>
      <c r="Z715" t="s">
        <v>12799</v>
      </c>
      <c r="AA715" t="s">
        <v>12800</v>
      </c>
      <c r="AB715" t="s">
        <v>12801</v>
      </c>
      <c r="AC715" t="s">
        <v>12802</v>
      </c>
      <c r="AD715" t="s">
        <v>12803</v>
      </c>
      <c r="AE715" t="s">
        <v>12804</v>
      </c>
      <c r="AF715" t="s">
        <v>74</v>
      </c>
      <c r="AG715">
        <v>15</v>
      </c>
      <c r="AH715">
        <v>62</v>
      </c>
      <c r="AI715">
        <v>65</v>
      </c>
      <c r="AJ715">
        <v>1</v>
      </c>
      <c r="AK715">
        <v>59</v>
      </c>
      <c r="AL715" t="s">
        <v>1670</v>
      </c>
      <c r="AM715" t="s">
        <v>1598</v>
      </c>
      <c r="AN715" t="s">
        <v>1671</v>
      </c>
      <c r="AO715" t="s">
        <v>12805</v>
      </c>
      <c r="AP715" t="s">
        <v>12806</v>
      </c>
      <c r="AQ715" t="s">
        <v>74</v>
      </c>
      <c r="AR715" t="s">
        <v>12807</v>
      </c>
      <c r="AS715" t="s">
        <v>12808</v>
      </c>
      <c r="AT715" t="s">
        <v>12784</v>
      </c>
      <c r="AU715">
        <v>2010</v>
      </c>
      <c r="AV715">
        <v>277</v>
      </c>
      <c r="AW715">
        <v>1688</v>
      </c>
      <c r="AX715" t="s">
        <v>74</v>
      </c>
      <c r="AY715" t="s">
        <v>74</v>
      </c>
      <c r="AZ715" t="s">
        <v>74</v>
      </c>
      <c r="BA715" t="s">
        <v>74</v>
      </c>
      <c r="BB715">
        <v>1643</v>
      </c>
      <c r="BC715">
        <v>1650</v>
      </c>
      <c r="BD715" t="s">
        <v>74</v>
      </c>
      <c r="BE715" t="s">
        <v>12809</v>
      </c>
      <c r="BF715" t="str">
        <f>HYPERLINK("http://dx.doi.org/10.1098/rspb.2009.2202","http://dx.doi.org/10.1098/rspb.2009.2202")</f>
        <v>http://dx.doi.org/10.1098/rspb.2009.2202</v>
      </c>
      <c r="BG715" t="s">
        <v>74</v>
      </c>
      <c r="BH715" t="s">
        <v>74</v>
      </c>
      <c r="BI715">
        <v>8</v>
      </c>
      <c r="BJ715" t="s">
        <v>1677</v>
      </c>
      <c r="BK715" t="s">
        <v>100</v>
      </c>
      <c r="BL715" t="s">
        <v>1678</v>
      </c>
      <c r="BM715" t="s">
        <v>12810</v>
      </c>
      <c r="BN715">
        <v>20129982</v>
      </c>
      <c r="BO715" t="s">
        <v>1533</v>
      </c>
      <c r="BP715" t="s">
        <v>74</v>
      </c>
      <c r="BQ715" t="s">
        <v>74</v>
      </c>
      <c r="BR715" t="s">
        <v>104</v>
      </c>
      <c r="BS715" t="s">
        <v>12811</v>
      </c>
      <c r="BT715" t="str">
        <f>HYPERLINK("https%3A%2F%2Fwww.webofscience.com%2Fwos%2Fwoscc%2Ffull-record%2FWOS:000276997700004","View Full Record in Web of Science")</f>
        <v>View Full Record in Web of Science</v>
      </c>
    </row>
    <row r="716" spans="1:72" x14ac:dyDescent="0.15">
      <c r="A716" t="s">
        <v>72</v>
      </c>
      <c r="B716" t="s">
        <v>12812</v>
      </c>
      <c r="C716" t="s">
        <v>74</v>
      </c>
      <c r="D716" t="s">
        <v>74</v>
      </c>
      <c r="E716" t="s">
        <v>74</v>
      </c>
      <c r="F716" t="s">
        <v>12813</v>
      </c>
      <c r="G716" t="s">
        <v>74</v>
      </c>
      <c r="H716" t="s">
        <v>74</v>
      </c>
      <c r="I716" t="s">
        <v>12814</v>
      </c>
      <c r="J716" t="s">
        <v>4634</v>
      </c>
      <c r="K716" t="s">
        <v>74</v>
      </c>
      <c r="L716" t="s">
        <v>74</v>
      </c>
      <c r="M716" t="s">
        <v>78</v>
      </c>
      <c r="N716" t="s">
        <v>79</v>
      </c>
      <c r="O716" t="s">
        <v>74</v>
      </c>
      <c r="P716" t="s">
        <v>74</v>
      </c>
      <c r="Q716" t="s">
        <v>74</v>
      </c>
      <c r="R716" t="s">
        <v>74</v>
      </c>
      <c r="S716" t="s">
        <v>74</v>
      </c>
      <c r="T716" t="s">
        <v>74</v>
      </c>
      <c r="U716" t="s">
        <v>12815</v>
      </c>
      <c r="V716" t="s">
        <v>12816</v>
      </c>
      <c r="W716" t="s">
        <v>12817</v>
      </c>
      <c r="X716" t="s">
        <v>12818</v>
      </c>
      <c r="Y716" t="s">
        <v>12819</v>
      </c>
      <c r="Z716" t="s">
        <v>12820</v>
      </c>
      <c r="AA716" t="s">
        <v>12821</v>
      </c>
      <c r="AB716" t="s">
        <v>12822</v>
      </c>
      <c r="AC716" t="s">
        <v>12823</v>
      </c>
      <c r="AD716" t="s">
        <v>12823</v>
      </c>
      <c r="AE716" t="s">
        <v>12824</v>
      </c>
      <c r="AF716" t="s">
        <v>74</v>
      </c>
      <c r="AG716">
        <v>55</v>
      </c>
      <c r="AH716">
        <v>42</v>
      </c>
      <c r="AI716">
        <v>55</v>
      </c>
      <c r="AJ716">
        <v>0</v>
      </c>
      <c r="AK716">
        <v>4</v>
      </c>
      <c r="AL716" t="s">
        <v>1521</v>
      </c>
      <c r="AM716" t="s">
        <v>1522</v>
      </c>
      <c r="AN716" t="s">
        <v>1523</v>
      </c>
      <c r="AO716" t="s">
        <v>4646</v>
      </c>
      <c r="AP716" t="s">
        <v>4647</v>
      </c>
      <c r="AQ716" t="s">
        <v>74</v>
      </c>
      <c r="AR716" t="s">
        <v>4648</v>
      </c>
      <c r="AS716" t="s">
        <v>4649</v>
      </c>
      <c r="AT716" t="s">
        <v>12825</v>
      </c>
      <c r="AU716">
        <v>2010</v>
      </c>
      <c r="AV716">
        <v>115</v>
      </c>
      <c r="AW716" t="s">
        <v>74</v>
      </c>
      <c r="AX716" t="s">
        <v>74</v>
      </c>
      <c r="AY716" t="s">
        <v>74</v>
      </c>
      <c r="AZ716" t="s">
        <v>74</v>
      </c>
      <c r="BA716" t="s">
        <v>74</v>
      </c>
      <c r="BB716" t="s">
        <v>74</v>
      </c>
      <c r="BC716" t="s">
        <v>74</v>
      </c>
      <c r="BD716" t="s">
        <v>12826</v>
      </c>
      <c r="BE716" t="s">
        <v>12827</v>
      </c>
      <c r="BF716" t="str">
        <f>HYPERLINK("http://dx.doi.org/10.1029/2009JA014716","http://dx.doi.org/10.1029/2009JA014716")</f>
        <v>http://dx.doi.org/10.1029/2009JA014716</v>
      </c>
      <c r="BG716" t="s">
        <v>74</v>
      </c>
      <c r="BH716" t="s">
        <v>74</v>
      </c>
      <c r="BI716">
        <v>13</v>
      </c>
      <c r="BJ716" t="s">
        <v>1805</v>
      </c>
      <c r="BK716" t="s">
        <v>100</v>
      </c>
      <c r="BL716" t="s">
        <v>1805</v>
      </c>
      <c r="BM716" t="s">
        <v>12828</v>
      </c>
      <c r="BN716" t="s">
        <v>74</v>
      </c>
      <c r="BO716" t="s">
        <v>394</v>
      </c>
      <c r="BP716" t="s">
        <v>74</v>
      </c>
      <c r="BQ716" t="s">
        <v>74</v>
      </c>
      <c r="BR716" t="s">
        <v>104</v>
      </c>
      <c r="BS716" t="s">
        <v>12829</v>
      </c>
      <c r="BT716" t="str">
        <f>HYPERLINK("https%3A%2F%2Fwww.webofscience.com%2Fwos%2Fwoscc%2Ffull-record%2FWOS:000278455700001","View Full Record in Web of Science")</f>
        <v>View Full Record in Web of Science</v>
      </c>
    </row>
    <row r="717" spans="1:72" x14ac:dyDescent="0.15">
      <c r="A717" t="s">
        <v>72</v>
      </c>
      <c r="B717" t="s">
        <v>12830</v>
      </c>
      <c r="C717" t="s">
        <v>74</v>
      </c>
      <c r="D717" t="s">
        <v>74</v>
      </c>
      <c r="E717" t="s">
        <v>74</v>
      </c>
      <c r="F717" t="s">
        <v>12831</v>
      </c>
      <c r="G717" t="s">
        <v>74</v>
      </c>
      <c r="H717" t="s">
        <v>74</v>
      </c>
      <c r="I717" t="s">
        <v>12832</v>
      </c>
      <c r="J717" t="s">
        <v>4657</v>
      </c>
      <c r="K717" t="s">
        <v>74</v>
      </c>
      <c r="L717" t="s">
        <v>74</v>
      </c>
      <c r="M717" t="s">
        <v>78</v>
      </c>
      <c r="N717" t="s">
        <v>79</v>
      </c>
      <c r="O717" t="s">
        <v>74</v>
      </c>
      <c r="P717" t="s">
        <v>74</v>
      </c>
      <c r="Q717" t="s">
        <v>74</v>
      </c>
      <c r="R717" t="s">
        <v>74</v>
      </c>
      <c r="S717" t="s">
        <v>74</v>
      </c>
      <c r="T717" t="s">
        <v>74</v>
      </c>
      <c r="U717" t="s">
        <v>12833</v>
      </c>
      <c r="V717" t="s">
        <v>12834</v>
      </c>
      <c r="W717" t="s">
        <v>12835</v>
      </c>
      <c r="X717" t="s">
        <v>12836</v>
      </c>
      <c r="Y717" t="s">
        <v>12837</v>
      </c>
      <c r="Z717" t="s">
        <v>12838</v>
      </c>
      <c r="AA717" t="s">
        <v>12839</v>
      </c>
      <c r="AB717" t="s">
        <v>12840</v>
      </c>
      <c r="AC717" t="s">
        <v>12841</v>
      </c>
      <c r="AD717" t="s">
        <v>12842</v>
      </c>
      <c r="AE717" t="s">
        <v>12843</v>
      </c>
      <c r="AF717" t="s">
        <v>74</v>
      </c>
      <c r="AG717">
        <v>109</v>
      </c>
      <c r="AH717">
        <v>53</v>
      </c>
      <c r="AI717">
        <v>57</v>
      </c>
      <c r="AJ717">
        <v>1</v>
      </c>
      <c r="AK717">
        <v>64</v>
      </c>
      <c r="AL717" t="s">
        <v>4669</v>
      </c>
      <c r="AM717" t="s">
        <v>4670</v>
      </c>
      <c r="AN717" t="s">
        <v>4671</v>
      </c>
      <c r="AO717" t="s">
        <v>4672</v>
      </c>
      <c r="AP717" t="s">
        <v>74</v>
      </c>
      <c r="AQ717" t="s">
        <v>74</v>
      </c>
      <c r="AR717" t="s">
        <v>4657</v>
      </c>
      <c r="AS717" t="s">
        <v>4673</v>
      </c>
      <c r="AT717" t="s">
        <v>12844</v>
      </c>
      <c r="AU717">
        <v>2010</v>
      </c>
      <c r="AV717">
        <v>5</v>
      </c>
      <c r="AW717">
        <v>6</v>
      </c>
      <c r="AX717" t="s">
        <v>74</v>
      </c>
      <c r="AY717" t="s">
        <v>74</v>
      </c>
      <c r="AZ717" t="s">
        <v>74</v>
      </c>
      <c r="BA717" t="s">
        <v>74</v>
      </c>
      <c r="BB717" t="s">
        <v>74</v>
      </c>
      <c r="BC717" t="s">
        <v>74</v>
      </c>
      <c r="BD717" t="s">
        <v>12845</v>
      </c>
      <c r="BE717" t="s">
        <v>12846</v>
      </c>
      <c r="BF717" t="str">
        <f>HYPERLINK("http://dx.doi.org/10.1371/journal.pone.0010960","http://dx.doi.org/10.1371/journal.pone.0010960")</f>
        <v>http://dx.doi.org/10.1371/journal.pone.0010960</v>
      </c>
      <c r="BG717" t="s">
        <v>74</v>
      </c>
      <c r="BH717" t="s">
        <v>74</v>
      </c>
      <c r="BI717">
        <v>14</v>
      </c>
      <c r="BJ717" t="s">
        <v>444</v>
      </c>
      <c r="BK717" t="s">
        <v>100</v>
      </c>
      <c r="BL717" t="s">
        <v>445</v>
      </c>
      <c r="BM717" t="s">
        <v>12847</v>
      </c>
      <c r="BN717">
        <v>20532034</v>
      </c>
      <c r="BO717" t="s">
        <v>12848</v>
      </c>
      <c r="BP717" t="s">
        <v>74</v>
      </c>
      <c r="BQ717" t="s">
        <v>74</v>
      </c>
      <c r="BR717" t="s">
        <v>104</v>
      </c>
      <c r="BS717" t="s">
        <v>12849</v>
      </c>
      <c r="BT717" t="str">
        <f>HYPERLINK("https%3A%2F%2Fwww.webofscience.com%2Fwos%2Fwoscc%2Ffull-record%2FWOS:000278380500006","View Full Record in Web of Science")</f>
        <v>View Full Record in Web of Science</v>
      </c>
    </row>
    <row r="718" spans="1:72" x14ac:dyDescent="0.15">
      <c r="A718" t="s">
        <v>72</v>
      </c>
      <c r="B718" t="s">
        <v>12850</v>
      </c>
      <c r="C718" t="s">
        <v>74</v>
      </c>
      <c r="D718" t="s">
        <v>74</v>
      </c>
      <c r="E718" t="s">
        <v>74</v>
      </c>
      <c r="F718" t="s">
        <v>12851</v>
      </c>
      <c r="G718" t="s">
        <v>74</v>
      </c>
      <c r="H718" t="s">
        <v>74</v>
      </c>
      <c r="I718" t="s">
        <v>12852</v>
      </c>
      <c r="J718" t="s">
        <v>4882</v>
      </c>
      <c r="K718" t="s">
        <v>74</v>
      </c>
      <c r="L718" t="s">
        <v>74</v>
      </c>
      <c r="M718" t="s">
        <v>78</v>
      </c>
      <c r="N718" t="s">
        <v>79</v>
      </c>
      <c r="O718" t="s">
        <v>74</v>
      </c>
      <c r="P718" t="s">
        <v>74</v>
      </c>
      <c r="Q718" t="s">
        <v>74</v>
      </c>
      <c r="R718" t="s">
        <v>74</v>
      </c>
      <c r="S718" t="s">
        <v>74</v>
      </c>
      <c r="T718" t="s">
        <v>12853</v>
      </c>
      <c r="U718" t="s">
        <v>12854</v>
      </c>
      <c r="V718" t="s">
        <v>12855</v>
      </c>
      <c r="W718" t="s">
        <v>12856</v>
      </c>
      <c r="X718" t="s">
        <v>12857</v>
      </c>
      <c r="Y718" t="s">
        <v>12858</v>
      </c>
      <c r="Z718" t="s">
        <v>12859</v>
      </c>
      <c r="AA718" t="s">
        <v>12860</v>
      </c>
      <c r="AB718" t="s">
        <v>74</v>
      </c>
      <c r="AC718" t="s">
        <v>12861</v>
      </c>
      <c r="AD718" t="s">
        <v>12861</v>
      </c>
      <c r="AE718" t="s">
        <v>12862</v>
      </c>
      <c r="AF718" t="s">
        <v>74</v>
      </c>
      <c r="AG718">
        <v>62</v>
      </c>
      <c r="AH718">
        <v>9</v>
      </c>
      <c r="AI718">
        <v>9</v>
      </c>
      <c r="AJ718">
        <v>0</v>
      </c>
      <c r="AK718">
        <v>0</v>
      </c>
      <c r="AL718" t="s">
        <v>4895</v>
      </c>
      <c r="AM718" t="s">
        <v>4896</v>
      </c>
      <c r="AN718" t="s">
        <v>4897</v>
      </c>
      <c r="AO718" t="s">
        <v>4898</v>
      </c>
      <c r="AP718" t="s">
        <v>4899</v>
      </c>
      <c r="AQ718" t="s">
        <v>74</v>
      </c>
      <c r="AR718" t="s">
        <v>4882</v>
      </c>
      <c r="AS718" t="s">
        <v>4900</v>
      </c>
      <c r="AT718" t="s">
        <v>12844</v>
      </c>
      <c r="AU718">
        <v>2010</v>
      </c>
      <c r="AV718" t="s">
        <v>74</v>
      </c>
      <c r="AW718">
        <v>2494</v>
      </c>
      <c r="AX718" t="s">
        <v>74</v>
      </c>
      <c r="AY718" t="s">
        <v>74</v>
      </c>
      <c r="AZ718" t="s">
        <v>74</v>
      </c>
      <c r="BA718" t="s">
        <v>74</v>
      </c>
      <c r="BB718">
        <v>29</v>
      </c>
      <c r="BC718">
        <v>44</v>
      </c>
      <c r="BD718" t="s">
        <v>74</v>
      </c>
      <c r="BE718" t="s">
        <v>74</v>
      </c>
      <c r="BF718" t="s">
        <v>74</v>
      </c>
      <c r="BG718" t="s">
        <v>74</v>
      </c>
      <c r="BH718" t="s">
        <v>74</v>
      </c>
      <c r="BI718">
        <v>16</v>
      </c>
      <c r="BJ718" t="s">
        <v>492</v>
      </c>
      <c r="BK718" t="s">
        <v>100</v>
      </c>
      <c r="BL718" t="s">
        <v>492</v>
      </c>
      <c r="BM718" t="s">
        <v>12863</v>
      </c>
      <c r="BN718" t="s">
        <v>74</v>
      </c>
      <c r="BO718" t="s">
        <v>74</v>
      </c>
      <c r="BP718" t="s">
        <v>74</v>
      </c>
      <c r="BQ718" t="s">
        <v>74</v>
      </c>
      <c r="BR718" t="s">
        <v>104</v>
      </c>
      <c r="BS718" t="s">
        <v>12864</v>
      </c>
      <c r="BT718" t="str">
        <f>HYPERLINK("https%3A%2F%2Fwww.webofscience.com%2Fwos%2Fwoscc%2Ffull-record%2FWOS:000278485400002","View Full Record in Web of Science")</f>
        <v>View Full Record in Web of Science</v>
      </c>
    </row>
    <row r="719" spans="1:72" x14ac:dyDescent="0.15">
      <c r="A719" t="s">
        <v>72</v>
      </c>
      <c r="B719" t="s">
        <v>12865</v>
      </c>
      <c r="C719" t="s">
        <v>74</v>
      </c>
      <c r="D719" t="s">
        <v>74</v>
      </c>
      <c r="E719" t="s">
        <v>74</v>
      </c>
      <c r="F719" t="s">
        <v>12866</v>
      </c>
      <c r="G719" t="s">
        <v>74</v>
      </c>
      <c r="H719" t="s">
        <v>74</v>
      </c>
      <c r="I719" t="s">
        <v>12867</v>
      </c>
      <c r="J719" t="s">
        <v>1702</v>
      </c>
      <c r="K719" t="s">
        <v>74</v>
      </c>
      <c r="L719" t="s">
        <v>74</v>
      </c>
      <c r="M719" t="s">
        <v>78</v>
      </c>
      <c r="N719" t="s">
        <v>79</v>
      </c>
      <c r="O719" t="s">
        <v>74</v>
      </c>
      <c r="P719" t="s">
        <v>74</v>
      </c>
      <c r="Q719" t="s">
        <v>74</v>
      </c>
      <c r="R719" t="s">
        <v>74</v>
      </c>
      <c r="S719" t="s">
        <v>74</v>
      </c>
      <c r="T719" t="s">
        <v>74</v>
      </c>
      <c r="U719" t="s">
        <v>12868</v>
      </c>
      <c r="V719" t="s">
        <v>12869</v>
      </c>
      <c r="W719" t="s">
        <v>12870</v>
      </c>
      <c r="X719" t="s">
        <v>12871</v>
      </c>
      <c r="Y719" t="s">
        <v>12872</v>
      </c>
      <c r="Z719" t="s">
        <v>12873</v>
      </c>
      <c r="AA719" t="s">
        <v>12874</v>
      </c>
      <c r="AB719" t="s">
        <v>12875</v>
      </c>
      <c r="AC719" t="s">
        <v>12876</v>
      </c>
      <c r="AD719" t="s">
        <v>12877</v>
      </c>
      <c r="AE719" t="s">
        <v>12878</v>
      </c>
      <c r="AF719" t="s">
        <v>74</v>
      </c>
      <c r="AG719">
        <v>48</v>
      </c>
      <c r="AH719">
        <v>28</v>
      </c>
      <c r="AI719">
        <v>36</v>
      </c>
      <c r="AJ719">
        <v>2</v>
      </c>
      <c r="AK719">
        <v>22</v>
      </c>
      <c r="AL719" t="s">
        <v>1521</v>
      </c>
      <c r="AM719" t="s">
        <v>1522</v>
      </c>
      <c r="AN719" t="s">
        <v>1523</v>
      </c>
      <c r="AO719" t="s">
        <v>1714</v>
      </c>
      <c r="AP719" t="s">
        <v>1715</v>
      </c>
      <c r="AQ719" t="s">
        <v>74</v>
      </c>
      <c r="AR719" t="s">
        <v>1716</v>
      </c>
      <c r="AS719" t="s">
        <v>1717</v>
      </c>
      <c r="AT719" t="s">
        <v>12879</v>
      </c>
      <c r="AU719">
        <v>2010</v>
      </c>
      <c r="AV719">
        <v>115</v>
      </c>
      <c r="AW719" t="s">
        <v>74</v>
      </c>
      <c r="AX719" t="s">
        <v>74</v>
      </c>
      <c r="AY719" t="s">
        <v>74</v>
      </c>
      <c r="AZ719" t="s">
        <v>74</v>
      </c>
      <c r="BA719" t="s">
        <v>74</v>
      </c>
      <c r="BB719" t="s">
        <v>74</v>
      </c>
      <c r="BC719" t="s">
        <v>74</v>
      </c>
      <c r="BD719" t="s">
        <v>12880</v>
      </c>
      <c r="BE719" t="s">
        <v>12881</v>
      </c>
      <c r="BF719" t="str">
        <f>HYPERLINK("http://dx.doi.org/10.1029/2009JD012892","http://dx.doi.org/10.1029/2009JD012892")</f>
        <v>http://dx.doi.org/10.1029/2009JD012892</v>
      </c>
      <c r="BG719" t="s">
        <v>74</v>
      </c>
      <c r="BH719" t="s">
        <v>74</v>
      </c>
      <c r="BI719">
        <v>11</v>
      </c>
      <c r="BJ719" t="s">
        <v>319</v>
      </c>
      <c r="BK719" t="s">
        <v>100</v>
      </c>
      <c r="BL719" t="s">
        <v>319</v>
      </c>
      <c r="BM719" t="s">
        <v>12882</v>
      </c>
      <c r="BN719" t="s">
        <v>74</v>
      </c>
      <c r="BO719" t="s">
        <v>74</v>
      </c>
      <c r="BP719" t="s">
        <v>74</v>
      </c>
      <c r="BQ719" t="s">
        <v>74</v>
      </c>
      <c r="BR719" t="s">
        <v>104</v>
      </c>
      <c r="BS719" t="s">
        <v>12883</v>
      </c>
      <c r="BT719" t="str">
        <f>HYPERLINK("https%3A%2F%2Fwww.webofscience.com%2Fwos%2Fwoscc%2Ffull-record%2FWOS:000278453400005","View Full Record in Web of Science")</f>
        <v>View Full Record in Web of Science</v>
      </c>
    </row>
    <row r="720" spans="1:72" x14ac:dyDescent="0.15">
      <c r="A720" t="s">
        <v>72</v>
      </c>
      <c r="B720" t="s">
        <v>1741</v>
      </c>
      <c r="C720" t="s">
        <v>74</v>
      </c>
      <c r="D720" t="s">
        <v>74</v>
      </c>
      <c r="E720" t="s">
        <v>74</v>
      </c>
      <c r="F720" t="s">
        <v>1742</v>
      </c>
      <c r="G720" t="s">
        <v>74</v>
      </c>
      <c r="H720" t="s">
        <v>74</v>
      </c>
      <c r="I720" t="s">
        <v>12884</v>
      </c>
      <c r="J720" t="s">
        <v>1509</v>
      </c>
      <c r="K720" t="s">
        <v>74</v>
      </c>
      <c r="L720" t="s">
        <v>74</v>
      </c>
      <c r="M720" t="s">
        <v>78</v>
      </c>
      <c r="N720" t="s">
        <v>79</v>
      </c>
      <c r="O720" t="s">
        <v>74</v>
      </c>
      <c r="P720" t="s">
        <v>74</v>
      </c>
      <c r="Q720" t="s">
        <v>74</v>
      </c>
      <c r="R720" t="s">
        <v>74</v>
      </c>
      <c r="S720" t="s">
        <v>74</v>
      </c>
      <c r="T720" t="s">
        <v>74</v>
      </c>
      <c r="U720" t="s">
        <v>12885</v>
      </c>
      <c r="V720" t="s">
        <v>12886</v>
      </c>
      <c r="W720" t="s">
        <v>12887</v>
      </c>
      <c r="X720" t="s">
        <v>1747</v>
      </c>
      <c r="Y720" t="s">
        <v>12888</v>
      </c>
      <c r="Z720" t="s">
        <v>1749</v>
      </c>
      <c r="AA720" t="s">
        <v>1750</v>
      </c>
      <c r="AB720" t="s">
        <v>1751</v>
      </c>
      <c r="AC720" t="s">
        <v>12889</v>
      </c>
      <c r="AD720" t="s">
        <v>12890</v>
      </c>
      <c r="AE720" t="s">
        <v>12891</v>
      </c>
      <c r="AF720" t="s">
        <v>74</v>
      </c>
      <c r="AG720">
        <v>66</v>
      </c>
      <c r="AH720">
        <v>37</v>
      </c>
      <c r="AI720">
        <v>43</v>
      </c>
      <c r="AJ720">
        <v>0</v>
      </c>
      <c r="AK720">
        <v>19</v>
      </c>
      <c r="AL720" t="s">
        <v>1521</v>
      </c>
      <c r="AM720" t="s">
        <v>1522</v>
      </c>
      <c r="AN720" t="s">
        <v>1523</v>
      </c>
      <c r="AO720" t="s">
        <v>1524</v>
      </c>
      <c r="AP720" t="s">
        <v>1525</v>
      </c>
      <c r="AQ720" t="s">
        <v>74</v>
      </c>
      <c r="AR720" t="s">
        <v>1526</v>
      </c>
      <c r="AS720" t="s">
        <v>1527</v>
      </c>
      <c r="AT720" t="s">
        <v>12879</v>
      </c>
      <c r="AU720">
        <v>2010</v>
      </c>
      <c r="AV720">
        <v>115</v>
      </c>
      <c r="AW720" t="s">
        <v>74</v>
      </c>
      <c r="AX720" t="s">
        <v>74</v>
      </c>
      <c r="AY720" t="s">
        <v>74</v>
      </c>
      <c r="AZ720" t="s">
        <v>74</v>
      </c>
      <c r="BA720" t="s">
        <v>74</v>
      </c>
      <c r="BB720" t="s">
        <v>74</v>
      </c>
      <c r="BC720" t="s">
        <v>74</v>
      </c>
      <c r="BD720" t="s">
        <v>12892</v>
      </c>
      <c r="BE720" t="s">
        <v>12893</v>
      </c>
      <c r="BF720" t="str">
        <f>HYPERLINK("http://dx.doi.org/10.1029/2009JC005347","http://dx.doi.org/10.1029/2009JC005347")</f>
        <v>http://dx.doi.org/10.1029/2009JC005347</v>
      </c>
      <c r="BG720" t="s">
        <v>74</v>
      </c>
      <c r="BH720" t="s">
        <v>74</v>
      </c>
      <c r="BI720">
        <v>18</v>
      </c>
      <c r="BJ720" t="s">
        <v>1531</v>
      </c>
      <c r="BK720" t="s">
        <v>100</v>
      </c>
      <c r="BL720" t="s">
        <v>1531</v>
      </c>
      <c r="BM720" t="s">
        <v>12894</v>
      </c>
      <c r="BN720" t="s">
        <v>74</v>
      </c>
      <c r="BO720" t="s">
        <v>74</v>
      </c>
      <c r="BP720" t="s">
        <v>74</v>
      </c>
      <c r="BQ720" t="s">
        <v>74</v>
      </c>
      <c r="BR720" t="s">
        <v>104</v>
      </c>
      <c r="BS720" t="s">
        <v>12895</v>
      </c>
      <c r="BT720" t="str">
        <f>HYPERLINK("https%3A%2F%2Fwww.webofscience.com%2Fwos%2Fwoscc%2Ffull-record%2FWOS:000278454300001","View Full Record in Web of Science")</f>
        <v>View Full Record in Web of Science</v>
      </c>
    </row>
    <row r="721" spans="1:72" x14ac:dyDescent="0.15">
      <c r="A721" t="s">
        <v>72</v>
      </c>
      <c r="B721" t="s">
        <v>12896</v>
      </c>
      <c r="C721" t="s">
        <v>74</v>
      </c>
      <c r="D721" t="s">
        <v>74</v>
      </c>
      <c r="E721" t="s">
        <v>74</v>
      </c>
      <c r="F721" t="s">
        <v>12897</v>
      </c>
      <c r="G721" t="s">
        <v>74</v>
      </c>
      <c r="H721" t="s">
        <v>74</v>
      </c>
      <c r="I721" t="s">
        <v>12898</v>
      </c>
      <c r="J721" t="s">
        <v>1538</v>
      </c>
      <c r="K721" t="s">
        <v>74</v>
      </c>
      <c r="L721" t="s">
        <v>74</v>
      </c>
      <c r="M721" t="s">
        <v>78</v>
      </c>
      <c r="N721" t="s">
        <v>79</v>
      </c>
      <c r="O721" t="s">
        <v>74</v>
      </c>
      <c r="P721" t="s">
        <v>74</v>
      </c>
      <c r="Q721" t="s">
        <v>74</v>
      </c>
      <c r="R721" t="s">
        <v>74</v>
      </c>
      <c r="S721" t="s">
        <v>74</v>
      </c>
      <c r="T721" t="s">
        <v>74</v>
      </c>
      <c r="U721" t="s">
        <v>12899</v>
      </c>
      <c r="V721" t="s">
        <v>12900</v>
      </c>
      <c r="W721" t="s">
        <v>12901</v>
      </c>
      <c r="X721" t="s">
        <v>12902</v>
      </c>
      <c r="Y721" t="s">
        <v>12903</v>
      </c>
      <c r="Z721" t="s">
        <v>12904</v>
      </c>
      <c r="AA721" t="s">
        <v>12905</v>
      </c>
      <c r="AB721" t="s">
        <v>12906</v>
      </c>
      <c r="AC721" t="s">
        <v>12907</v>
      </c>
      <c r="AD721" t="s">
        <v>12908</v>
      </c>
      <c r="AE721" t="s">
        <v>12909</v>
      </c>
      <c r="AF721" t="s">
        <v>74</v>
      </c>
      <c r="AG721">
        <v>12</v>
      </c>
      <c r="AH721">
        <v>37</v>
      </c>
      <c r="AI721">
        <v>40</v>
      </c>
      <c r="AJ721">
        <v>0</v>
      </c>
      <c r="AK721">
        <v>28</v>
      </c>
      <c r="AL721" t="s">
        <v>1521</v>
      </c>
      <c r="AM721" t="s">
        <v>1522</v>
      </c>
      <c r="AN721" t="s">
        <v>1523</v>
      </c>
      <c r="AO721" t="s">
        <v>1550</v>
      </c>
      <c r="AP721" t="s">
        <v>1551</v>
      </c>
      <c r="AQ721" t="s">
        <v>74</v>
      </c>
      <c r="AR721" t="s">
        <v>1552</v>
      </c>
      <c r="AS721" t="s">
        <v>1553</v>
      </c>
      <c r="AT721" t="s">
        <v>12910</v>
      </c>
      <c r="AU721">
        <v>2010</v>
      </c>
      <c r="AV721">
        <v>37</v>
      </c>
      <c r="AW721" t="s">
        <v>74</v>
      </c>
      <c r="AX721" t="s">
        <v>74</v>
      </c>
      <c r="AY721" t="s">
        <v>74</v>
      </c>
      <c r="AZ721" t="s">
        <v>74</v>
      </c>
      <c r="BA721" t="s">
        <v>74</v>
      </c>
      <c r="BB721" t="s">
        <v>74</v>
      </c>
      <c r="BC721" t="s">
        <v>74</v>
      </c>
      <c r="BD721" t="s">
        <v>12911</v>
      </c>
      <c r="BE721" t="s">
        <v>12912</v>
      </c>
      <c r="BF721" t="str">
        <f>HYPERLINK("http://dx.doi.org/10.1029/2010GL042884","http://dx.doi.org/10.1029/2010GL042884")</f>
        <v>http://dx.doi.org/10.1029/2010GL042884</v>
      </c>
      <c r="BG721" t="s">
        <v>74</v>
      </c>
      <c r="BH721" t="s">
        <v>74</v>
      </c>
      <c r="BI721">
        <v>5</v>
      </c>
      <c r="BJ721" t="s">
        <v>1194</v>
      </c>
      <c r="BK721" t="s">
        <v>100</v>
      </c>
      <c r="BL721" t="s">
        <v>807</v>
      </c>
      <c r="BM721" t="s">
        <v>12913</v>
      </c>
      <c r="BN721" t="s">
        <v>74</v>
      </c>
      <c r="BO721" t="s">
        <v>7180</v>
      </c>
      <c r="BP721" t="s">
        <v>74</v>
      </c>
      <c r="BQ721" t="s">
        <v>74</v>
      </c>
      <c r="BR721" t="s">
        <v>104</v>
      </c>
      <c r="BS721" t="s">
        <v>12914</v>
      </c>
      <c r="BT721" t="str">
        <f>HYPERLINK("https%3A%2F%2Fwww.webofscience.com%2Fwos%2Fwoscc%2Ffull-record%2FWOS:000278452900004","View Full Record in Web of Science")</f>
        <v>View Full Record in Web of Science</v>
      </c>
    </row>
    <row r="722" spans="1:72" x14ac:dyDescent="0.15">
      <c r="A722" t="s">
        <v>72</v>
      </c>
      <c r="B722" t="s">
        <v>12915</v>
      </c>
      <c r="C722" t="s">
        <v>74</v>
      </c>
      <c r="D722" t="s">
        <v>74</v>
      </c>
      <c r="E722" t="s">
        <v>74</v>
      </c>
      <c r="F722" t="s">
        <v>12916</v>
      </c>
      <c r="G722" t="s">
        <v>74</v>
      </c>
      <c r="H722" t="s">
        <v>74</v>
      </c>
      <c r="I722" t="s">
        <v>12917</v>
      </c>
      <c r="J722" t="s">
        <v>12918</v>
      </c>
      <c r="K722" t="s">
        <v>74</v>
      </c>
      <c r="L722" t="s">
        <v>74</v>
      </c>
      <c r="M722" t="s">
        <v>78</v>
      </c>
      <c r="N722" t="s">
        <v>79</v>
      </c>
      <c r="O722" t="s">
        <v>74</v>
      </c>
      <c r="P722" t="s">
        <v>74</v>
      </c>
      <c r="Q722" t="s">
        <v>74</v>
      </c>
      <c r="R722" t="s">
        <v>74</v>
      </c>
      <c r="S722" t="s">
        <v>74</v>
      </c>
      <c r="T722" t="s">
        <v>12919</v>
      </c>
      <c r="U722" t="s">
        <v>74</v>
      </c>
      <c r="V722" t="s">
        <v>12920</v>
      </c>
      <c r="W722" t="s">
        <v>12921</v>
      </c>
      <c r="X722" t="s">
        <v>12922</v>
      </c>
      <c r="Y722" t="s">
        <v>12923</v>
      </c>
      <c r="Z722" t="s">
        <v>12924</v>
      </c>
      <c r="AA722" t="s">
        <v>12925</v>
      </c>
      <c r="AB722" t="s">
        <v>12926</v>
      </c>
      <c r="AC722" t="s">
        <v>74</v>
      </c>
      <c r="AD722" t="s">
        <v>74</v>
      </c>
      <c r="AE722" t="s">
        <v>74</v>
      </c>
      <c r="AF722" t="s">
        <v>74</v>
      </c>
      <c r="AG722">
        <v>15</v>
      </c>
      <c r="AH722">
        <v>14</v>
      </c>
      <c r="AI722">
        <v>14</v>
      </c>
      <c r="AJ722">
        <v>0</v>
      </c>
      <c r="AK722">
        <v>9</v>
      </c>
      <c r="AL722" t="s">
        <v>3939</v>
      </c>
      <c r="AM722" t="s">
        <v>3940</v>
      </c>
      <c r="AN722" t="s">
        <v>3941</v>
      </c>
      <c r="AO722" t="s">
        <v>12927</v>
      </c>
      <c r="AP722" t="s">
        <v>12928</v>
      </c>
      <c r="AQ722" t="s">
        <v>74</v>
      </c>
      <c r="AR722" t="s">
        <v>12929</v>
      </c>
      <c r="AS722" t="s">
        <v>12930</v>
      </c>
      <c r="AT722" t="s">
        <v>12931</v>
      </c>
      <c r="AU722">
        <v>2010</v>
      </c>
      <c r="AV722">
        <v>55</v>
      </c>
      <c r="AW722">
        <v>2</v>
      </c>
      <c r="AX722" t="s">
        <v>74</v>
      </c>
      <c r="AY722" t="s">
        <v>74</v>
      </c>
      <c r="AZ722" t="s">
        <v>74</v>
      </c>
      <c r="BA722" t="s">
        <v>74</v>
      </c>
      <c r="BB722">
        <v>161</v>
      </c>
      <c r="BC722">
        <v>166</v>
      </c>
      <c r="BD722" t="s">
        <v>74</v>
      </c>
      <c r="BE722" t="s">
        <v>12932</v>
      </c>
      <c r="BF722" t="str">
        <f>HYPERLINK("http://dx.doi.org/10.2478/s11686-010-0022-6","http://dx.doi.org/10.2478/s11686-010-0022-6")</f>
        <v>http://dx.doi.org/10.2478/s11686-010-0022-6</v>
      </c>
      <c r="BG722" t="s">
        <v>74</v>
      </c>
      <c r="BH722" t="s">
        <v>74</v>
      </c>
      <c r="BI722">
        <v>6</v>
      </c>
      <c r="BJ722" t="s">
        <v>12933</v>
      </c>
      <c r="BK722" t="s">
        <v>100</v>
      </c>
      <c r="BL722" t="s">
        <v>12933</v>
      </c>
      <c r="BM722" t="s">
        <v>12934</v>
      </c>
      <c r="BN722" t="s">
        <v>74</v>
      </c>
      <c r="BO722" t="s">
        <v>1000</v>
      </c>
      <c r="BP722" t="s">
        <v>74</v>
      </c>
      <c r="BQ722" t="s">
        <v>74</v>
      </c>
      <c r="BR722" t="s">
        <v>104</v>
      </c>
      <c r="BS722" t="s">
        <v>12935</v>
      </c>
      <c r="BT722" t="str">
        <f>HYPERLINK("https%3A%2F%2Fwww.webofscience.com%2Fwos%2Fwoscc%2Ffull-record%2FWOS:000279589700008","View Full Record in Web of Science")</f>
        <v>View Full Record in Web of Science</v>
      </c>
    </row>
    <row r="723" spans="1:72" x14ac:dyDescent="0.15">
      <c r="A723" t="s">
        <v>72</v>
      </c>
      <c r="B723" t="s">
        <v>7676</v>
      </c>
      <c r="C723" t="s">
        <v>74</v>
      </c>
      <c r="D723" t="s">
        <v>74</v>
      </c>
      <c r="E723" t="s">
        <v>74</v>
      </c>
      <c r="F723" t="s">
        <v>12936</v>
      </c>
      <c r="G723" t="s">
        <v>74</v>
      </c>
      <c r="H723" t="s">
        <v>74</v>
      </c>
      <c r="I723" t="s">
        <v>12937</v>
      </c>
      <c r="J723" t="s">
        <v>2257</v>
      </c>
      <c r="K723" t="s">
        <v>74</v>
      </c>
      <c r="L723" t="s">
        <v>74</v>
      </c>
      <c r="M723" t="s">
        <v>78</v>
      </c>
      <c r="N723" t="s">
        <v>220</v>
      </c>
      <c r="O723" t="s">
        <v>74</v>
      </c>
      <c r="P723" t="s">
        <v>74</v>
      </c>
      <c r="Q723" t="s">
        <v>74</v>
      </c>
      <c r="R723" t="s">
        <v>74</v>
      </c>
      <c r="S723" t="s">
        <v>74</v>
      </c>
      <c r="T723" t="s">
        <v>74</v>
      </c>
      <c r="U723" t="s">
        <v>74</v>
      </c>
      <c r="V723" t="s">
        <v>74</v>
      </c>
      <c r="W723" t="s">
        <v>74</v>
      </c>
      <c r="X723" t="s">
        <v>74</v>
      </c>
      <c r="Y723" t="s">
        <v>74</v>
      </c>
      <c r="Z723" t="s">
        <v>74</v>
      </c>
      <c r="AA723" t="s">
        <v>74</v>
      </c>
      <c r="AB723" t="s">
        <v>7679</v>
      </c>
      <c r="AC723" t="s">
        <v>74</v>
      </c>
      <c r="AD723" t="s">
        <v>74</v>
      </c>
      <c r="AE723" t="s">
        <v>74</v>
      </c>
      <c r="AF723" t="s">
        <v>74</v>
      </c>
      <c r="AG723">
        <v>0</v>
      </c>
      <c r="AH723">
        <v>0</v>
      </c>
      <c r="AI723">
        <v>0</v>
      </c>
      <c r="AJ723">
        <v>0</v>
      </c>
      <c r="AK723">
        <v>2</v>
      </c>
      <c r="AL723" t="s">
        <v>851</v>
      </c>
      <c r="AM723" t="s">
        <v>310</v>
      </c>
      <c r="AN723" t="s">
        <v>852</v>
      </c>
      <c r="AO723" t="s">
        <v>2269</v>
      </c>
      <c r="AP723" t="s">
        <v>74</v>
      </c>
      <c r="AQ723" t="s">
        <v>74</v>
      </c>
      <c r="AR723" t="s">
        <v>2271</v>
      </c>
      <c r="AS723" t="s">
        <v>2272</v>
      </c>
      <c r="AT723" t="s">
        <v>12931</v>
      </c>
      <c r="AU723">
        <v>2010</v>
      </c>
      <c r="AV723">
        <v>22</v>
      </c>
      <c r="AW723">
        <v>3</v>
      </c>
      <c r="AX723" t="s">
        <v>74</v>
      </c>
      <c r="AY723" t="s">
        <v>74</v>
      </c>
      <c r="AZ723" t="s">
        <v>74</v>
      </c>
      <c r="BA723" t="s">
        <v>74</v>
      </c>
      <c r="BB723">
        <v>209</v>
      </c>
      <c r="BC723">
        <v>209</v>
      </c>
      <c r="BD723" t="s">
        <v>74</v>
      </c>
      <c r="BE723" t="s">
        <v>12938</v>
      </c>
      <c r="BF723" t="str">
        <f>HYPERLINK("http://dx.doi.org/10.1017/S0954102010000301","http://dx.doi.org/10.1017/S0954102010000301")</f>
        <v>http://dx.doi.org/10.1017/S0954102010000301</v>
      </c>
      <c r="BG723" t="s">
        <v>74</v>
      </c>
      <c r="BH723" t="s">
        <v>74</v>
      </c>
      <c r="BI723">
        <v>1</v>
      </c>
      <c r="BJ723" t="s">
        <v>755</v>
      </c>
      <c r="BK723" t="s">
        <v>100</v>
      </c>
      <c r="BL723" t="s">
        <v>756</v>
      </c>
      <c r="BM723" t="s">
        <v>12939</v>
      </c>
      <c r="BN723" t="s">
        <v>74</v>
      </c>
      <c r="BO723" t="s">
        <v>394</v>
      </c>
      <c r="BP723" t="s">
        <v>74</v>
      </c>
      <c r="BQ723" t="s">
        <v>74</v>
      </c>
      <c r="BR723" t="s">
        <v>104</v>
      </c>
      <c r="BS723" t="s">
        <v>12940</v>
      </c>
      <c r="BT723" t="str">
        <f>HYPERLINK("https%3A%2F%2Fwww.webofscience.com%2Fwos%2Fwoscc%2Ffull-record%2FWOS:000280015800001","View Full Record in Web of Science")</f>
        <v>View Full Record in Web of Science</v>
      </c>
    </row>
    <row r="724" spans="1:72" x14ac:dyDescent="0.15">
      <c r="A724" t="s">
        <v>72</v>
      </c>
      <c r="B724" t="s">
        <v>12941</v>
      </c>
      <c r="C724" t="s">
        <v>74</v>
      </c>
      <c r="D724" t="s">
        <v>74</v>
      </c>
      <c r="E724" t="s">
        <v>74</v>
      </c>
      <c r="F724" t="s">
        <v>12942</v>
      </c>
      <c r="G724" t="s">
        <v>74</v>
      </c>
      <c r="H724" t="s">
        <v>74</v>
      </c>
      <c r="I724" t="s">
        <v>12943</v>
      </c>
      <c r="J724" t="s">
        <v>2257</v>
      </c>
      <c r="K724" t="s">
        <v>74</v>
      </c>
      <c r="L724" t="s">
        <v>74</v>
      </c>
      <c r="M724" t="s">
        <v>78</v>
      </c>
      <c r="N724" t="s">
        <v>326</v>
      </c>
      <c r="O724" t="s">
        <v>74</v>
      </c>
      <c r="P724" t="s">
        <v>74</v>
      </c>
      <c r="Q724" t="s">
        <v>74</v>
      </c>
      <c r="R724" t="s">
        <v>74</v>
      </c>
      <c r="S724" t="s">
        <v>74</v>
      </c>
      <c r="T724" t="s">
        <v>12944</v>
      </c>
      <c r="U724" t="s">
        <v>12945</v>
      </c>
      <c r="V724" t="s">
        <v>12946</v>
      </c>
      <c r="W724" t="s">
        <v>12947</v>
      </c>
      <c r="X724" t="s">
        <v>6312</v>
      </c>
      <c r="Y724" t="s">
        <v>12948</v>
      </c>
      <c r="Z724" t="s">
        <v>12949</v>
      </c>
      <c r="AA724" t="s">
        <v>12950</v>
      </c>
      <c r="AB724" t="s">
        <v>12951</v>
      </c>
      <c r="AC724" t="s">
        <v>12952</v>
      </c>
      <c r="AD724" t="s">
        <v>12952</v>
      </c>
      <c r="AE724" t="s">
        <v>12953</v>
      </c>
      <c r="AF724" t="s">
        <v>74</v>
      </c>
      <c r="AG724">
        <v>54</v>
      </c>
      <c r="AH724">
        <v>26</v>
      </c>
      <c r="AI724">
        <v>29</v>
      </c>
      <c r="AJ724">
        <v>0</v>
      </c>
      <c r="AK724">
        <v>6</v>
      </c>
      <c r="AL724" t="s">
        <v>851</v>
      </c>
      <c r="AM724" t="s">
        <v>310</v>
      </c>
      <c r="AN724" t="s">
        <v>852</v>
      </c>
      <c r="AO724" t="s">
        <v>2269</v>
      </c>
      <c r="AP724" t="s">
        <v>2270</v>
      </c>
      <c r="AQ724" t="s">
        <v>74</v>
      </c>
      <c r="AR724" t="s">
        <v>2271</v>
      </c>
      <c r="AS724" t="s">
        <v>2272</v>
      </c>
      <c r="AT724" t="s">
        <v>12931</v>
      </c>
      <c r="AU724">
        <v>2010</v>
      </c>
      <c r="AV724">
        <v>22</v>
      </c>
      <c r="AW724">
        <v>3</v>
      </c>
      <c r="AX724" t="s">
        <v>74</v>
      </c>
      <c r="AY724" t="s">
        <v>74</v>
      </c>
      <c r="AZ724" t="s">
        <v>74</v>
      </c>
      <c r="BA724" t="s">
        <v>74</v>
      </c>
      <c r="BB724">
        <v>211</v>
      </c>
      <c r="BC724">
        <v>219</v>
      </c>
      <c r="BD724" t="s">
        <v>74</v>
      </c>
      <c r="BE724" t="s">
        <v>12954</v>
      </c>
      <c r="BF724" t="str">
        <f>HYPERLINK("http://dx.doi.org/10.1017/S0954102010000088","http://dx.doi.org/10.1017/S0954102010000088")</f>
        <v>http://dx.doi.org/10.1017/S0954102010000088</v>
      </c>
      <c r="BG724" t="s">
        <v>74</v>
      </c>
      <c r="BH724" t="s">
        <v>74</v>
      </c>
      <c r="BI724">
        <v>9</v>
      </c>
      <c r="BJ724" t="s">
        <v>755</v>
      </c>
      <c r="BK724" t="s">
        <v>100</v>
      </c>
      <c r="BL724" t="s">
        <v>756</v>
      </c>
      <c r="BM724" t="s">
        <v>12939</v>
      </c>
      <c r="BN724" t="s">
        <v>74</v>
      </c>
      <c r="BO724" t="s">
        <v>74</v>
      </c>
      <c r="BP724" t="s">
        <v>74</v>
      </c>
      <c r="BQ724" t="s">
        <v>74</v>
      </c>
      <c r="BR724" t="s">
        <v>104</v>
      </c>
      <c r="BS724" t="s">
        <v>12955</v>
      </c>
      <c r="BT724" t="str">
        <f>HYPERLINK("https%3A%2F%2Fwww.webofscience.com%2Fwos%2Fwoscc%2Ffull-record%2FWOS:000280015800002","View Full Record in Web of Science")</f>
        <v>View Full Record in Web of Science</v>
      </c>
    </row>
    <row r="725" spans="1:72" x14ac:dyDescent="0.15">
      <c r="A725" t="s">
        <v>72</v>
      </c>
      <c r="B725" t="s">
        <v>12956</v>
      </c>
      <c r="C725" t="s">
        <v>74</v>
      </c>
      <c r="D725" t="s">
        <v>74</v>
      </c>
      <c r="E725" t="s">
        <v>74</v>
      </c>
      <c r="F725" t="s">
        <v>12957</v>
      </c>
      <c r="G725" t="s">
        <v>74</v>
      </c>
      <c r="H725" t="s">
        <v>74</v>
      </c>
      <c r="I725" t="s">
        <v>12958</v>
      </c>
      <c r="J725" t="s">
        <v>2257</v>
      </c>
      <c r="K725" t="s">
        <v>74</v>
      </c>
      <c r="L725" t="s">
        <v>74</v>
      </c>
      <c r="M725" t="s">
        <v>78</v>
      </c>
      <c r="N725" t="s">
        <v>79</v>
      </c>
      <c r="O725" t="s">
        <v>74</v>
      </c>
      <c r="P725" t="s">
        <v>74</v>
      </c>
      <c r="Q725" t="s">
        <v>74</v>
      </c>
      <c r="R725" t="s">
        <v>74</v>
      </c>
      <c r="S725" t="s">
        <v>74</v>
      </c>
      <c r="T725" t="s">
        <v>12959</v>
      </c>
      <c r="U725" t="s">
        <v>12960</v>
      </c>
      <c r="V725" t="s">
        <v>12961</v>
      </c>
      <c r="W725" t="s">
        <v>12962</v>
      </c>
      <c r="X725" t="s">
        <v>690</v>
      </c>
      <c r="Y725" t="s">
        <v>12963</v>
      </c>
      <c r="Z725" t="s">
        <v>3046</v>
      </c>
      <c r="AA725" t="s">
        <v>3047</v>
      </c>
      <c r="AB725" t="s">
        <v>74</v>
      </c>
      <c r="AC725" t="s">
        <v>9003</v>
      </c>
      <c r="AD725" t="s">
        <v>2843</v>
      </c>
      <c r="AE725" t="s">
        <v>74</v>
      </c>
      <c r="AF725" t="s">
        <v>74</v>
      </c>
      <c r="AG725">
        <v>47</v>
      </c>
      <c r="AH725">
        <v>47</v>
      </c>
      <c r="AI725">
        <v>49</v>
      </c>
      <c r="AJ725">
        <v>0</v>
      </c>
      <c r="AK725">
        <v>38</v>
      </c>
      <c r="AL725" t="s">
        <v>851</v>
      </c>
      <c r="AM725" t="s">
        <v>310</v>
      </c>
      <c r="AN725" t="s">
        <v>852</v>
      </c>
      <c r="AO725" t="s">
        <v>2269</v>
      </c>
      <c r="AP725" t="s">
        <v>74</v>
      </c>
      <c r="AQ725" t="s">
        <v>74</v>
      </c>
      <c r="AR725" t="s">
        <v>2271</v>
      </c>
      <c r="AS725" t="s">
        <v>2272</v>
      </c>
      <c r="AT725" t="s">
        <v>12931</v>
      </c>
      <c r="AU725">
        <v>2010</v>
      </c>
      <c r="AV725">
        <v>22</v>
      </c>
      <c r="AW725">
        <v>3</v>
      </c>
      <c r="AX725" t="s">
        <v>74</v>
      </c>
      <c r="AY725" t="s">
        <v>74</v>
      </c>
      <c r="AZ725" t="s">
        <v>74</v>
      </c>
      <c r="BA725" t="s">
        <v>74</v>
      </c>
      <c r="BB725">
        <v>221</v>
      </c>
      <c r="BC725">
        <v>231</v>
      </c>
      <c r="BD725" t="s">
        <v>74</v>
      </c>
      <c r="BE725" t="s">
        <v>12964</v>
      </c>
      <c r="BF725" t="str">
        <f>HYPERLINK("http://dx.doi.org/10.1017/S0954102009990770","http://dx.doi.org/10.1017/S0954102009990770")</f>
        <v>http://dx.doi.org/10.1017/S0954102009990770</v>
      </c>
      <c r="BG725" t="s">
        <v>74</v>
      </c>
      <c r="BH725" t="s">
        <v>74</v>
      </c>
      <c r="BI725">
        <v>11</v>
      </c>
      <c r="BJ725" t="s">
        <v>755</v>
      </c>
      <c r="BK725" t="s">
        <v>100</v>
      </c>
      <c r="BL725" t="s">
        <v>756</v>
      </c>
      <c r="BM725" t="s">
        <v>12939</v>
      </c>
      <c r="BN725" t="s">
        <v>74</v>
      </c>
      <c r="BO725" t="s">
        <v>1025</v>
      </c>
      <c r="BP725" t="s">
        <v>74</v>
      </c>
      <c r="BQ725" t="s">
        <v>74</v>
      </c>
      <c r="BR725" t="s">
        <v>104</v>
      </c>
      <c r="BS725" t="s">
        <v>12965</v>
      </c>
      <c r="BT725" t="str">
        <f>HYPERLINK("https%3A%2F%2Fwww.webofscience.com%2Fwos%2Fwoscc%2Ffull-record%2FWOS:000280015800003","View Full Record in Web of Science")</f>
        <v>View Full Record in Web of Science</v>
      </c>
    </row>
    <row r="726" spans="1:72" x14ac:dyDescent="0.15">
      <c r="A726" t="s">
        <v>72</v>
      </c>
      <c r="B726" t="s">
        <v>12966</v>
      </c>
      <c r="C726" t="s">
        <v>74</v>
      </c>
      <c r="D726" t="s">
        <v>74</v>
      </c>
      <c r="E726" t="s">
        <v>74</v>
      </c>
      <c r="F726" t="s">
        <v>12967</v>
      </c>
      <c r="G726" t="s">
        <v>74</v>
      </c>
      <c r="H726" t="s">
        <v>74</v>
      </c>
      <c r="I726" t="s">
        <v>12968</v>
      </c>
      <c r="J726" t="s">
        <v>2257</v>
      </c>
      <c r="K726" t="s">
        <v>74</v>
      </c>
      <c r="L726" t="s">
        <v>74</v>
      </c>
      <c r="M726" t="s">
        <v>78</v>
      </c>
      <c r="N726" t="s">
        <v>79</v>
      </c>
      <c r="O726" t="s">
        <v>74</v>
      </c>
      <c r="P726" t="s">
        <v>74</v>
      </c>
      <c r="Q726" t="s">
        <v>74</v>
      </c>
      <c r="R726" t="s">
        <v>74</v>
      </c>
      <c r="S726" t="s">
        <v>74</v>
      </c>
      <c r="T726" t="s">
        <v>12969</v>
      </c>
      <c r="U726" t="s">
        <v>12970</v>
      </c>
      <c r="V726" t="s">
        <v>12971</v>
      </c>
      <c r="W726" t="s">
        <v>12972</v>
      </c>
      <c r="X726" t="s">
        <v>12973</v>
      </c>
      <c r="Y726" t="s">
        <v>12974</v>
      </c>
      <c r="Z726" t="s">
        <v>12975</v>
      </c>
      <c r="AA726" t="s">
        <v>74</v>
      </c>
      <c r="AB726" t="s">
        <v>74</v>
      </c>
      <c r="AC726" t="s">
        <v>74</v>
      </c>
      <c r="AD726" t="s">
        <v>74</v>
      </c>
      <c r="AE726" t="s">
        <v>74</v>
      </c>
      <c r="AF726" t="s">
        <v>74</v>
      </c>
      <c r="AG726">
        <v>60</v>
      </c>
      <c r="AH726">
        <v>21</v>
      </c>
      <c r="AI726">
        <v>22</v>
      </c>
      <c r="AJ726">
        <v>0</v>
      </c>
      <c r="AK726">
        <v>6</v>
      </c>
      <c r="AL726" t="s">
        <v>851</v>
      </c>
      <c r="AM726" t="s">
        <v>310</v>
      </c>
      <c r="AN726" t="s">
        <v>852</v>
      </c>
      <c r="AO726" t="s">
        <v>2269</v>
      </c>
      <c r="AP726" t="s">
        <v>2270</v>
      </c>
      <c r="AQ726" t="s">
        <v>74</v>
      </c>
      <c r="AR726" t="s">
        <v>2271</v>
      </c>
      <c r="AS726" t="s">
        <v>2272</v>
      </c>
      <c r="AT726" t="s">
        <v>12931</v>
      </c>
      <c r="AU726">
        <v>2010</v>
      </c>
      <c r="AV726">
        <v>22</v>
      </c>
      <c r="AW726">
        <v>3</v>
      </c>
      <c r="AX726" t="s">
        <v>74</v>
      </c>
      <c r="AY726" t="s">
        <v>74</v>
      </c>
      <c r="AZ726" t="s">
        <v>74</v>
      </c>
      <c r="BA726" t="s">
        <v>74</v>
      </c>
      <c r="BB726">
        <v>233</v>
      </c>
      <c r="BC726">
        <v>242</v>
      </c>
      <c r="BD726" t="s">
        <v>74</v>
      </c>
      <c r="BE726" t="s">
        <v>12976</v>
      </c>
      <c r="BF726" t="str">
        <f>HYPERLINK("http://dx.doi.org/10.1017/S095410200999071X","http://dx.doi.org/10.1017/S095410200999071X")</f>
        <v>http://dx.doi.org/10.1017/S095410200999071X</v>
      </c>
      <c r="BG726" t="s">
        <v>74</v>
      </c>
      <c r="BH726" t="s">
        <v>74</v>
      </c>
      <c r="BI726">
        <v>10</v>
      </c>
      <c r="BJ726" t="s">
        <v>755</v>
      </c>
      <c r="BK726" t="s">
        <v>100</v>
      </c>
      <c r="BL726" t="s">
        <v>756</v>
      </c>
      <c r="BM726" t="s">
        <v>12939</v>
      </c>
      <c r="BN726" t="s">
        <v>74</v>
      </c>
      <c r="BO726" t="s">
        <v>74</v>
      </c>
      <c r="BP726" t="s">
        <v>74</v>
      </c>
      <c r="BQ726" t="s">
        <v>74</v>
      </c>
      <c r="BR726" t="s">
        <v>104</v>
      </c>
      <c r="BS726" t="s">
        <v>12977</v>
      </c>
      <c r="BT726" t="str">
        <f>HYPERLINK("https%3A%2F%2Fwww.webofscience.com%2Fwos%2Fwoscc%2Ffull-record%2FWOS:000280015800004","View Full Record in Web of Science")</f>
        <v>View Full Record in Web of Science</v>
      </c>
    </row>
    <row r="727" spans="1:72" x14ac:dyDescent="0.15">
      <c r="A727" t="s">
        <v>72</v>
      </c>
      <c r="B727" t="s">
        <v>12978</v>
      </c>
      <c r="C727" t="s">
        <v>74</v>
      </c>
      <c r="D727" t="s">
        <v>74</v>
      </c>
      <c r="E727" t="s">
        <v>74</v>
      </c>
      <c r="F727" t="s">
        <v>12979</v>
      </c>
      <c r="G727" t="s">
        <v>74</v>
      </c>
      <c r="H727" t="s">
        <v>74</v>
      </c>
      <c r="I727" t="s">
        <v>12980</v>
      </c>
      <c r="J727" t="s">
        <v>2257</v>
      </c>
      <c r="K727" t="s">
        <v>74</v>
      </c>
      <c r="L727" t="s">
        <v>74</v>
      </c>
      <c r="M727" t="s">
        <v>78</v>
      </c>
      <c r="N727" t="s">
        <v>79</v>
      </c>
      <c r="O727" t="s">
        <v>74</v>
      </c>
      <c r="P727" t="s">
        <v>74</v>
      </c>
      <c r="Q727" t="s">
        <v>74</v>
      </c>
      <c r="R727" t="s">
        <v>74</v>
      </c>
      <c r="S727" t="s">
        <v>74</v>
      </c>
      <c r="T727" t="s">
        <v>12981</v>
      </c>
      <c r="U727" t="s">
        <v>12982</v>
      </c>
      <c r="V727" t="s">
        <v>12983</v>
      </c>
      <c r="W727" t="s">
        <v>12984</v>
      </c>
      <c r="X727" t="s">
        <v>12985</v>
      </c>
      <c r="Y727" t="s">
        <v>12986</v>
      </c>
      <c r="Z727" t="s">
        <v>12987</v>
      </c>
      <c r="AA727" t="s">
        <v>12988</v>
      </c>
      <c r="AB727" t="s">
        <v>12989</v>
      </c>
      <c r="AC727" t="s">
        <v>12990</v>
      </c>
      <c r="AD727" t="s">
        <v>12990</v>
      </c>
      <c r="AE727" t="s">
        <v>12991</v>
      </c>
      <c r="AF727" t="s">
        <v>74</v>
      </c>
      <c r="AG727">
        <v>53</v>
      </c>
      <c r="AH727">
        <v>44</v>
      </c>
      <c r="AI727">
        <v>47</v>
      </c>
      <c r="AJ727">
        <v>1</v>
      </c>
      <c r="AK727">
        <v>11</v>
      </c>
      <c r="AL727" t="s">
        <v>851</v>
      </c>
      <c r="AM727" t="s">
        <v>310</v>
      </c>
      <c r="AN727" t="s">
        <v>852</v>
      </c>
      <c r="AO727" t="s">
        <v>2269</v>
      </c>
      <c r="AP727" t="s">
        <v>2270</v>
      </c>
      <c r="AQ727" t="s">
        <v>74</v>
      </c>
      <c r="AR727" t="s">
        <v>2271</v>
      </c>
      <c r="AS727" t="s">
        <v>2272</v>
      </c>
      <c r="AT727" t="s">
        <v>12931</v>
      </c>
      <c r="AU727">
        <v>2010</v>
      </c>
      <c r="AV727">
        <v>22</v>
      </c>
      <c r="AW727">
        <v>3</v>
      </c>
      <c r="AX727" t="s">
        <v>74</v>
      </c>
      <c r="AY727" t="s">
        <v>74</v>
      </c>
      <c r="AZ727" t="s">
        <v>74</v>
      </c>
      <c r="BA727" t="s">
        <v>74</v>
      </c>
      <c r="BB727">
        <v>243</v>
      </c>
      <c r="BC727">
        <v>254</v>
      </c>
      <c r="BD727" t="s">
        <v>74</v>
      </c>
      <c r="BE727" t="s">
        <v>12992</v>
      </c>
      <c r="BF727" t="str">
        <f>HYPERLINK("http://dx.doi.org/10.1017/S0954102009990721","http://dx.doi.org/10.1017/S0954102009990721")</f>
        <v>http://dx.doi.org/10.1017/S0954102009990721</v>
      </c>
      <c r="BG727" t="s">
        <v>74</v>
      </c>
      <c r="BH727" t="s">
        <v>74</v>
      </c>
      <c r="BI727">
        <v>12</v>
      </c>
      <c r="BJ727" t="s">
        <v>755</v>
      </c>
      <c r="BK727" t="s">
        <v>100</v>
      </c>
      <c r="BL727" t="s">
        <v>756</v>
      </c>
      <c r="BM727" t="s">
        <v>12939</v>
      </c>
      <c r="BN727" t="s">
        <v>74</v>
      </c>
      <c r="BO727" t="s">
        <v>74</v>
      </c>
      <c r="BP727" t="s">
        <v>74</v>
      </c>
      <c r="BQ727" t="s">
        <v>74</v>
      </c>
      <c r="BR727" t="s">
        <v>104</v>
      </c>
      <c r="BS727" t="s">
        <v>12993</v>
      </c>
      <c r="BT727" t="str">
        <f>HYPERLINK("https%3A%2F%2Fwww.webofscience.com%2Fwos%2Fwoscc%2Ffull-record%2FWOS:000280015800005","View Full Record in Web of Science")</f>
        <v>View Full Record in Web of Science</v>
      </c>
    </row>
    <row r="728" spans="1:72" x14ac:dyDescent="0.15">
      <c r="A728" t="s">
        <v>72</v>
      </c>
      <c r="B728" t="s">
        <v>12994</v>
      </c>
      <c r="C728" t="s">
        <v>74</v>
      </c>
      <c r="D728" t="s">
        <v>74</v>
      </c>
      <c r="E728" t="s">
        <v>74</v>
      </c>
      <c r="F728" t="s">
        <v>12995</v>
      </c>
      <c r="G728" t="s">
        <v>74</v>
      </c>
      <c r="H728" t="s">
        <v>74</v>
      </c>
      <c r="I728" t="s">
        <v>12996</v>
      </c>
      <c r="J728" t="s">
        <v>2257</v>
      </c>
      <c r="K728" t="s">
        <v>74</v>
      </c>
      <c r="L728" t="s">
        <v>74</v>
      </c>
      <c r="M728" t="s">
        <v>78</v>
      </c>
      <c r="N728" t="s">
        <v>79</v>
      </c>
      <c r="O728" t="s">
        <v>74</v>
      </c>
      <c r="P728" t="s">
        <v>74</v>
      </c>
      <c r="Q728" t="s">
        <v>74</v>
      </c>
      <c r="R728" t="s">
        <v>74</v>
      </c>
      <c r="S728" t="s">
        <v>74</v>
      </c>
      <c r="T728" t="s">
        <v>12997</v>
      </c>
      <c r="U728" t="s">
        <v>12998</v>
      </c>
      <c r="V728" t="s">
        <v>12999</v>
      </c>
      <c r="W728" t="s">
        <v>13000</v>
      </c>
      <c r="X728" t="s">
        <v>690</v>
      </c>
      <c r="Y728" t="s">
        <v>13001</v>
      </c>
      <c r="Z728" t="s">
        <v>13002</v>
      </c>
      <c r="AA728" t="s">
        <v>74</v>
      </c>
      <c r="AB728" t="s">
        <v>74</v>
      </c>
      <c r="AC728" t="s">
        <v>13003</v>
      </c>
      <c r="AD728" t="s">
        <v>2843</v>
      </c>
      <c r="AE728" t="s">
        <v>74</v>
      </c>
      <c r="AF728" t="s">
        <v>74</v>
      </c>
      <c r="AG728">
        <v>20</v>
      </c>
      <c r="AH728">
        <v>47</v>
      </c>
      <c r="AI728">
        <v>49</v>
      </c>
      <c r="AJ728">
        <v>0</v>
      </c>
      <c r="AK728">
        <v>36</v>
      </c>
      <c r="AL728" t="s">
        <v>851</v>
      </c>
      <c r="AM728" t="s">
        <v>310</v>
      </c>
      <c r="AN728" t="s">
        <v>852</v>
      </c>
      <c r="AO728" t="s">
        <v>2269</v>
      </c>
      <c r="AP728" t="s">
        <v>74</v>
      </c>
      <c r="AQ728" t="s">
        <v>74</v>
      </c>
      <c r="AR728" t="s">
        <v>2271</v>
      </c>
      <c r="AS728" t="s">
        <v>2272</v>
      </c>
      <c r="AT728" t="s">
        <v>12931</v>
      </c>
      <c r="AU728">
        <v>2010</v>
      </c>
      <c r="AV728">
        <v>22</v>
      </c>
      <c r="AW728">
        <v>3</v>
      </c>
      <c r="AX728" t="s">
        <v>74</v>
      </c>
      <c r="AY728" t="s">
        <v>74</v>
      </c>
      <c r="AZ728" t="s">
        <v>74</v>
      </c>
      <c r="BA728" t="s">
        <v>74</v>
      </c>
      <c r="BB728">
        <v>255</v>
      </c>
      <c r="BC728">
        <v>263</v>
      </c>
      <c r="BD728" t="s">
        <v>74</v>
      </c>
      <c r="BE728" t="s">
        <v>13004</v>
      </c>
      <c r="BF728" t="str">
        <f>HYPERLINK("http://dx.doi.org/10.1017/S0954102010000064","http://dx.doi.org/10.1017/S0954102010000064")</f>
        <v>http://dx.doi.org/10.1017/S0954102010000064</v>
      </c>
      <c r="BG728" t="s">
        <v>74</v>
      </c>
      <c r="BH728" t="s">
        <v>74</v>
      </c>
      <c r="BI728">
        <v>9</v>
      </c>
      <c r="BJ728" t="s">
        <v>755</v>
      </c>
      <c r="BK728" t="s">
        <v>100</v>
      </c>
      <c r="BL728" t="s">
        <v>756</v>
      </c>
      <c r="BM728" t="s">
        <v>12939</v>
      </c>
      <c r="BN728" t="s">
        <v>74</v>
      </c>
      <c r="BO728" t="s">
        <v>1025</v>
      </c>
      <c r="BP728" t="s">
        <v>74</v>
      </c>
      <c r="BQ728" t="s">
        <v>74</v>
      </c>
      <c r="BR728" t="s">
        <v>104</v>
      </c>
      <c r="BS728" t="s">
        <v>13005</v>
      </c>
      <c r="BT728" t="str">
        <f>HYPERLINK("https%3A%2F%2Fwww.webofscience.com%2Fwos%2Fwoscc%2Ffull-record%2FWOS:000280015800006","View Full Record in Web of Science")</f>
        <v>View Full Record in Web of Science</v>
      </c>
    </row>
    <row r="729" spans="1:72" x14ac:dyDescent="0.15">
      <c r="A729" t="s">
        <v>72</v>
      </c>
      <c r="B729" t="s">
        <v>13006</v>
      </c>
      <c r="C729" t="s">
        <v>74</v>
      </c>
      <c r="D729" t="s">
        <v>74</v>
      </c>
      <c r="E729" t="s">
        <v>74</v>
      </c>
      <c r="F729" t="s">
        <v>13007</v>
      </c>
      <c r="G729" t="s">
        <v>74</v>
      </c>
      <c r="H729" t="s">
        <v>74</v>
      </c>
      <c r="I729" t="s">
        <v>13008</v>
      </c>
      <c r="J729" t="s">
        <v>2257</v>
      </c>
      <c r="K729" t="s">
        <v>74</v>
      </c>
      <c r="L729" t="s">
        <v>74</v>
      </c>
      <c r="M729" t="s">
        <v>78</v>
      </c>
      <c r="N729" t="s">
        <v>79</v>
      </c>
      <c r="O729" t="s">
        <v>74</v>
      </c>
      <c r="P729" t="s">
        <v>74</v>
      </c>
      <c r="Q729" t="s">
        <v>74</v>
      </c>
      <c r="R729" t="s">
        <v>74</v>
      </c>
      <c r="S729" t="s">
        <v>74</v>
      </c>
      <c r="T729" t="s">
        <v>13009</v>
      </c>
      <c r="U729" t="s">
        <v>13010</v>
      </c>
      <c r="V729" t="s">
        <v>13011</v>
      </c>
      <c r="W729" t="s">
        <v>13012</v>
      </c>
      <c r="X729" t="s">
        <v>13013</v>
      </c>
      <c r="Y729" t="s">
        <v>13014</v>
      </c>
      <c r="Z729" t="s">
        <v>13015</v>
      </c>
      <c r="AA729" t="s">
        <v>13016</v>
      </c>
      <c r="AB729" t="s">
        <v>13017</v>
      </c>
      <c r="AC729" t="s">
        <v>13018</v>
      </c>
      <c r="AD729" t="s">
        <v>13019</v>
      </c>
      <c r="AE729" t="s">
        <v>13020</v>
      </c>
      <c r="AF729" t="s">
        <v>74</v>
      </c>
      <c r="AG729">
        <v>48</v>
      </c>
      <c r="AH729">
        <v>4</v>
      </c>
      <c r="AI729">
        <v>6</v>
      </c>
      <c r="AJ729">
        <v>0</v>
      </c>
      <c r="AK729">
        <v>17</v>
      </c>
      <c r="AL729" t="s">
        <v>851</v>
      </c>
      <c r="AM729" t="s">
        <v>310</v>
      </c>
      <c r="AN729" t="s">
        <v>852</v>
      </c>
      <c r="AO729" t="s">
        <v>2269</v>
      </c>
      <c r="AP729" t="s">
        <v>2270</v>
      </c>
      <c r="AQ729" t="s">
        <v>74</v>
      </c>
      <c r="AR729" t="s">
        <v>2271</v>
      </c>
      <c r="AS729" t="s">
        <v>2272</v>
      </c>
      <c r="AT729" t="s">
        <v>12931</v>
      </c>
      <c r="AU729">
        <v>2010</v>
      </c>
      <c r="AV729">
        <v>22</v>
      </c>
      <c r="AW729">
        <v>3</v>
      </c>
      <c r="AX729" t="s">
        <v>74</v>
      </c>
      <c r="AY729" t="s">
        <v>74</v>
      </c>
      <c r="AZ729" t="s">
        <v>74</v>
      </c>
      <c r="BA729" t="s">
        <v>74</v>
      </c>
      <c r="BB729">
        <v>265</v>
      </c>
      <c r="BC729">
        <v>270</v>
      </c>
      <c r="BD729" t="s">
        <v>74</v>
      </c>
      <c r="BE729" t="s">
        <v>13021</v>
      </c>
      <c r="BF729" t="str">
        <f>HYPERLINK("http://dx.doi.org/10.1017/S0954102010000039","http://dx.doi.org/10.1017/S0954102010000039")</f>
        <v>http://dx.doi.org/10.1017/S0954102010000039</v>
      </c>
      <c r="BG729" t="s">
        <v>74</v>
      </c>
      <c r="BH729" t="s">
        <v>74</v>
      </c>
      <c r="BI729">
        <v>6</v>
      </c>
      <c r="BJ729" t="s">
        <v>755</v>
      </c>
      <c r="BK729" t="s">
        <v>100</v>
      </c>
      <c r="BL729" t="s">
        <v>756</v>
      </c>
      <c r="BM729" t="s">
        <v>12939</v>
      </c>
      <c r="BN729" t="s">
        <v>74</v>
      </c>
      <c r="BO729" t="s">
        <v>74</v>
      </c>
      <c r="BP729" t="s">
        <v>74</v>
      </c>
      <c r="BQ729" t="s">
        <v>74</v>
      </c>
      <c r="BR729" t="s">
        <v>104</v>
      </c>
      <c r="BS729" t="s">
        <v>13022</v>
      </c>
      <c r="BT729" t="str">
        <f>HYPERLINK("https%3A%2F%2Fwww.webofscience.com%2Fwos%2Fwoscc%2Ffull-record%2FWOS:000280015800007","View Full Record in Web of Science")</f>
        <v>View Full Record in Web of Science</v>
      </c>
    </row>
    <row r="730" spans="1:72" x14ac:dyDescent="0.15">
      <c r="A730" t="s">
        <v>72</v>
      </c>
      <c r="B730" t="s">
        <v>13023</v>
      </c>
      <c r="C730" t="s">
        <v>74</v>
      </c>
      <c r="D730" t="s">
        <v>74</v>
      </c>
      <c r="E730" t="s">
        <v>74</v>
      </c>
      <c r="F730" t="s">
        <v>13024</v>
      </c>
      <c r="G730" t="s">
        <v>74</v>
      </c>
      <c r="H730" t="s">
        <v>74</v>
      </c>
      <c r="I730" t="s">
        <v>13025</v>
      </c>
      <c r="J730" t="s">
        <v>2257</v>
      </c>
      <c r="K730" t="s">
        <v>74</v>
      </c>
      <c r="L730" t="s">
        <v>74</v>
      </c>
      <c r="M730" t="s">
        <v>78</v>
      </c>
      <c r="N730" t="s">
        <v>79</v>
      </c>
      <c r="O730" t="s">
        <v>74</v>
      </c>
      <c r="P730" t="s">
        <v>74</v>
      </c>
      <c r="Q730" t="s">
        <v>74</v>
      </c>
      <c r="R730" t="s">
        <v>74</v>
      </c>
      <c r="S730" t="s">
        <v>74</v>
      </c>
      <c r="T730" t="s">
        <v>13026</v>
      </c>
      <c r="U730" t="s">
        <v>13027</v>
      </c>
      <c r="V730" t="s">
        <v>13028</v>
      </c>
      <c r="W730" t="s">
        <v>13029</v>
      </c>
      <c r="X730" t="s">
        <v>13030</v>
      </c>
      <c r="Y730" t="s">
        <v>13031</v>
      </c>
      <c r="Z730" t="s">
        <v>13032</v>
      </c>
      <c r="AA730" t="s">
        <v>13033</v>
      </c>
      <c r="AB730" t="s">
        <v>13034</v>
      </c>
      <c r="AC730" t="s">
        <v>13035</v>
      </c>
      <c r="AD730" t="s">
        <v>13036</v>
      </c>
      <c r="AE730" t="s">
        <v>13037</v>
      </c>
      <c r="AF730" t="s">
        <v>74</v>
      </c>
      <c r="AG730">
        <v>36</v>
      </c>
      <c r="AH730">
        <v>18</v>
      </c>
      <c r="AI730">
        <v>20</v>
      </c>
      <c r="AJ730">
        <v>0</v>
      </c>
      <c r="AK730">
        <v>5</v>
      </c>
      <c r="AL730" t="s">
        <v>851</v>
      </c>
      <c r="AM730" t="s">
        <v>310</v>
      </c>
      <c r="AN730" t="s">
        <v>852</v>
      </c>
      <c r="AO730" t="s">
        <v>2269</v>
      </c>
      <c r="AP730" t="s">
        <v>2270</v>
      </c>
      <c r="AQ730" t="s">
        <v>74</v>
      </c>
      <c r="AR730" t="s">
        <v>2271</v>
      </c>
      <c r="AS730" t="s">
        <v>2272</v>
      </c>
      <c r="AT730" t="s">
        <v>12931</v>
      </c>
      <c r="AU730">
        <v>2010</v>
      </c>
      <c r="AV730">
        <v>22</v>
      </c>
      <c r="AW730">
        <v>3</v>
      </c>
      <c r="AX730" t="s">
        <v>74</v>
      </c>
      <c r="AY730" t="s">
        <v>74</v>
      </c>
      <c r="AZ730" t="s">
        <v>74</v>
      </c>
      <c r="BA730" t="s">
        <v>74</v>
      </c>
      <c r="BB730">
        <v>271</v>
      </c>
      <c r="BC730">
        <v>281</v>
      </c>
      <c r="BD730" t="s">
        <v>74</v>
      </c>
      <c r="BE730" t="s">
        <v>13038</v>
      </c>
      <c r="BF730" t="str">
        <f>HYPERLINK("http://dx.doi.org/10.1017/S0954102010000106","http://dx.doi.org/10.1017/S0954102010000106")</f>
        <v>http://dx.doi.org/10.1017/S0954102010000106</v>
      </c>
      <c r="BG730" t="s">
        <v>74</v>
      </c>
      <c r="BH730" t="s">
        <v>74</v>
      </c>
      <c r="BI730">
        <v>11</v>
      </c>
      <c r="BJ730" t="s">
        <v>755</v>
      </c>
      <c r="BK730" t="s">
        <v>100</v>
      </c>
      <c r="BL730" t="s">
        <v>756</v>
      </c>
      <c r="BM730" t="s">
        <v>12939</v>
      </c>
      <c r="BN730" t="s">
        <v>74</v>
      </c>
      <c r="BO730" t="s">
        <v>631</v>
      </c>
      <c r="BP730" t="s">
        <v>74</v>
      </c>
      <c r="BQ730" t="s">
        <v>74</v>
      </c>
      <c r="BR730" t="s">
        <v>104</v>
      </c>
      <c r="BS730" t="s">
        <v>13039</v>
      </c>
      <c r="BT730" t="str">
        <f>HYPERLINK("https%3A%2F%2Fwww.webofscience.com%2Fwos%2Fwoscc%2Ffull-record%2FWOS:000280015800008","View Full Record in Web of Science")</f>
        <v>View Full Record in Web of Science</v>
      </c>
    </row>
    <row r="731" spans="1:72" x14ac:dyDescent="0.15">
      <c r="A731" t="s">
        <v>72</v>
      </c>
      <c r="B731" t="s">
        <v>13040</v>
      </c>
      <c r="C731" t="s">
        <v>74</v>
      </c>
      <c r="D731" t="s">
        <v>74</v>
      </c>
      <c r="E731" t="s">
        <v>74</v>
      </c>
      <c r="F731" t="s">
        <v>13041</v>
      </c>
      <c r="G731" t="s">
        <v>74</v>
      </c>
      <c r="H731" t="s">
        <v>74</v>
      </c>
      <c r="I731" t="s">
        <v>13042</v>
      </c>
      <c r="J731" t="s">
        <v>2257</v>
      </c>
      <c r="K731" t="s">
        <v>74</v>
      </c>
      <c r="L731" t="s">
        <v>74</v>
      </c>
      <c r="M731" t="s">
        <v>78</v>
      </c>
      <c r="N731" t="s">
        <v>79</v>
      </c>
      <c r="O731" t="s">
        <v>74</v>
      </c>
      <c r="P731" t="s">
        <v>74</v>
      </c>
      <c r="Q731" t="s">
        <v>74</v>
      </c>
      <c r="R731" t="s">
        <v>74</v>
      </c>
      <c r="S731" t="s">
        <v>74</v>
      </c>
      <c r="T731" t="s">
        <v>74</v>
      </c>
      <c r="U731" t="s">
        <v>74</v>
      </c>
      <c r="V731" t="s">
        <v>74</v>
      </c>
      <c r="W731" t="s">
        <v>13043</v>
      </c>
      <c r="X731" t="s">
        <v>13044</v>
      </c>
      <c r="Y731" t="s">
        <v>13045</v>
      </c>
      <c r="Z731" t="s">
        <v>13046</v>
      </c>
      <c r="AA731" t="s">
        <v>11087</v>
      </c>
      <c r="AB731" t="s">
        <v>13047</v>
      </c>
      <c r="AC731" t="s">
        <v>13048</v>
      </c>
      <c r="AD731" t="s">
        <v>11090</v>
      </c>
      <c r="AE731" t="s">
        <v>13049</v>
      </c>
      <c r="AF731" t="s">
        <v>74</v>
      </c>
      <c r="AG731">
        <v>5</v>
      </c>
      <c r="AH731">
        <v>4</v>
      </c>
      <c r="AI731">
        <v>4</v>
      </c>
      <c r="AJ731">
        <v>1</v>
      </c>
      <c r="AK731">
        <v>15</v>
      </c>
      <c r="AL731" t="s">
        <v>851</v>
      </c>
      <c r="AM731" t="s">
        <v>310</v>
      </c>
      <c r="AN731" t="s">
        <v>852</v>
      </c>
      <c r="AO731" t="s">
        <v>2269</v>
      </c>
      <c r="AP731" t="s">
        <v>2270</v>
      </c>
      <c r="AQ731" t="s">
        <v>74</v>
      </c>
      <c r="AR731" t="s">
        <v>2271</v>
      </c>
      <c r="AS731" t="s">
        <v>2272</v>
      </c>
      <c r="AT731" t="s">
        <v>12931</v>
      </c>
      <c r="AU731">
        <v>2010</v>
      </c>
      <c r="AV731">
        <v>22</v>
      </c>
      <c r="AW731">
        <v>3</v>
      </c>
      <c r="AX731" t="s">
        <v>74</v>
      </c>
      <c r="AY731" t="s">
        <v>74</v>
      </c>
      <c r="AZ731" t="s">
        <v>74</v>
      </c>
      <c r="BA731" t="s">
        <v>74</v>
      </c>
      <c r="BB731">
        <v>283</v>
      </c>
      <c r="BC731">
        <v>284</v>
      </c>
      <c r="BD731" t="s">
        <v>74</v>
      </c>
      <c r="BE731" t="s">
        <v>13050</v>
      </c>
      <c r="BF731" t="str">
        <f>HYPERLINK("http://dx.doi.org/10.1017/S0954102010000052","http://dx.doi.org/10.1017/S0954102010000052")</f>
        <v>http://dx.doi.org/10.1017/S0954102010000052</v>
      </c>
      <c r="BG731" t="s">
        <v>74</v>
      </c>
      <c r="BH731" t="s">
        <v>74</v>
      </c>
      <c r="BI731">
        <v>2</v>
      </c>
      <c r="BJ731" t="s">
        <v>755</v>
      </c>
      <c r="BK731" t="s">
        <v>100</v>
      </c>
      <c r="BL731" t="s">
        <v>756</v>
      </c>
      <c r="BM731" t="s">
        <v>12939</v>
      </c>
      <c r="BN731" t="s">
        <v>74</v>
      </c>
      <c r="BO731" t="s">
        <v>74</v>
      </c>
      <c r="BP731" t="s">
        <v>74</v>
      </c>
      <c r="BQ731" t="s">
        <v>74</v>
      </c>
      <c r="BR731" t="s">
        <v>104</v>
      </c>
      <c r="BS731" t="s">
        <v>13051</v>
      </c>
      <c r="BT731" t="str">
        <f>HYPERLINK("https%3A%2F%2Fwww.webofscience.com%2Fwos%2Fwoscc%2Ffull-record%2FWOS:000280015800009","View Full Record in Web of Science")</f>
        <v>View Full Record in Web of Science</v>
      </c>
    </row>
    <row r="732" spans="1:72" x14ac:dyDescent="0.15">
      <c r="A732" t="s">
        <v>72</v>
      </c>
      <c r="B732" t="s">
        <v>13052</v>
      </c>
      <c r="C732" t="s">
        <v>74</v>
      </c>
      <c r="D732" t="s">
        <v>74</v>
      </c>
      <c r="E732" t="s">
        <v>74</v>
      </c>
      <c r="F732" t="s">
        <v>13053</v>
      </c>
      <c r="G732" t="s">
        <v>74</v>
      </c>
      <c r="H732" t="s">
        <v>74</v>
      </c>
      <c r="I732" t="s">
        <v>13054</v>
      </c>
      <c r="J732" t="s">
        <v>2257</v>
      </c>
      <c r="K732" t="s">
        <v>74</v>
      </c>
      <c r="L732" t="s">
        <v>74</v>
      </c>
      <c r="M732" t="s">
        <v>78</v>
      </c>
      <c r="N732" t="s">
        <v>79</v>
      </c>
      <c r="O732" t="s">
        <v>74</v>
      </c>
      <c r="P732" t="s">
        <v>74</v>
      </c>
      <c r="Q732" t="s">
        <v>74</v>
      </c>
      <c r="R732" t="s">
        <v>74</v>
      </c>
      <c r="S732" t="s">
        <v>74</v>
      </c>
      <c r="T732" t="s">
        <v>74</v>
      </c>
      <c r="U732" t="s">
        <v>13055</v>
      </c>
      <c r="V732" t="s">
        <v>74</v>
      </c>
      <c r="W732" t="s">
        <v>13056</v>
      </c>
      <c r="X732" t="s">
        <v>13057</v>
      </c>
      <c r="Y732" t="s">
        <v>13058</v>
      </c>
      <c r="Z732" t="s">
        <v>11287</v>
      </c>
      <c r="AA732" t="s">
        <v>74</v>
      </c>
      <c r="AB732" t="s">
        <v>74</v>
      </c>
      <c r="AC732" t="s">
        <v>13059</v>
      </c>
      <c r="AD732" t="s">
        <v>13060</v>
      </c>
      <c r="AE732" t="s">
        <v>13061</v>
      </c>
      <c r="AF732" t="s">
        <v>74</v>
      </c>
      <c r="AG732">
        <v>11</v>
      </c>
      <c r="AH732">
        <v>8</v>
      </c>
      <c r="AI732">
        <v>8</v>
      </c>
      <c r="AJ732">
        <v>2</v>
      </c>
      <c r="AK732">
        <v>22</v>
      </c>
      <c r="AL732" t="s">
        <v>851</v>
      </c>
      <c r="AM732" t="s">
        <v>310</v>
      </c>
      <c r="AN732" t="s">
        <v>852</v>
      </c>
      <c r="AO732" t="s">
        <v>2269</v>
      </c>
      <c r="AP732" t="s">
        <v>74</v>
      </c>
      <c r="AQ732" t="s">
        <v>74</v>
      </c>
      <c r="AR732" t="s">
        <v>2271</v>
      </c>
      <c r="AS732" t="s">
        <v>2272</v>
      </c>
      <c r="AT732" t="s">
        <v>12931</v>
      </c>
      <c r="AU732">
        <v>2010</v>
      </c>
      <c r="AV732">
        <v>22</v>
      </c>
      <c r="AW732">
        <v>3</v>
      </c>
      <c r="AX732" t="s">
        <v>74</v>
      </c>
      <c r="AY732" t="s">
        <v>74</v>
      </c>
      <c r="AZ732" t="s">
        <v>74</v>
      </c>
      <c r="BA732" t="s">
        <v>74</v>
      </c>
      <c r="BB732">
        <v>285</v>
      </c>
      <c r="BC732">
        <v>286</v>
      </c>
      <c r="BD732" t="s">
        <v>74</v>
      </c>
      <c r="BE732" t="s">
        <v>13062</v>
      </c>
      <c r="BF732" t="str">
        <f>HYPERLINK("http://dx.doi.org/10.1017/S0954102010000076","http://dx.doi.org/10.1017/S0954102010000076")</f>
        <v>http://dx.doi.org/10.1017/S0954102010000076</v>
      </c>
      <c r="BG732" t="s">
        <v>74</v>
      </c>
      <c r="BH732" t="s">
        <v>74</v>
      </c>
      <c r="BI732">
        <v>2</v>
      </c>
      <c r="BJ732" t="s">
        <v>755</v>
      </c>
      <c r="BK732" t="s">
        <v>100</v>
      </c>
      <c r="BL732" t="s">
        <v>756</v>
      </c>
      <c r="BM732" t="s">
        <v>12939</v>
      </c>
      <c r="BN732" t="s">
        <v>74</v>
      </c>
      <c r="BO732" t="s">
        <v>74</v>
      </c>
      <c r="BP732" t="s">
        <v>74</v>
      </c>
      <c r="BQ732" t="s">
        <v>74</v>
      </c>
      <c r="BR732" t="s">
        <v>104</v>
      </c>
      <c r="BS732" t="s">
        <v>13063</v>
      </c>
      <c r="BT732" t="str">
        <f>HYPERLINK("https%3A%2F%2Fwww.webofscience.com%2Fwos%2Fwoscc%2Ffull-record%2FWOS:000280015800010","View Full Record in Web of Science")</f>
        <v>View Full Record in Web of Science</v>
      </c>
    </row>
    <row r="733" spans="1:72" x14ac:dyDescent="0.15">
      <c r="A733" t="s">
        <v>72</v>
      </c>
      <c r="B733" t="s">
        <v>13064</v>
      </c>
      <c r="C733" t="s">
        <v>74</v>
      </c>
      <c r="D733" t="s">
        <v>74</v>
      </c>
      <c r="E733" t="s">
        <v>74</v>
      </c>
      <c r="F733" t="s">
        <v>13065</v>
      </c>
      <c r="G733" t="s">
        <v>74</v>
      </c>
      <c r="H733" t="s">
        <v>74</v>
      </c>
      <c r="I733" t="s">
        <v>13066</v>
      </c>
      <c r="J733" t="s">
        <v>2257</v>
      </c>
      <c r="K733" t="s">
        <v>74</v>
      </c>
      <c r="L733" t="s">
        <v>74</v>
      </c>
      <c r="M733" t="s">
        <v>78</v>
      </c>
      <c r="N733" t="s">
        <v>79</v>
      </c>
      <c r="O733" t="s">
        <v>74</v>
      </c>
      <c r="P733" t="s">
        <v>74</v>
      </c>
      <c r="Q733" t="s">
        <v>74</v>
      </c>
      <c r="R733" t="s">
        <v>74</v>
      </c>
      <c r="S733" t="s">
        <v>74</v>
      </c>
      <c r="T733" t="s">
        <v>74</v>
      </c>
      <c r="U733" t="s">
        <v>13067</v>
      </c>
      <c r="V733" t="s">
        <v>74</v>
      </c>
      <c r="W733" t="s">
        <v>13068</v>
      </c>
      <c r="X733" t="s">
        <v>13069</v>
      </c>
      <c r="Y733" t="s">
        <v>13070</v>
      </c>
      <c r="Z733" t="s">
        <v>13071</v>
      </c>
      <c r="AA733" t="s">
        <v>74</v>
      </c>
      <c r="AB733" t="s">
        <v>13072</v>
      </c>
      <c r="AC733" t="s">
        <v>74</v>
      </c>
      <c r="AD733" t="s">
        <v>74</v>
      </c>
      <c r="AE733" t="s">
        <v>74</v>
      </c>
      <c r="AF733" t="s">
        <v>74</v>
      </c>
      <c r="AG733">
        <v>14</v>
      </c>
      <c r="AH733">
        <v>4</v>
      </c>
      <c r="AI733">
        <v>4</v>
      </c>
      <c r="AJ733">
        <v>0</v>
      </c>
      <c r="AK733">
        <v>13</v>
      </c>
      <c r="AL733" t="s">
        <v>851</v>
      </c>
      <c r="AM733" t="s">
        <v>310</v>
      </c>
      <c r="AN733" t="s">
        <v>852</v>
      </c>
      <c r="AO733" t="s">
        <v>2269</v>
      </c>
      <c r="AP733" t="s">
        <v>74</v>
      </c>
      <c r="AQ733" t="s">
        <v>74</v>
      </c>
      <c r="AR733" t="s">
        <v>2271</v>
      </c>
      <c r="AS733" t="s">
        <v>2272</v>
      </c>
      <c r="AT733" t="s">
        <v>12931</v>
      </c>
      <c r="AU733">
        <v>2010</v>
      </c>
      <c r="AV733">
        <v>22</v>
      </c>
      <c r="AW733">
        <v>3</v>
      </c>
      <c r="AX733" t="s">
        <v>74</v>
      </c>
      <c r="AY733" t="s">
        <v>74</v>
      </c>
      <c r="AZ733" t="s">
        <v>74</v>
      </c>
      <c r="BA733" t="s">
        <v>74</v>
      </c>
      <c r="BB733">
        <v>287</v>
      </c>
      <c r="BC733">
        <v>288</v>
      </c>
      <c r="BD733" t="s">
        <v>74</v>
      </c>
      <c r="BE733" t="s">
        <v>13073</v>
      </c>
      <c r="BF733" t="str">
        <f>HYPERLINK("http://dx.doi.org/10.1017/S0954102010000118","http://dx.doi.org/10.1017/S0954102010000118")</f>
        <v>http://dx.doi.org/10.1017/S0954102010000118</v>
      </c>
      <c r="BG733" t="s">
        <v>74</v>
      </c>
      <c r="BH733" t="s">
        <v>74</v>
      </c>
      <c r="BI733">
        <v>2</v>
      </c>
      <c r="BJ733" t="s">
        <v>755</v>
      </c>
      <c r="BK733" t="s">
        <v>100</v>
      </c>
      <c r="BL733" t="s">
        <v>756</v>
      </c>
      <c r="BM733" t="s">
        <v>12939</v>
      </c>
      <c r="BN733" t="s">
        <v>74</v>
      </c>
      <c r="BO733" t="s">
        <v>74</v>
      </c>
      <c r="BP733" t="s">
        <v>74</v>
      </c>
      <c r="BQ733" t="s">
        <v>74</v>
      </c>
      <c r="BR733" t="s">
        <v>104</v>
      </c>
      <c r="BS733" t="s">
        <v>13074</v>
      </c>
      <c r="BT733" t="str">
        <f>HYPERLINK("https%3A%2F%2Fwww.webofscience.com%2Fwos%2Fwoscc%2Ffull-record%2FWOS:000280015800011","View Full Record in Web of Science")</f>
        <v>View Full Record in Web of Science</v>
      </c>
    </row>
    <row r="734" spans="1:72" x14ac:dyDescent="0.15">
      <c r="A734" t="s">
        <v>72</v>
      </c>
      <c r="B734" t="s">
        <v>13075</v>
      </c>
      <c r="C734" t="s">
        <v>74</v>
      </c>
      <c r="D734" t="s">
        <v>74</v>
      </c>
      <c r="E734" t="s">
        <v>74</v>
      </c>
      <c r="F734" t="s">
        <v>13076</v>
      </c>
      <c r="G734" t="s">
        <v>74</v>
      </c>
      <c r="H734" t="s">
        <v>74</v>
      </c>
      <c r="I734" t="s">
        <v>13077</v>
      </c>
      <c r="J734" t="s">
        <v>2257</v>
      </c>
      <c r="K734" t="s">
        <v>74</v>
      </c>
      <c r="L734" t="s">
        <v>74</v>
      </c>
      <c r="M734" t="s">
        <v>78</v>
      </c>
      <c r="N734" t="s">
        <v>79</v>
      </c>
      <c r="O734" t="s">
        <v>74</v>
      </c>
      <c r="P734" t="s">
        <v>74</v>
      </c>
      <c r="Q734" t="s">
        <v>74</v>
      </c>
      <c r="R734" t="s">
        <v>74</v>
      </c>
      <c r="S734" t="s">
        <v>74</v>
      </c>
      <c r="T734" t="s">
        <v>13078</v>
      </c>
      <c r="U734" t="s">
        <v>13079</v>
      </c>
      <c r="V734" t="s">
        <v>13080</v>
      </c>
      <c r="W734" t="s">
        <v>13081</v>
      </c>
      <c r="X734" t="s">
        <v>13082</v>
      </c>
      <c r="Y734" t="s">
        <v>13083</v>
      </c>
      <c r="Z734" t="s">
        <v>13084</v>
      </c>
      <c r="AA734" t="s">
        <v>13085</v>
      </c>
      <c r="AB734" t="s">
        <v>13086</v>
      </c>
      <c r="AC734" t="s">
        <v>13087</v>
      </c>
      <c r="AD734" t="s">
        <v>13088</v>
      </c>
      <c r="AE734" t="s">
        <v>13089</v>
      </c>
      <c r="AF734" t="s">
        <v>74</v>
      </c>
      <c r="AG734">
        <v>39</v>
      </c>
      <c r="AH734">
        <v>27</v>
      </c>
      <c r="AI734">
        <v>29</v>
      </c>
      <c r="AJ734">
        <v>0</v>
      </c>
      <c r="AK734">
        <v>5</v>
      </c>
      <c r="AL734" t="s">
        <v>851</v>
      </c>
      <c r="AM734" t="s">
        <v>310</v>
      </c>
      <c r="AN734" t="s">
        <v>852</v>
      </c>
      <c r="AO734" t="s">
        <v>2269</v>
      </c>
      <c r="AP734" t="s">
        <v>2270</v>
      </c>
      <c r="AQ734" t="s">
        <v>74</v>
      </c>
      <c r="AR734" t="s">
        <v>2271</v>
      </c>
      <c r="AS734" t="s">
        <v>2272</v>
      </c>
      <c r="AT734" t="s">
        <v>12931</v>
      </c>
      <c r="AU734">
        <v>2010</v>
      </c>
      <c r="AV734">
        <v>22</v>
      </c>
      <c r="AW734">
        <v>3</v>
      </c>
      <c r="AX734" t="s">
        <v>74</v>
      </c>
      <c r="AY734" t="s">
        <v>74</v>
      </c>
      <c r="AZ734" t="s">
        <v>74</v>
      </c>
      <c r="BA734" t="s">
        <v>74</v>
      </c>
      <c r="BB734">
        <v>289</v>
      </c>
      <c r="BC734">
        <v>298</v>
      </c>
      <c r="BD734" t="s">
        <v>74</v>
      </c>
      <c r="BE734" t="s">
        <v>13090</v>
      </c>
      <c r="BF734" t="str">
        <f>HYPERLINK("http://dx.doi.org/10.1017/S0954102009990769","http://dx.doi.org/10.1017/S0954102009990769")</f>
        <v>http://dx.doi.org/10.1017/S0954102009990769</v>
      </c>
      <c r="BG734" t="s">
        <v>74</v>
      </c>
      <c r="BH734" t="s">
        <v>74</v>
      </c>
      <c r="BI734">
        <v>10</v>
      </c>
      <c r="BJ734" t="s">
        <v>755</v>
      </c>
      <c r="BK734" t="s">
        <v>100</v>
      </c>
      <c r="BL734" t="s">
        <v>756</v>
      </c>
      <c r="BM734" t="s">
        <v>12939</v>
      </c>
      <c r="BN734" t="s">
        <v>74</v>
      </c>
      <c r="BO734" t="s">
        <v>631</v>
      </c>
      <c r="BP734" t="s">
        <v>74</v>
      </c>
      <c r="BQ734" t="s">
        <v>74</v>
      </c>
      <c r="BR734" t="s">
        <v>104</v>
      </c>
      <c r="BS734" t="s">
        <v>13091</v>
      </c>
      <c r="BT734" t="str">
        <f>HYPERLINK("https%3A%2F%2Fwww.webofscience.com%2Fwos%2Fwoscc%2Ffull-record%2FWOS:000280015800012","View Full Record in Web of Science")</f>
        <v>View Full Record in Web of Science</v>
      </c>
    </row>
    <row r="735" spans="1:72" x14ac:dyDescent="0.15">
      <c r="A735" t="s">
        <v>72</v>
      </c>
      <c r="B735" t="s">
        <v>13092</v>
      </c>
      <c r="C735" t="s">
        <v>74</v>
      </c>
      <c r="D735" t="s">
        <v>74</v>
      </c>
      <c r="E735" t="s">
        <v>74</v>
      </c>
      <c r="F735" t="s">
        <v>13093</v>
      </c>
      <c r="G735" t="s">
        <v>74</v>
      </c>
      <c r="H735" t="s">
        <v>74</v>
      </c>
      <c r="I735" t="s">
        <v>13094</v>
      </c>
      <c r="J735" t="s">
        <v>2257</v>
      </c>
      <c r="K735" t="s">
        <v>74</v>
      </c>
      <c r="L735" t="s">
        <v>74</v>
      </c>
      <c r="M735" t="s">
        <v>78</v>
      </c>
      <c r="N735" t="s">
        <v>79</v>
      </c>
      <c r="O735" t="s">
        <v>74</v>
      </c>
      <c r="P735" t="s">
        <v>74</v>
      </c>
      <c r="Q735" t="s">
        <v>74</v>
      </c>
      <c r="R735" t="s">
        <v>74</v>
      </c>
      <c r="S735" t="s">
        <v>74</v>
      </c>
      <c r="T735" t="s">
        <v>13095</v>
      </c>
      <c r="U735" t="s">
        <v>13096</v>
      </c>
      <c r="V735" t="s">
        <v>13097</v>
      </c>
      <c r="W735" t="s">
        <v>13098</v>
      </c>
      <c r="X735" t="s">
        <v>13099</v>
      </c>
      <c r="Y735" t="s">
        <v>13100</v>
      </c>
      <c r="Z735" t="s">
        <v>13101</v>
      </c>
      <c r="AA735" t="s">
        <v>74</v>
      </c>
      <c r="AB735" t="s">
        <v>13102</v>
      </c>
      <c r="AC735" t="s">
        <v>13103</v>
      </c>
      <c r="AD735" t="s">
        <v>13104</v>
      </c>
      <c r="AE735" t="s">
        <v>13105</v>
      </c>
      <c r="AF735" t="s">
        <v>74</v>
      </c>
      <c r="AG735">
        <v>28</v>
      </c>
      <c r="AH735">
        <v>22</v>
      </c>
      <c r="AI735">
        <v>22</v>
      </c>
      <c r="AJ735">
        <v>0</v>
      </c>
      <c r="AK735">
        <v>11</v>
      </c>
      <c r="AL735" t="s">
        <v>851</v>
      </c>
      <c r="AM735" t="s">
        <v>310</v>
      </c>
      <c r="AN735" t="s">
        <v>852</v>
      </c>
      <c r="AO735" t="s">
        <v>2269</v>
      </c>
      <c r="AP735" t="s">
        <v>74</v>
      </c>
      <c r="AQ735" t="s">
        <v>74</v>
      </c>
      <c r="AR735" t="s">
        <v>2271</v>
      </c>
      <c r="AS735" t="s">
        <v>2272</v>
      </c>
      <c r="AT735" t="s">
        <v>12931</v>
      </c>
      <c r="AU735">
        <v>2010</v>
      </c>
      <c r="AV735">
        <v>22</v>
      </c>
      <c r="AW735">
        <v>3</v>
      </c>
      <c r="AX735" t="s">
        <v>74</v>
      </c>
      <c r="AY735" t="s">
        <v>74</v>
      </c>
      <c r="AZ735" t="s">
        <v>74</v>
      </c>
      <c r="BA735" t="s">
        <v>74</v>
      </c>
      <c r="BB735">
        <v>299</v>
      </c>
      <c r="BC735">
        <v>318</v>
      </c>
      <c r="BD735" t="s">
        <v>74</v>
      </c>
      <c r="BE735" t="s">
        <v>13106</v>
      </c>
      <c r="BF735" t="str">
        <f>HYPERLINK("http://dx.doi.org/10.1017/S0954102010000015","http://dx.doi.org/10.1017/S0954102010000015")</f>
        <v>http://dx.doi.org/10.1017/S0954102010000015</v>
      </c>
      <c r="BG735" t="s">
        <v>74</v>
      </c>
      <c r="BH735" t="s">
        <v>74</v>
      </c>
      <c r="BI735">
        <v>20</v>
      </c>
      <c r="BJ735" t="s">
        <v>755</v>
      </c>
      <c r="BK735" t="s">
        <v>100</v>
      </c>
      <c r="BL735" t="s">
        <v>756</v>
      </c>
      <c r="BM735" t="s">
        <v>12939</v>
      </c>
      <c r="BN735" t="s">
        <v>74</v>
      </c>
      <c r="BO735" t="s">
        <v>1025</v>
      </c>
      <c r="BP735" t="s">
        <v>74</v>
      </c>
      <c r="BQ735" t="s">
        <v>74</v>
      </c>
      <c r="BR735" t="s">
        <v>104</v>
      </c>
      <c r="BS735" t="s">
        <v>13107</v>
      </c>
      <c r="BT735" t="str">
        <f>HYPERLINK("https%3A%2F%2Fwww.webofscience.com%2Fwos%2Fwoscc%2Ffull-record%2FWOS:000280015800013","View Full Record in Web of Science")</f>
        <v>View Full Record in Web of Science</v>
      </c>
    </row>
    <row r="736" spans="1:72" x14ac:dyDescent="0.15">
      <c r="A736" t="s">
        <v>72</v>
      </c>
      <c r="B736" t="s">
        <v>13108</v>
      </c>
      <c r="C736" t="s">
        <v>74</v>
      </c>
      <c r="D736" t="s">
        <v>74</v>
      </c>
      <c r="E736" t="s">
        <v>74</v>
      </c>
      <c r="F736" t="s">
        <v>13109</v>
      </c>
      <c r="G736" t="s">
        <v>74</v>
      </c>
      <c r="H736" t="s">
        <v>74</v>
      </c>
      <c r="I736" t="s">
        <v>13110</v>
      </c>
      <c r="J736" t="s">
        <v>2257</v>
      </c>
      <c r="K736" t="s">
        <v>74</v>
      </c>
      <c r="L736" t="s">
        <v>74</v>
      </c>
      <c r="M736" t="s">
        <v>78</v>
      </c>
      <c r="N736" t="s">
        <v>79</v>
      </c>
      <c r="O736" t="s">
        <v>74</v>
      </c>
      <c r="P736" t="s">
        <v>74</v>
      </c>
      <c r="Q736" t="s">
        <v>74</v>
      </c>
      <c r="R736" t="s">
        <v>74</v>
      </c>
      <c r="S736" t="s">
        <v>74</v>
      </c>
      <c r="T736" t="s">
        <v>13111</v>
      </c>
      <c r="U736" t="s">
        <v>13112</v>
      </c>
      <c r="V736" t="s">
        <v>13113</v>
      </c>
      <c r="W736" t="s">
        <v>13114</v>
      </c>
      <c r="X736" t="s">
        <v>13115</v>
      </c>
      <c r="Y736" t="s">
        <v>13116</v>
      </c>
      <c r="Z736" t="s">
        <v>13117</v>
      </c>
      <c r="AA736" t="s">
        <v>13118</v>
      </c>
      <c r="AB736" t="s">
        <v>13119</v>
      </c>
      <c r="AC736" t="s">
        <v>13120</v>
      </c>
      <c r="AD736" t="s">
        <v>13121</v>
      </c>
      <c r="AE736" t="s">
        <v>13122</v>
      </c>
      <c r="AF736" t="s">
        <v>74</v>
      </c>
      <c r="AG736">
        <v>41</v>
      </c>
      <c r="AH736">
        <v>10</v>
      </c>
      <c r="AI736">
        <v>10</v>
      </c>
      <c r="AJ736">
        <v>0</v>
      </c>
      <c r="AK736">
        <v>5</v>
      </c>
      <c r="AL736" t="s">
        <v>851</v>
      </c>
      <c r="AM736" t="s">
        <v>310</v>
      </c>
      <c r="AN736" t="s">
        <v>852</v>
      </c>
      <c r="AO736" t="s">
        <v>2269</v>
      </c>
      <c r="AP736" t="s">
        <v>2270</v>
      </c>
      <c r="AQ736" t="s">
        <v>74</v>
      </c>
      <c r="AR736" t="s">
        <v>2271</v>
      </c>
      <c r="AS736" t="s">
        <v>2272</v>
      </c>
      <c r="AT736" t="s">
        <v>12931</v>
      </c>
      <c r="AU736">
        <v>2010</v>
      </c>
      <c r="AV736">
        <v>22</v>
      </c>
      <c r="AW736">
        <v>3</v>
      </c>
      <c r="AX736" t="s">
        <v>74</v>
      </c>
      <c r="AY736" t="s">
        <v>74</v>
      </c>
      <c r="AZ736" t="s">
        <v>74</v>
      </c>
      <c r="BA736" t="s">
        <v>74</v>
      </c>
      <c r="BB736">
        <v>319</v>
      </c>
      <c r="BC736">
        <v>329</v>
      </c>
      <c r="BD736" t="s">
        <v>74</v>
      </c>
      <c r="BE736" t="s">
        <v>13123</v>
      </c>
      <c r="BF736" t="str">
        <f>HYPERLINK("http://dx.doi.org/10.1017/S095410201000009X","http://dx.doi.org/10.1017/S095410201000009X")</f>
        <v>http://dx.doi.org/10.1017/S095410201000009X</v>
      </c>
      <c r="BG736" t="s">
        <v>74</v>
      </c>
      <c r="BH736" t="s">
        <v>74</v>
      </c>
      <c r="BI736">
        <v>11</v>
      </c>
      <c r="BJ736" t="s">
        <v>755</v>
      </c>
      <c r="BK736" t="s">
        <v>100</v>
      </c>
      <c r="BL736" t="s">
        <v>756</v>
      </c>
      <c r="BM736" t="s">
        <v>12939</v>
      </c>
      <c r="BN736" t="s">
        <v>74</v>
      </c>
      <c r="BO736" t="s">
        <v>74</v>
      </c>
      <c r="BP736" t="s">
        <v>74</v>
      </c>
      <c r="BQ736" t="s">
        <v>74</v>
      </c>
      <c r="BR736" t="s">
        <v>104</v>
      </c>
      <c r="BS736" t="s">
        <v>13124</v>
      </c>
      <c r="BT736" t="str">
        <f>HYPERLINK("https%3A%2F%2Fwww.webofscience.com%2Fwos%2Fwoscc%2Ffull-record%2FWOS:000280015800014","View Full Record in Web of Science")</f>
        <v>View Full Record in Web of Science</v>
      </c>
    </row>
    <row r="737" spans="1:72" x14ac:dyDescent="0.15">
      <c r="A737" t="s">
        <v>72</v>
      </c>
      <c r="B737" t="s">
        <v>13125</v>
      </c>
      <c r="C737" t="s">
        <v>74</v>
      </c>
      <c r="D737" t="s">
        <v>74</v>
      </c>
      <c r="E737" t="s">
        <v>74</v>
      </c>
      <c r="F737" t="s">
        <v>13126</v>
      </c>
      <c r="G737" t="s">
        <v>74</v>
      </c>
      <c r="H737" t="s">
        <v>74</v>
      </c>
      <c r="I737" t="s">
        <v>13127</v>
      </c>
      <c r="J737" t="s">
        <v>13128</v>
      </c>
      <c r="K737" t="s">
        <v>74</v>
      </c>
      <c r="L737" t="s">
        <v>74</v>
      </c>
      <c r="M737" t="s">
        <v>78</v>
      </c>
      <c r="N737" t="s">
        <v>79</v>
      </c>
      <c r="O737" t="s">
        <v>74</v>
      </c>
      <c r="P737" t="s">
        <v>74</v>
      </c>
      <c r="Q737" t="s">
        <v>74</v>
      </c>
      <c r="R737" t="s">
        <v>74</v>
      </c>
      <c r="S737" t="s">
        <v>74</v>
      </c>
      <c r="T737" t="s">
        <v>13129</v>
      </c>
      <c r="U737" t="s">
        <v>13130</v>
      </c>
      <c r="V737" t="s">
        <v>13131</v>
      </c>
      <c r="W737" t="s">
        <v>13132</v>
      </c>
      <c r="X737" t="s">
        <v>13133</v>
      </c>
      <c r="Y737" t="s">
        <v>13134</v>
      </c>
      <c r="Z737" t="s">
        <v>13135</v>
      </c>
      <c r="AA737" t="s">
        <v>13136</v>
      </c>
      <c r="AB737" t="s">
        <v>13137</v>
      </c>
      <c r="AC737" t="s">
        <v>13138</v>
      </c>
      <c r="AD737" t="s">
        <v>13139</v>
      </c>
      <c r="AE737" t="s">
        <v>13140</v>
      </c>
      <c r="AF737" t="s">
        <v>74</v>
      </c>
      <c r="AG737">
        <v>71</v>
      </c>
      <c r="AH737">
        <v>19</v>
      </c>
      <c r="AI737">
        <v>22</v>
      </c>
      <c r="AJ737">
        <v>2</v>
      </c>
      <c r="AK737">
        <v>25</v>
      </c>
      <c r="AL737" t="s">
        <v>464</v>
      </c>
      <c r="AM737" t="s">
        <v>576</v>
      </c>
      <c r="AN737" t="s">
        <v>577</v>
      </c>
      <c r="AO737" t="s">
        <v>13141</v>
      </c>
      <c r="AP737" t="s">
        <v>13142</v>
      </c>
      <c r="AQ737" t="s">
        <v>74</v>
      </c>
      <c r="AR737" t="s">
        <v>13143</v>
      </c>
      <c r="AS737" t="s">
        <v>13144</v>
      </c>
      <c r="AT737" t="s">
        <v>12931</v>
      </c>
      <c r="AU737">
        <v>2010</v>
      </c>
      <c r="AV737">
        <v>98</v>
      </c>
      <c r="AW737">
        <v>1</v>
      </c>
      <c r="AX737" t="s">
        <v>74</v>
      </c>
      <c r="AY737" t="s">
        <v>74</v>
      </c>
      <c r="AZ737" t="s">
        <v>74</v>
      </c>
      <c r="BA737" t="s">
        <v>74</v>
      </c>
      <c r="BB737">
        <v>9</v>
      </c>
      <c r="BC737">
        <v>18</v>
      </c>
      <c r="BD737" t="s">
        <v>74</v>
      </c>
      <c r="BE737" t="s">
        <v>13145</v>
      </c>
      <c r="BF737" t="str">
        <f>HYPERLINK("http://dx.doi.org/10.1007/s10482-010-9423-7","http://dx.doi.org/10.1007/s10482-010-9423-7")</f>
        <v>http://dx.doi.org/10.1007/s10482-010-9423-7</v>
      </c>
      <c r="BG737" t="s">
        <v>74</v>
      </c>
      <c r="BH737" t="s">
        <v>74</v>
      </c>
      <c r="BI737">
        <v>10</v>
      </c>
      <c r="BJ737" t="s">
        <v>737</v>
      </c>
      <c r="BK737" t="s">
        <v>100</v>
      </c>
      <c r="BL737" t="s">
        <v>737</v>
      </c>
      <c r="BM737" t="s">
        <v>13146</v>
      </c>
      <c r="BN737">
        <v>20229220</v>
      </c>
      <c r="BO737" t="s">
        <v>74</v>
      </c>
      <c r="BP737" t="s">
        <v>74</v>
      </c>
      <c r="BQ737" t="s">
        <v>74</v>
      </c>
      <c r="BR737" t="s">
        <v>104</v>
      </c>
      <c r="BS737" t="s">
        <v>13147</v>
      </c>
      <c r="BT737" t="str">
        <f>HYPERLINK("https%3A%2F%2Fwww.webofscience.com%2Fwos%2Fwoscc%2Ffull-record%2FWOS:000276902800002","View Full Record in Web of Science")</f>
        <v>View Full Record in Web of Science</v>
      </c>
    </row>
    <row r="738" spans="1:72" x14ac:dyDescent="0.15">
      <c r="A738" t="s">
        <v>72</v>
      </c>
      <c r="B738" t="s">
        <v>13148</v>
      </c>
      <c r="C738" t="s">
        <v>74</v>
      </c>
      <c r="D738" t="s">
        <v>74</v>
      </c>
      <c r="E738" t="s">
        <v>74</v>
      </c>
      <c r="F738" t="s">
        <v>13149</v>
      </c>
      <c r="G738" t="s">
        <v>74</v>
      </c>
      <c r="H738" t="s">
        <v>74</v>
      </c>
      <c r="I738" t="s">
        <v>13150</v>
      </c>
      <c r="J738" t="s">
        <v>5429</v>
      </c>
      <c r="K738" t="s">
        <v>74</v>
      </c>
      <c r="L738" t="s">
        <v>74</v>
      </c>
      <c r="M738" t="s">
        <v>78</v>
      </c>
      <c r="N738" t="s">
        <v>79</v>
      </c>
      <c r="O738" t="s">
        <v>74</v>
      </c>
      <c r="P738" t="s">
        <v>74</v>
      </c>
      <c r="Q738" t="s">
        <v>74</v>
      </c>
      <c r="R738" t="s">
        <v>74</v>
      </c>
      <c r="S738" t="s">
        <v>74</v>
      </c>
      <c r="T738" t="s">
        <v>13151</v>
      </c>
      <c r="U738" t="s">
        <v>74</v>
      </c>
      <c r="V738" t="s">
        <v>13152</v>
      </c>
      <c r="W738" t="s">
        <v>13153</v>
      </c>
      <c r="X738" t="s">
        <v>5454</v>
      </c>
      <c r="Y738" t="s">
        <v>13154</v>
      </c>
      <c r="Z738" t="s">
        <v>5456</v>
      </c>
      <c r="AA738" t="s">
        <v>74</v>
      </c>
      <c r="AB738" t="s">
        <v>74</v>
      </c>
      <c r="AC738" t="s">
        <v>13155</v>
      </c>
      <c r="AD738" t="s">
        <v>13156</v>
      </c>
      <c r="AE738" t="s">
        <v>13157</v>
      </c>
      <c r="AF738" t="s">
        <v>74</v>
      </c>
      <c r="AG738">
        <v>17</v>
      </c>
      <c r="AH738">
        <v>10</v>
      </c>
      <c r="AI738">
        <v>11</v>
      </c>
      <c r="AJ738">
        <v>1</v>
      </c>
      <c r="AK738">
        <v>6</v>
      </c>
      <c r="AL738" t="s">
        <v>923</v>
      </c>
      <c r="AM738" t="s">
        <v>339</v>
      </c>
      <c r="AN738" t="s">
        <v>340</v>
      </c>
      <c r="AO738" t="s">
        <v>5437</v>
      </c>
      <c r="AP738" t="s">
        <v>5438</v>
      </c>
      <c r="AQ738" t="s">
        <v>74</v>
      </c>
      <c r="AR738" t="s">
        <v>5439</v>
      </c>
      <c r="AS738" t="s">
        <v>5440</v>
      </c>
      <c r="AT738" t="s">
        <v>12931</v>
      </c>
      <c r="AU738">
        <v>2010</v>
      </c>
      <c r="AV738">
        <v>20</v>
      </c>
      <c r="AW738">
        <v>4</v>
      </c>
      <c r="AX738" t="s">
        <v>74</v>
      </c>
      <c r="AY738" t="s">
        <v>74</v>
      </c>
      <c r="AZ738" t="s">
        <v>74</v>
      </c>
      <c r="BA738" t="s">
        <v>74</v>
      </c>
      <c r="BB738">
        <v>419</v>
      </c>
      <c r="BC738">
        <v>427</v>
      </c>
      <c r="BD738" t="s">
        <v>74</v>
      </c>
      <c r="BE738" t="s">
        <v>13158</v>
      </c>
      <c r="BF738" t="str">
        <f>HYPERLINK("http://dx.doi.org/10.1002/aqc.1100","http://dx.doi.org/10.1002/aqc.1100")</f>
        <v>http://dx.doi.org/10.1002/aqc.1100</v>
      </c>
      <c r="BG738" t="s">
        <v>74</v>
      </c>
      <c r="BH738" t="s">
        <v>74</v>
      </c>
      <c r="BI738">
        <v>9</v>
      </c>
      <c r="BJ738" t="s">
        <v>5443</v>
      </c>
      <c r="BK738" t="s">
        <v>100</v>
      </c>
      <c r="BL738" t="s">
        <v>5444</v>
      </c>
      <c r="BM738" t="s">
        <v>13159</v>
      </c>
      <c r="BN738" t="s">
        <v>74</v>
      </c>
      <c r="BO738" t="s">
        <v>134</v>
      </c>
      <c r="BP738" t="s">
        <v>74</v>
      </c>
      <c r="BQ738" t="s">
        <v>74</v>
      </c>
      <c r="BR738" t="s">
        <v>104</v>
      </c>
      <c r="BS738" t="s">
        <v>13160</v>
      </c>
      <c r="BT738" t="str">
        <f>HYPERLINK("https%3A%2F%2Fwww.webofscience.com%2Fwos%2Fwoscc%2Ffull-record%2FWOS:000279822100007","View Full Record in Web of Science")</f>
        <v>View Full Record in Web of Science</v>
      </c>
    </row>
    <row r="739" spans="1:72" x14ac:dyDescent="0.15">
      <c r="A739" t="s">
        <v>72</v>
      </c>
      <c r="B739" t="s">
        <v>13161</v>
      </c>
      <c r="C739" t="s">
        <v>74</v>
      </c>
      <c r="D739" t="s">
        <v>74</v>
      </c>
      <c r="E739" t="s">
        <v>74</v>
      </c>
      <c r="F739" t="s">
        <v>13162</v>
      </c>
      <c r="G739" t="s">
        <v>74</v>
      </c>
      <c r="H739" t="s">
        <v>74</v>
      </c>
      <c r="I739" t="s">
        <v>13163</v>
      </c>
      <c r="J739" t="s">
        <v>13164</v>
      </c>
      <c r="K739" t="s">
        <v>74</v>
      </c>
      <c r="L739" t="s">
        <v>74</v>
      </c>
      <c r="M739" t="s">
        <v>78</v>
      </c>
      <c r="N739" t="s">
        <v>79</v>
      </c>
      <c r="O739" t="s">
        <v>74</v>
      </c>
      <c r="P739" t="s">
        <v>74</v>
      </c>
      <c r="Q739" t="s">
        <v>74</v>
      </c>
      <c r="R739" t="s">
        <v>74</v>
      </c>
      <c r="S739" t="s">
        <v>74</v>
      </c>
      <c r="T739" t="s">
        <v>13165</v>
      </c>
      <c r="U739" t="s">
        <v>13166</v>
      </c>
      <c r="V739" t="s">
        <v>13167</v>
      </c>
      <c r="W739" t="s">
        <v>13168</v>
      </c>
      <c r="X739" t="s">
        <v>690</v>
      </c>
      <c r="Y739" t="s">
        <v>13169</v>
      </c>
      <c r="Z739" t="s">
        <v>13170</v>
      </c>
      <c r="AA739" t="s">
        <v>74</v>
      </c>
      <c r="AB739" t="s">
        <v>74</v>
      </c>
      <c r="AC739" t="s">
        <v>74</v>
      </c>
      <c r="AD739" t="s">
        <v>74</v>
      </c>
      <c r="AE739" t="s">
        <v>74</v>
      </c>
      <c r="AF739" t="s">
        <v>74</v>
      </c>
      <c r="AG739">
        <v>28</v>
      </c>
      <c r="AH739">
        <v>16</v>
      </c>
      <c r="AI739">
        <v>20</v>
      </c>
      <c r="AJ739">
        <v>1</v>
      </c>
      <c r="AK739">
        <v>18</v>
      </c>
      <c r="AL739" t="s">
        <v>13171</v>
      </c>
      <c r="AM739" t="s">
        <v>13172</v>
      </c>
      <c r="AN739" t="s">
        <v>13173</v>
      </c>
      <c r="AO739" t="s">
        <v>13174</v>
      </c>
      <c r="AP739" t="s">
        <v>74</v>
      </c>
      <c r="AQ739" t="s">
        <v>74</v>
      </c>
      <c r="AR739" t="s">
        <v>13164</v>
      </c>
      <c r="AS739" t="s">
        <v>13175</v>
      </c>
      <c r="AT739" t="s">
        <v>12931</v>
      </c>
      <c r="AU739">
        <v>2010</v>
      </c>
      <c r="AV739">
        <v>63</v>
      </c>
      <c r="AW739">
        <v>2</v>
      </c>
      <c r="AX739" t="s">
        <v>74</v>
      </c>
      <c r="AY739" t="s">
        <v>74</v>
      </c>
      <c r="AZ739" t="s">
        <v>74</v>
      </c>
      <c r="BA739" t="s">
        <v>74</v>
      </c>
      <c r="BB739">
        <v>155</v>
      </c>
      <c r="BC739">
        <v>164</v>
      </c>
      <c r="BD739" t="s">
        <v>74</v>
      </c>
      <c r="BE739" t="s">
        <v>74</v>
      </c>
      <c r="BF739" t="s">
        <v>74</v>
      </c>
      <c r="BG739" t="s">
        <v>74</v>
      </c>
      <c r="BH739" t="s">
        <v>74</v>
      </c>
      <c r="BI739">
        <v>10</v>
      </c>
      <c r="BJ739" t="s">
        <v>99</v>
      </c>
      <c r="BK739" t="s">
        <v>100</v>
      </c>
      <c r="BL739" t="s">
        <v>101</v>
      </c>
      <c r="BM739" t="s">
        <v>13176</v>
      </c>
      <c r="BN739" t="s">
        <v>74</v>
      </c>
      <c r="BO739" t="s">
        <v>74</v>
      </c>
      <c r="BP739" t="s">
        <v>74</v>
      </c>
      <c r="BQ739" t="s">
        <v>74</v>
      </c>
      <c r="BR739" t="s">
        <v>104</v>
      </c>
      <c r="BS739" t="s">
        <v>13177</v>
      </c>
      <c r="BT739" t="str">
        <f>HYPERLINK("https%3A%2F%2Fwww.webofscience.com%2Fwos%2Fwoscc%2Ffull-record%2FWOS:000279379800003","View Full Record in Web of Science")</f>
        <v>View Full Record in Web of Science</v>
      </c>
    </row>
    <row r="740" spans="1:72" x14ac:dyDescent="0.15">
      <c r="A740" t="s">
        <v>72</v>
      </c>
      <c r="B740" t="s">
        <v>13178</v>
      </c>
      <c r="C740" t="s">
        <v>74</v>
      </c>
      <c r="D740" t="s">
        <v>74</v>
      </c>
      <c r="E740" t="s">
        <v>74</v>
      </c>
      <c r="F740" t="s">
        <v>13179</v>
      </c>
      <c r="G740" t="s">
        <v>74</v>
      </c>
      <c r="H740" t="s">
        <v>74</v>
      </c>
      <c r="I740" t="s">
        <v>13180</v>
      </c>
      <c r="J740" t="s">
        <v>1784</v>
      </c>
      <c r="K740" t="s">
        <v>74</v>
      </c>
      <c r="L740" t="s">
        <v>74</v>
      </c>
      <c r="M740" t="s">
        <v>78</v>
      </c>
      <c r="N740" t="s">
        <v>79</v>
      </c>
      <c r="O740" t="s">
        <v>74</v>
      </c>
      <c r="P740" t="s">
        <v>74</v>
      </c>
      <c r="Q740" t="s">
        <v>74</v>
      </c>
      <c r="R740" t="s">
        <v>74</v>
      </c>
      <c r="S740" t="s">
        <v>74</v>
      </c>
      <c r="T740" t="s">
        <v>13181</v>
      </c>
      <c r="U740" t="s">
        <v>13182</v>
      </c>
      <c r="V740" t="s">
        <v>13183</v>
      </c>
      <c r="W740" t="s">
        <v>13184</v>
      </c>
      <c r="X740" t="s">
        <v>13185</v>
      </c>
      <c r="Y740" t="s">
        <v>13186</v>
      </c>
      <c r="Z740" t="s">
        <v>74</v>
      </c>
      <c r="AA740" t="s">
        <v>13187</v>
      </c>
      <c r="AB740" t="s">
        <v>13188</v>
      </c>
      <c r="AC740" t="s">
        <v>13189</v>
      </c>
      <c r="AD740" t="s">
        <v>13190</v>
      </c>
      <c r="AE740" t="s">
        <v>13191</v>
      </c>
      <c r="AF740" t="s">
        <v>74</v>
      </c>
      <c r="AG740">
        <v>20</v>
      </c>
      <c r="AH740">
        <v>20</v>
      </c>
      <c r="AI740">
        <v>21</v>
      </c>
      <c r="AJ740">
        <v>0</v>
      </c>
      <c r="AK740">
        <v>2</v>
      </c>
      <c r="AL740" t="s">
        <v>1797</v>
      </c>
      <c r="AM740" t="s">
        <v>510</v>
      </c>
      <c r="AN740" t="s">
        <v>1798</v>
      </c>
      <c r="AO740" t="s">
        <v>1799</v>
      </c>
      <c r="AP740" t="s">
        <v>1800</v>
      </c>
      <c r="AQ740" t="s">
        <v>74</v>
      </c>
      <c r="AR740" t="s">
        <v>1801</v>
      </c>
      <c r="AS740" t="s">
        <v>1802</v>
      </c>
      <c r="AT740" t="s">
        <v>13192</v>
      </c>
      <c r="AU740">
        <v>2010</v>
      </c>
      <c r="AV740">
        <v>715</v>
      </c>
      <c r="AW740">
        <v>2</v>
      </c>
      <c r="AX740" t="s">
        <v>74</v>
      </c>
      <c r="AY740" t="s">
        <v>74</v>
      </c>
      <c r="AZ740" t="s">
        <v>74</v>
      </c>
      <c r="BA740" t="s">
        <v>74</v>
      </c>
      <c r="BB740">
        <v>1239</v>
      </c>
      <c r="BC740">
        <v>1247</v>
      </c>
      <c r="BD740" t="s">
        <v>74</v>
      </c>
      <c r="BE740" t="s">
        <v>13193</v>
      </c>
      <c r="BF740" t="str">
        <f>HYPERLINK("http://dx.doi.org/10.1088/0004-637X/715/2/1239","http://dx.doi.org/10.1088/0004-637X/715/2/1239")</f>
        <v>http://dx.doi.org/10.1088/0004-637X/715/2/1239</v>
      </c>
      <c r="BG740" t="s">
        <v>74</v>
      </c>
      <c r="BH740" t="s">
        <v>74</v>
      </c>
      <c r="BI740">
        <v>9</v>
      </c>
      <c r="BJ740" t="s">
        <v>1805</v>
      </c>
      <c r="BK740" t="s">
        <v>100</v>
      </c>
      <c r="BL740" t="s">
        <v>1805</v>
      </c>
      <c r="BM740" t="s">
        <v>13194</v>
      </c>
      <c r="BN740" t="s">
        <v>74</v>
      </c>
      <c r="BO740" t="s">
        <v>13195</v>
      </c>
      <c r="BP740" t="s">
        <v>74</v>
      </c>
      <c r="BQ740" t="s">
        <v>74</v>
      </c>
      <c r="BR740" t="s">
        <v>104</v>
      </c>
      <c r="BS740" t="s">
        <v>13196</v>
      </c>
      <c r="BT740" t="str">
        <f>HYPERLINK("https%3A%2F%2Fwww.webofscience.com%2Fwos%2Fwoscc%2Ffull-record%2FWOS:000277642100040","View Full Record in Web of Science")</f>
        <v>View Full Record in Web of Science</v>
      </c>
    </row>
    <row r="741" spans="1:72" x14ac:dyDescent="0.15">
      <c r="A741" t="s">
        <v>72</v>
      </c>
      <c r="B741" t="s">
        <v>13197</v>
      </c>
      <c r="C741" t="s">
        <v>74</v>
      </c>
      <c r="D741" t="s">
        <v>74</v>
      </c>
      <c r="E741" t="s">
        <v>74</v>
      </c>
      <c r="F741" t="s">
        <v>13198</v>
      </c>
      <c r="G741" t="s">
        <v>74</v>
      </c>
      <c r="H741" t="s">
        <v>74</v>
      </c>
      <c r="I741" t="s">
        <v>13199</v>
      </c>
      <c r="J741" t="s">
        <v>297</v>
      </c>
      <c r="K741" t="s">
        <v>74</v>
      </c>
      <c r="L741" t="s">
        <v>74</v>
      </c>
      <c r="M741" t="s">
        <v>78</v>
      </c>
      <c r="N741" t="s">
        <v>79</v>
      </c>
      <c r="O741" t="s">
        <v>74</v>
      </c>
      <c r="P741" t="s">
        <v>74</v>
      </c>
      <c r="Q741" t="s">
        <v>74</v>
      </c>
      <c r="R741" t="s">
        <v>74</v>
      </c>
      <c r="S741" t="s">
        <v>74</v>
      </c>
      <c r="T741" t="s">
        <v>13200</v>
      </c>
      <c r="U741" t="s">
        <v>13201</v>
      </c>
      <c r="V741" t="s">
        <v>13202</v>
      </c>
      <c r="W741" t="s">
        <v>13203</v>
      </c>
      <c r="X741" t="s">
        <v>5122</v>
      </c>
      <c r="Y741" t="s">
        <v>13204</v>
      </c>
      <c r="Z741" t="s">
        <v>13205</v>
      </c>
      <c r="AA741" t="s">
        <v>74</v>
      </c>
      <c r="AB741" t="s">
        <v>13206</v>
      </c>
      <c r="AC741" t="s">
        <v>5127</v>
      </c>
      <c r="AD741" t="s">
        <v>5127</v>
      </c>
      <c r="AE741" t="s">
        <v>13207</v>
      </c>
      <c r="AF741" t="s">
        <v>74</v>
      </c>
      <c r="AG741">
        <v>51</v>
      </c>
      <c r="AH741">
        <v>1</v>
      </c>
      <c r="AI741">
        <v>1</v>
      </c>
      <c r="AJ741">
        <v>0</v>
      </c>
      <c r="AK741">
        <v>5</v>
      </c>
      <c r="AL741" t="s">
        <v>309</v>
      </c>
      <c r="AM741" t="s">
        <v>310</v>
      </c>
      <c r="AN741" t="s">
        <v>311</v>
      </c>
      <c r="AO741" t="s">
        <v>312</v>
      </c>
      <c r="AP741" t="s">
        <v>313</v>
      </c>
      <c r="AQ741" t="s">
        <v>74</v>
      </c>
      <c r="AR741" t="s">
        <v>314</v>
      </c>
      <c r="AS741" t="s">
        <v>315</v>
      </c>
      <c r="AT741" t="s">
        <v>12931</v>
      </c>
      <c r="AU741">
        <v>2010</v>
      </c>
      <c r="AV741">
        <v>96</v>
      </c>
      <c r="AW741">
        <v>4</v>
      </c>
      <c r="AX741" t="s">
        <v>74</v>
      </c>
      <c r="AY741" t="s">
        <v>74</v>
      </c>
      <c r="AZ741" t="s">
        <v>74</v>
      </c>
      <c r="BA741" t="s">
        <v>74</v>
      </c>
      <c r="BB741">
        <v>544</v>
      </c>
      <c r="BC741">
        <v>552</v>
      </c>
      <c r="BD741" t="s">
        <v>74</v>
      </c>
      <c r="BE741" t="s">
        <v>13208</v>
      </c>
      <c r="BF741" t="str">
        <f>HYPERLINK("http://dx.doi.org/10.1016/j.atmosres.2010.01.002","http://dx.doi.org/10.1016/j.atmosres.2010.01.002")</f>
        <v>http://dx.doi.org/10.1016/j.atmosres.2010.01.002</v>
      </c>
      <c r="BG741" t="s">
        <v>74</v>
      </c>
      <c r="BH741" t="s">
        <v>74</v>
      </c>
      <c r="BI741">
        <v>9</v>
      </c>
      <c r="BJ741" t="s">
        <v>319</v>
      </c>
      <c r="BK741" t="s">
        <v>100</v>
      </c>
      <c r="BL741" t="s">
        <v>319</v>
      </c>
      <c r="BM741" t="s">
        <v>13209</v>
      </c>
      <c r="BN741" t="s">
        <v>74</v>
      </c>
      <c r="BO741" t="s">
        <v>74</v>
      </c>
      <c r="BP741" t="s">
        <v>74</v>
      </c>
      <c r="BQ741" t="s">
        <v>74</v>
      </c>
      <c r="BR741" t="s">
        <v>104</v>
      </c>
      <c r="BS741" t="s">
        <v>13210</v>
      </c>
      <c r="BT741" t="str">
        <f>HYPERLINK("https%3A%2F%2Fwww.webofscience.com%2Fwos%2Fwoscc%2Ffull-record%2FWOS:000278474200006","View Full Record in Web of Science")</f>
        <v>View Full Record in Web of Science</v>
      </c>
    </row>
    <row r="742" spans="1:72" x14ac:dyDescent="0.15">
      <c r="A742" t="s">
        <v>72</v>
      </c>
      <c r="B742" t="s">
        <v>13211</v>
      </c>
      <c r="C742" t="s">
        <v>74</v>
      </c>
      <c r="D742" t="s">
        <v>74</v>
      </c>
      <c r="E742" t="s">
        <v>74</v>
      </c>
      <c r="F742" t="s">
        <v>13212</v>
      </c>
      <c r="G742" t="s">
        <v>74</v>
      </c>
      <c r="H742" t="s">
        <v>74</v>
      </c>
      <c r="I742" t="s">
        <v>13213</v>
      </c>
      <c r="J742" t="s">
        <v>13214</v>
      </c>
      <c r="K742" t="s">
        <v>74</v>
      </c>
      <c r="L742" t="s">
        <v>74</v>
      </c>
      <c r="M742" t="s">
        <v>78</v>
      </c>
      <c r="N742" t="s">
        <v>79</v>
      </c>
      <c r="O742" t="s">
        <v>74</v>
      </c>
      <c r="P742" t="s">
        <v>74</v>
      </c>
      <c r="Q742" t="s">
        <v>74</v>
      </c>
      <c r="R742" t="s">
        <v>74</v>
      </c>
      <c r="S742" t="s">
        <v>74</v>
      </c>
      <c r="T742" t="s">
        <v>13215</v>
      </c>
      <c r="U742" t="s">
        <v>13216</v>
      </c>
      <c r="V742" t="s">
        <v>13217</v>
      </c>
      <c r="W742" t="s">
        <v>13218</v>
      </c>
      <c r="X742" t="s">
        <v>13219</v>
      </c>
      <c r="Y742" t="s">
        <v>13220</v>
      </c>
      <c r="Z742" t="s">
        <v>13221</v>
      </c>
      <c r="AA742" t="s">
        <v>13222</v>
      </c>
      <c r="AB742" t="s">
        <v>13223</v>
      </c>
      <c r="AC742" t="s">
        <v>13224</v>
      </c>
      <c r="AD742" t="s">
        <v>13225</v>
      </c>
      <c r="AE742" t="s">
        <v>13226</v>
      </c>
      <c r="AF742" t="s">
        <v>74</v>
      </c>
      <c r="AG742">
        <v>56</v>
      </c>
      <c r="AH742">
        <v>15</v>
      </c>
      <c r="AI742">
        <v>21</v>
      </c>
      <c r="AJ742">
        <v>0</v>
      </c>
      <c r="AK742">
        <v>25</v>
      </c>
      <c r="AL742" t="s">
        <v>1038</v>
      </c>
      <c r="AM742" t="s">
        <v>550</v>
      </c>
      <c r="AN742" t="s">
        <v>1039</v>
      </c>
      <c r="AO742" t="s">
        <v>13227</v>
      </c>
      <c r="AP742" t="s">
        <v>13228</v>
      </c>
      <c r="AQ742" t="s">
        <v>74</v>
      </c>
      <c r="AR742" t="s">
        <v>13229</v>
      </c>
      <c r="AS742" t="s">
        <v>13230</v>
      </c>
      <c r="AT742" t="s">
        <v>12931</v>
      </c>
      <c r="AU742">
        <v>2010</v>
      </c>
      <c r="AV742">
        <v>1800</v>
      </c>
      <c r="AW742">
        <v>6</v>
      </c>
      <c r="AX742" t="s">
        <v>74</v>
      </c>
      <c r="AY742" t="s">
        <v>74</v>
      </c>
      <c r="AZ742" t="s">
        <v>74</v>
      </c>
      <c r="BA742" t="s">
        <v>74</v>
      </c>
      <c r="BB742">
        <v>556</v>
      </c>
      <c r="BC742">
        <v>564</v>
      </c>
      <c r="BD742" t="s">
        <v>74</v>
      </c>
      <c r="BE742" t="s">
        <v>13231</v>
      </c>
      <c r="BF742" t="str">
        <f>HYPERLINK("http://dx.doi.org/10.1016/j.bbagen.2010.02.004","http://dx.doi.org/10.1016/j.bbagen.2010.02.004")</f>
        <v>http://dx.doi.org/10.1016/j.bbagen.2010.02.004</v>
      </c>
      <c r="BG742" t="s">
        <v>74</v>
      </c>
      <c r="BH742" t="s">
        <v>74</v>
      </c>
      <c r="BI742">
        <v>9</v>
      </c>
      <c r="BJ742" t="s">
        <v>6744</v>
      </c>
      <c r="BK742" t="s">
        <v>100</v>
      </c>
      <c r="BL742" t="s">
        <v>6744</v>
      </c>
      <c r="BM742" t="s">
        <v>13232</v>
      </c>
      <c r="BN742">
        <v>20167250</v>
      </c>
      <c r="BO742" t="s">
        <v>74</v>
      </c>
      <c r="BP742" t="s">
        <v>74</v>
      </c>
      <c r="BQ742" t="s">
        <v>74</v>
      </c>
      <c r="BR742" t="s">
        <v>104</v>
      </c>
      <c r="BS742" t="s">
        <v>13233</v>
      </c>
      <c r="BT742" t="str">
        <f>HYPERLINK("https%3A%2F%2Fwww.webofscience.com%2Fwos%2Fwoscc%2Ffull-record%2FWOS:000277849900002","View Full Record in Web of Science")</f>
        <v>View Full Record in Web of Science</v>
      </c>
    </row>
    <row r="743" spans="1:72" x14ac:dyDescent="0.15">
      <c r="A743" t="s">
        <v>72</v>
      </c>
      <c r="B743" t="s">
        <v>13234</v>
      </c>
      <c r="C743" t="s">
        <v>74</v>
      </c>
      <c r="D743" t="s">
        <v>74</v>
      </c>
      <c r="E743" t="s">
        <v>74</v>
      </c>
      <c r="F743" t="s">
        <v>13235</v>
      </c>
      <c r="G743" t="s">
        <v>74</v>
      </c>
      <c r="H743" t="s">
        <v>74</v>
      </c>
      <c r="I743" t="s">
        <v>13236</v>
      </c>
      <c r="J743" t="s">
        <v>13237</v>
      </c>
      <c r="K743" t="s">
        <v>74</v>
      </c>
      <c r="L743" t="s">
        <v>74</v>
      </c>
      <c r="M743" t="s">
        <v>78</v>
      </c>
      <c r="N743" t="s">
        <v>79</v>
      </c>
      <c r="O743" t="s">
        <v>74</v>
      </c>
      <c r="P743" t="s">
        <v>74</v>
      </c>
      <c r="Q743" t="s">
        <v>74</v>
      </c>
      <c r="R743" t="s">
        <v>74</v>
      </c>
      <c r="S743" t="s">
        <v>74</v>
      </c>
      <c r="T743" t="s">
        <v>13238</v>
      </c>
      <c r="U743" t="s">
        <v>13239</v>
      </c>
      <c r="V743" t="s">
        <v>13240</v>
      </c>
      <c r="W743" t="s">
        <v>13241</v>
      </c>
      <c r="X743" t="s">
        <v>13242</v>
      </c>
      <c r="Y743" t="s">
        <v>13243</v>
      </c>
      <c r="Z743" t="s">
        <v>13244</v>
      </c>
      <c r="AA743" t="s">
        <v>13245</v>
      </c>
      <c r="AB743" t="s">
        <v>13246</v>
      </c>
      <c r="AC743" t="s">
        <v>74</v>
      </c>
      <c r="AD743" t="s">
        <v>74</v>
      </c>
      <c r="AE743" t="s">
        <v>74</v>
      </c>
      <c r="AF743" t="s">
        <v>74</v>
      </c>
      <c r="AG743">
        <v>19</v>
      </c>
      <c r="AH743">
        <v>4</v>
      </c>
      <c r="AI743">
        <v>4</v>
      </c>
      <c r="AJ743">
        <v>1</v>
      </c>
      <c r="AK743">
        <v>9</v>
      </c>
      <c r="AL743" t="s">
        <v>13247</v>
      </c>
      <c r="AM743" t="s">
        <v>13248</v>
      </c>
      <c r="AN743" t="s">
        <v>13249</v>
      </c>
      <c r="AO743" t="s">
        <v>13250</v>
      </c>
      <c r="AP743" t="s">
        <v>13251</v>
      </c>
      <c r="AQ743" t="s">
        <v>74</v>
      </c>
      <c r="AR743" t="s">
        <v>13252</v>
      </c>
      <c r="AS743" t="s">
        <v>13253</v>
      </c>
      <c r="AT743" t="s">
        <v>12931</v>
      </c>
      <c r="AU743">
        <v>2010</v>
      </c>
      <c r="AV743">
        <v>15</v>
      </c>
      <c r="AW743">
        <v>2</v>
      </c>
      <c r="AX743" t="s">
        <v>74</v>
      </c>
      <c r="AY743" t="s">
        <v>74</v>
      </c>
      <c r="AZ743" t="s">
        <v>74</v>
      </c>
      <c r="BA743" t="s">
        <v>74</v>
      </c>
      <c r="BB743">
        <v>57</v>
      </c>
      <c r="BC743">
        <v>62</v>
      </c>
      <c r="BD743" t="s">
        <v>74</v>
      </c>
      <c r="BE743" t="s">
        <v>13254</v>
      </c>
      <c r="BF743" t="str">
        <f>HYPERLINK("http://dx.doi.org/10.4265/bio.15.57","http://dx.doi.org/10.4265/bio.15.57")</f>
        <v>http://dx.doi.org/10.4265/bio.15.57</v>
      </c>
      <c r="BG743" t="s">
        <v>74</v>
      </c>
      <c r="BH743" t="s">
        <v>74</v>
      </c>
      <c r="BI743">
        <v>6</v>
      </c>
      <c r="BJ743" t="s">
        <v>13255</v>
      </c>
      <c r="BK743" t="s">
        <v>100</v>
      </c>
      <c r="BL743" t="s">
        <v>13256</v>
      </c>
      <c r="BM743" t="s">
        <v>13257</v>
      </c>
      <c r="BN743">
        <v>20616433</v>
      </c>
      <c r="BO743" t="s">
        <v>394</v>
      </c>
      <c r="BP743" t="s">
        <v>74</v>
      </c>
      <c r="BQ743" t="s">
        <v>74</v>
      </c>
      <c r="BR743" t="s">
        <v>104</v>
      </c>
      <c r="BS743" t="s">
        <v>13258</v>
      </c>
      <c r="BT743" t="str">
        <f>HYPERLINK("https%3A%2F%2Fwww.webofscience.com%2Fwos%2Fwoscc%2Ffull-record%2FWOS:000279207200004","View Full Record in Web of Science")</f>
        <v>View Full Record in Web of Science</v>
      </c>
    </row>
    <row r="744" spans="1:72" x14ac:dyDescent="0.15">
      <c r="A744" t="s">
        <v>72</v>
      </c>
      <c r="B744" t="s">
        <v>13259</v>
      </c>
      <c r="C744" t="s">
        <v>74</v>
      </c>
      <c r="D744" t="s">
        <v>74</v>
      </c>
      <c r="E744" t="s">
        <v>74</v>
      </c>
      <c r="F744" t="s">
        <v>13260</v>
      </c>
      <c r="G744" t="s">
        <v>74</v>
      </c>
      <c r="H744" t="s">
        <v>74</v>
      </c>
      <c r="I744" t="s">
        <v>13261</v>
      </c>
      <c r="J744" t="s">
        <v>13262</v>
      </c>
      <c r="K744" t="s">
        <v>74</v>
      </c>
      <c r="L744" t="s">
        <v>74</v>
      </c>
      <c r="M744" t="s">
        <v>78</v>
      </c>
      <c r="N744" t="s">
        <v>1202</v>
      </c>
      <c r="O744" t="s">
        <v>13263</v>
      </c>
      <c r="P744" t="s">
        <v>13264</v>
      </c>
      <c r="Q744" t="s">
        <v>13265</v>
      </c>
      <c r="R744" t="s">
        <v>74</v>
      </c>
      <c r="S744" t="s">
        <v>74</v>
      </c>
      <c r="T744" t="s">
        <v>74</v>
      </c>
      <c r="U744" t="s">
        <v>13266</v>
      </c>
      <c r="V744" t="s">
        <v>13267</v>
      </c>
      <c r="W744" t="s">
        <v>13268</v>
      </c>
      <c r="X744" t="s">
        <v>13269</v>
      </c>
      <c r="Y744" t="s">
        <v>13270</v>
      </c>
      <c r="Z744" t="s">
        <v>13271</v>
      </c>
      <c r="AA744" t="s">
        <v>74</v>
      </c>
      <c r="AB744" t="s">
        <v>13272</v>
      </c>
      <c r="AC744" t="s">
        <v>74</v>
      </c>
      <c r="AD744" t="s">
        <v>74</v>
      </c>
      <c r="AE744" t="s">
        <v>74</v>
      </c>
      <c r="AF744" t="s">
        <v>74</v>
      </c>
      <c r="AG744">
        <v>25</v>
      </c>
      <c r="AH744">
        <v>9</v>
      </c>
      <c r="AI744">
        <v>9</v>
      </c>
      <c r="AJ744">
        <v>0</v>
      </c>
      <c r="AK744">
        <v>17</v>
      </c>
      <c r="AL744" t="s">
        <v>13273</v>
      </c>
      <c r="AM744" t="s">
        <v>13274</v>
      </c>
      <c r="AN744" t="s">
        <v>13275</v>
      </c>
      <c r="AO744" t="s">
        <v>13276</v>
      </c>
      <c r="AP744" t="s">
        <v>13277</v>
      </c>
      <c r="AQ744" t="s">
        <v>74</v>
      </c>
      <c r="AR744" t="s">
        <v>13278</v>
      </c>
      <c r="AS744" t="s">
        <v>13279</v>
      </c>
      <c r="AT744" t="s">
        <v>13280</v>
      </c>
      <c r="AU744">
        <v>2010</v>
      </c>
      <c r="AV744">
        <v>51</v>
      </c>
      <c r="AW744" t="s">
        <v>5207</v>
      </c>
      <c r="AX744" t="s">
        <v>74</v>
      </c>
      <c r="AY744" t="s">
        <v>74</v>
      </c>
      <c r="AZ744" t="s">
        <v>74</v>
      </c>
      <c r="BA744" t="s">
        <v>74</v>
      </c>
      <c r="BB744">
        <v>77</v>
      </c>
      <c r="BC744">
        <v>88</v>
      </c>
      <c r="BD744" t="s">
        <v>74</v>
      </c>
      <c r="BE744" t="s">
        <v>74</v>
      </c>
      <c r="BF744" t="s">
        <v>74</v>
      </c>
      <c r="BG744" t="s">
        <v>74</v>
      </c>
      <c r="BH744" t="s">
        <v>74</v>
      </c>
      <c r="BI744">
        <v>12</v>
      </c>
      <c r="BJ744" t="s">
        <v>558</v>
      </c>
      <c r="BK744" t="s">
        <v>1219</v>
      </c>
      <c r="BL744" t="s">
        <v>558</v>
      </c>
      <c r="BM744" t="s">
        <v>13281</v>
      </c>
      <c r="BN744" t="s">
        <v>74</v>
      </c>
      <c r="BO744" t="s">
        <v>74</v>
      </c>
      <c r="BP744" t="s">
        <v>74</v>
      </c>
      <c r="BQ744" t="s">
        <v>74</v>
      </c>
      <c r="BR744" t="s">
        <v>104</v>
      </c>
      <c r="BS744" t="s">
        <v>13282</v>
      </c>
      <c r="BT744" t="str">
        <f>HYPERLINK("https%3A%2F%2Fwww.webofscience.com%2Fwos%2Fwoscc%2Ffull-record%2FWOS:000279766900002","View Full Record in Web of Science")</f>
        <v>View Full Record in Web of Science</v>
      </c>
    </row>
    <row r="745" spans="1:72" x14ac:dyDescent="0.15">
      <c r="A745" t="s">
        <v>72</v>
      </c>
      <c r="B745" t="s">
        <v>13283</v>
      </c>
      <c r="C745" t="s">
        <v>74</v>
      </c>
      <c r="D745" t="s">
        <v>74</v>
      </c>
      <c r="E745" t="s">
        <v>74</v>
      </c>
      <c r="F745" t="s">
        <v>13284</v>
      </c>
      <c r="G745" t="s">
        <v>74</v>
      </c>
      <c r="H745" t="s">
        <v>74</v>
      </c>
      <c r="I745" t="s">
        <v>13285</v>
      </c>
      <c r="J745" t="s">
        <v>13286</v>
      </c>
      <c r="K745" t="s">
        <v>74</v>
      </c>
      <c r="L745" t="s">
        <v>74</v>
      </c>
      <c r="M745" t="s">
        <v>78</v>
      </c>
      <c r="N745" t="s">
        <v>79</v>
      </c>
      <c r="O745" t="s">
        <v>74</v>
      </c>
      <c r="P745" t="s">
        <v>74</v>
      </c>
      <c r="Q745" t="s">
        <v>74</v>
      </c>
      <c r="R745" t="s">
        <v>74</v>
      </c>
      <c r="S745" t="s">
        <v>74</v>
      </c>
      <c r="T745" t="s">
        <v>13287</v>
      </c>
      <c r="U745" t="s">
        <v>13288</v>
      </c>
      <c r="V745" t="s">
        <v>13289</v>
      </c>
      <c r="W745" t="s">
        <v>13290</v>
      </c>
      <c r="X745" t="s">
        <v>13291</v>
      </c>
      <c r="Y745" t="s">
        <v>13292</v>
      </c>
      <c r="Z745" t="s">
        <v>13293</v>
      </c>
      <c r="AA745" t="s">
        <v>13294</v>
      </c>
      <c r="AB745" t="s">
        <v>13295</v>
      </c>
      <c r="AC745" t="s">
        <v>13296</v>
      </c>
      <c r="AD745" t="s">
        <v>13297</v>
      </c>
      <c r="AE745" t="s">
        <v>13298</v>
      </c>
      <c r="AF745" t="s">
        <v>74</v>
      </c>
      <c r="AG745">
        <v>62</v>
      </c>
      <c r="AH745">
        <v>13</v>
      </c>
      <c r="AI745">
        <v>13</v>
      </c>
      <c r="AJ745">
        <v>0</v>
      </c>
      <c r="AK745">
        <v>13</v>
      </c>
      <c r="AL745" t="s">
        <v>13299</v>
      </c>
      <c r="AM745" t="s">
        <v>13300</v>
      </c>
      <c r="AN745" t="s">
        <v>13301</v>
      </c>
      <c r="AO745" t="s">
        <v>13302</v>
      </c>
      <c r="AP745" t="s">
        <v>13303</v>
      </c>
      <c r="AQ745" t="s">
        <v>74</v>
      </c>
      <c r="AR745" t="s">
        <v>13286</v>
      </c>
      <c r="AS745" t="s">
        <v>13304</v>
      </c>
      <c r="AT745" t="s">
        <v>13305</v>
      </c>
      <c r="AU745">
        <v>2010</v>
      </c>
      <c r="AV745">
        <v>113</v>
      </c>
      <c r="AW745">
        <v>2</v>
      </c>
      <c r="AX745" t="s">
        <v>74</v>
      </c>
      <c r="AY745" t="s">
        <v>74</v>
      </c>
      <c r="AZ745" t="s">
        <v>74</v>
      </c>
      <c r="BA745" t="s">
        <v>74</v>
      </c>
      <c r="BB745">
        <v>277</v>
      </c>
      <c r="BC745">
        <v>291</v>
      </c>
      <c r="BD745" t="s">
        <v>74</v>
      </c>
      <c r="BE745" t="s">
        <v>13306</v>
      </c>
      <c r="BF745" t="str">
        <f>HYPERLINK("http://dx.doi.org/10.1639/0007-2745-113.2.277","http://dx.doi.org/10.1639/0007-2745-113.2.277")</f>
        <v>http://dx.doi.org/10.1639/0007-2745-113.2.277</v>
      </c>
      <c r="BG745" t="s">
        <v>74</v>
      </c>
      <c r="BH745" t="s">
        <v>74</v>
      </c>
      <c r="BI745">
        <v>15</v>
      </c>
      <c r="BJ745" t="s">
        <v>4002</v>
      </c>
      <c r="BK745" t="s">
        <v>100</v>
      </c>
      <c r="BL745" t="s">
        <v>4002</v>
      </c>
      <c r="BM745" t="s">
        <v>13307</v>
      </c>
      <c r="BN745" t="s">
        <v>74</v>
      </c>
      <c r="BO745" t="s">
        <v>74</v>
      </c>
      <c r="BP745" t="s">
        <v>74</v>
      </c>
      <c r="BQ745" t="s">
        <v>74</v>
      </c>
      <c r="BR745" t="s">
        <v>104</v>
      </c>
      <c r="BS745" t="s">
        <v>13308</v>
      </c>
      <c r="BT745" t="str">
        <f>HYPERLINK("https%3A%2F%2Fwww.webofscience.com%2Fwos%2Fwoscc%2Ffull-record%2FWOS:000279869600008","View Full Record in Web of Science")</f>
        <v>View Full Record in Web of Science</v>
      </c>
    </row>
    <row r="746" spans="1:72" x14ac:dyDescent="0.15">
      <c r="A746" t="s">
        <v>72</v>
      </c>
      <c r="B746" t="s">
        <v>13309</v>
      </c>
      <c r="C746" t="s">
        <v>74</v>
      </c>
      <c r="D746" t="s">
        <v>74</v>
      </c>
      <c r="E746" t="s">
        <v>74</v>
      </c>
      <c r="F746" t="s">
        <v>13310</v>
      </c>
      <c r="G746" t="s">
        <v>74</v>
      </c>
      <c r="H746" t="s">
        <v>74</v>
      </c>
      <c r="I746" t="s">
        <v>13311</v>
      </c>
      <c r="J746" t="s">
        <v>13312</v>
      </c>
      <c r="K746" t="s">
        <v>74</v>
      </c>
      <c r="L746" t="s">
        <v>74</v>
      </c>
      <c r="M746" t="s">
        <v>78</v>
      </c>
      <c r="N746" t="s">
        <v>79</v>
      </c>
      <c r="O746" t="s">
        <v>74</v>
      </c>
      <c r="P746" t="s">
        <v>74</v>
      </c>
      <c r="Q746" t="s">
        <v>74</v>
      </c>
      <c r="R746" t="s">
        <v>74</v>
      </c>
      <c r="S746" t="s">
        <v>74</v>
      </c>
      <c r="T746" t="s">
        <v>74</v>
      </c>
      <c r="U746" t="s">
        <v>13313</v>
      </c>
      <c r="V746" t="s">
        <v>13314</v>
      </c>
      <c r="W746" t="s">
        <v>13315</v>
      </c>
      <c r="X746" t="s">
        <v>13316</v>
      </c>
      <c r="Y746" t="s">
        <v>13317</v>
      </c>
      <c r="Z746" t="s">
        <v>13318</v>
      </c>
      <c r="AA746" t="s">
        <v>13319</v>
      </c>
      <c r="AB746" t="s">
        <v>13320</v>
      </c>
      <c r="AC746" t="s">
        <v>13321</v>
      </c>
      <c r="AD746" t="s">
        <v>13322</v>
      </c>
      <c r="AE746" t="s">
        <v>13323</v>
      </c>
      <c r="AF746" t="s">
        <v>74</v>
      </c>
      <c r="AG746">
        <v>31</v>
      </c>
      <c r="AH746">
        <v>48</v>
      </c>
      <c r="AI746">
        <v>48</v>
      </c>
      <c r="AJ746">
        <v>0</v>
      </c>
      <c r="AK746">
        <v>14</v>
      </c>
      <c r="AL746" t="s">
        <v>3432</v>
      </c>
      <c r="AM746" t="s">
        <v>3433</v>
      </c>
      <c r="AN746" t="s">
        <v>3434</v>
      </c>
      <c r="AO746" t="s">
        <v>13324</v>
      </c>
      <c r="AP746" t="s">
        <v>13325</v>
      </c>
      <c r="AQ746" t="s">
        <v>74</v>
      </c>
      <c r="AR746" t="s">
        <v>13326</v>
      </c>
      <c r="AS746" t="s">
        <v>13327</v>
      </c>
      <c r="AT746" t="s">
        <v>12931</v>
      </c>
      <c r="AU746">
        <v>2010</v>
      </c>
      <c r="AV746">
        <v>91</v>
      </c>
      <c r="AW746">
        <v>6</v>
      </c>
      <c r="AX746" t="s">
        <v>74</v>
      </c>
      <c r="AY746" t="s">
        <v>74</v>
      </c>
      <c r="AZ746" t="s">
        <v>74</v>
      </c>
      <c r="BA746" t="s">
        <v>74</v>
      </c>
      <c r="BB746">
        <v>741</v>
      </c>
      <c r="BC746">
        <v>751</v>
      </c>
      <c r="BD746" t="s">
        <v>74</v>
      </c>
      <c r="BE746" t="s">
        <v>13328</v>
      </c>
      <c r="BF746" t="str">
        <f>HYPERLINK("http://dx.doi.org/10.1175/2009BAMS2852.1","http://dx.doi.org/10.1175/2009BAMS2852.1")</f>
        <v>http://dx.doi.org/10.1175/2009BAMS2852.1</v>
      </c>
      <c r="BG746" t="s">
        <v>74</v>
      </c>
      <c r="BH746" t="s">
        <v>74</v>
      </c>
      <c r="BI746">
        <v>11</v>
      </c>
      <c r="BJ746" t="s">
        <v>319</v>
      </c>
      <c r="BK746" t="s">
        <v>100</v>
      </c>
      <c r="BL746" t="s">
        <v>319</v>
      </c>
      <c r="BM746" t="s">
        <v>13329</v>
      </c>
      <c r="BN746" t="s">
        <v>74</v>
      </c>
      <c r="BO746" t="s">
        <v>7523</v>
      </c>
      <c r="BP746" t="s">
        <v>74</v>
      </c>
      <c r="BQ746" t="s">
        <v>74</v>
      </c>
      <c r="BR746" t="s">
        <v>104</v>
      </c>
      <c r="BS746" t="s">
        <v>13330</v>
      </c>
      <c r="BT746" t="str">
        <f>HYPERLINK("https%3A%2F%2Fwww.webofscience.com%2Fwos%2Fwoscc%2Ffull-record%2FWOS:000280107300003","View Full Record in Web of Science")</f>
        <v>View Full Record in Web of Science</v>
      </c>
    </row>
    <row r="747" spans="1:72" x14ac:dyDescent="0.15">
      <c r="A747" t="s">
        <v>72</v>
      </c>
      <c r="B747" t="s">
        <v>13331</v>
      </c>
      <c r="C747" t="s">
        <v>74</v>
      </c>
      <c r="D747" t="s">
        <v>74</v>
      </c>
      <c r="E747" t="s">
        <v>74</v>
      </c>
      <c r="F747" t="s">
        <v>13332</v>
      </c>
      <c r="G747" t="s">
        <v>74</v>
      </c>
      <c r="H747" t="s">
        <v>74</v>
      </c>
      <c r="I747" t="s">
        <v>13333</v>
      </c>
      <c r="J747" t="s">
        <v>13334</v>
      </c>
      <c r="K747" t="s">
        <v>74</v>
      </c>
      <c r="L747" t="s">
        <v>74</v>
      </c>
      <c r="M747" t="s">
        <v>78</v>
      </c>
      <c r="N747" t="s">
        <v>79</v>
      </c>
      <c r="O747" t="s">
        <v>74</v>
      </c>
      <c r="P747" t="s">
        <v>74</v>
      </c>
      <c r="Q747" t="s">
        <v>74</v>
      </c>
      <c r="R747" t="s">
        <v>74</v>
      </c>
      <c r="S747" t="s">
        <v>74</v>
      </c>
      <c r="T747" t="s">
        <v>13335</v>
      </c>
      <c r="U747" t="s">
        <v>13336</v>
      </c>
      <c r="V747" t="s">
        <v>13337</v>
      </c>
      <c r="W747" t="s">
        <v>13338</v>
      </c>
      <c r="X747" t="s">
        <v>13339</v>
      </c>
      <c r="Y747" t="s">
        <v>13340</v>
      </c>
      <c r="Z747" t="s">
        <v>13341</v>
      </c>
      <c r="AA747" t="s">
        <v>13342</v>
      </c>
      <c r="AB747" t="s">
        <v>13343</v>
      </c>
      <c r="AC747" t="s">
        <v>13344</v>
      </c>
      <c r="AD747" t="s">
        <v>13344</v>
      </c>
      <c r="AE747" t="s">
        <v>13345</v>
      </c>
      <c r="AF747" t="s">
        <v>74</v>
      </c>
      <c r="AG747">
        <v>34</v>
      </c>
      <c r="AH747">
        <v>62</v>
      </c>
      <c r="AI747">
        <v>70</v>
      </c>
      <c r="AJ747">
        <v>0</v>
      </c>
      <c r="AK747">
        <v>54</v>
      </c>
      <c r="AL747" t="s">
        <v>264</v>
      </c>
      <c r="AM747" t="s">
        <v>265</v>
      </c>
      <c r="AN747" t="s">
        <v>266</v>
      </c>
      <c r="AO747" t="s">
        <v>13346</v>
      </c>
      <c r="AP747" t="s">
        <v>13347</v>
      </c>
      <c r="AQ747" t="s">
        <v>74</v>
      </c>
      <c r="AR747" t="s">
        <v>13334</v>
      </c>
      <c r="AS747" t="s">
        <v>13348</v>
      </c>
      <c r="AT747" t="s">
        <v>12931</v>
      </c>
      <c r="AU747">
        <v>2010</v>
      </c>
      <c r="AV747">
        <v>80</v>
      </c>
      <c r="AW747">
        <v>3</v>
      </c>
      <c r="AX747" t="s">
        <v>74</v>
      </c>
      <c r="AY747" t="s">
        <v>74</v>
      </c>
      <c r="AZ747" t="s">
        <v>74</v>
      </c>
      <c r="BA747" t="s">
        <v>74</v>
      </c>
      <c r="BB747">
        <v>319</v>
      </c>
      <c r="BC747">
        <v>326</v>
      </c>
      <c r="BD747" t="s">
        <v>74</v>
      </c>
      <c r="BE747" t="s">
        <v>13349</v>
      </c>
      <c r="BF747" t="str">
        <f>HYPERLINK("http://dx.doi.org/10.1016/j.chemosphere.2010.03.055","http://dx.doi.org/10.1016/j.chemosphere.2010.03.055")</f>
        <v>http://dx.doi.org/10.1016/j.chemosphere.2010.03.055</v>
      </c>
      <c r="BG747" t="s">
        <v>74</v>
      </c>
      <c r="BH747" t="s">
        <v>74</v>
      </c>
      <c r="BI747">
        <v>8</v>
      </c>
      <c r="BJ747" t="s">
        <v>3562</v>
      </c>
      <c r="BK747" t="s">
        <v>100</v>
      </c>
      <c r="BL747" t="s">
        <v>2797</v>
      </c>
      <c r="BM747" t="s">
        <v>13350</v>
      </c>
      <c r="BN747">
        <v>20471057</v>
      </c>
      <c r="BO747" t="s">
        <v>74</v>
      </c>
      <c r="BP747" t="s">
        <v>74</v>
      </c>
      <c r="BQ747" t="s">
        <v>74</v>
      </c>
      <c r="BR747" t="s">
        <v>104</v>
      </c>
      <c r="BS747" t="s">
        <v>13351</v>
      </c>
      <c r="BT747" t="str">
        <f>HYPERLINK("https%3A%2F%2Fwww.webofscience.com%2Fwos%2Fwoscc%2Ffull-record%2FWOS:000279132900017","View Full Record in Web of Science")</f>
        <v>View Full Record in Web of Science</v>
      </c>
    </row>
    <row r="748" spans="1:72" x14ac:dyDescent="0.15">
      <c r="A748" t="s">
        <v>72</v>
      </c>
      <c r="B748" t="s">
        <v>13352</v>
      </c>
      <c r="C748" t="s">
        <v>74</v>
      </c>
      <c r="D748" t="s">
        <v>74</v>
      </c>
      <c r="E748" t="s">
        <v>74</v>
      </c>
      <c r="F748" t="s">
        <v>13353</v>
      </c>
      <c r="G748" t="s">
        <v>74</v>
      </c>
      <c r="H748" t="s">
        <v>74</v>
      </c>
      <c r="I748" t="s">
        <v>13354</v>
      </c>
      <c r="J748" t="s">
        <v>451</v>
      </c>
      <c r="K748" t="s">
        <v>74</v>
      </c>
      <c r="L748" t="s">
        <v>74</v>
      </c>
      <c r="M748" t="s">
        <v>78</v>
      </c>
      <c r="N748" t="s">
        <v>79</v>
      </c>
      <c r="O748" t="s">
        <v>74</v>
      </c>
      <c r="P748" t="s">
        <v>74</v>
      </c>
      <c r="Q748" t="s">
        <v>74</v>
      </c>
      <c r="R748" t="s">
        <v>74</v>
      </c>
      <c r="S748" t="s">
        <v>74</v>
      </c>
      <c r="T748" t="s">
        <v>13355</v>
      </c>
      <c r="U748" t="s">
        <v>13356</v>
      </c>
      <c r="V748" t="s">
        <v>13357</v>
      </c>
      <c r="W748" t="s">
        <v>13358</v>
      </c>
      <c r="X748" t="s">
        <v>13359</v>
      </c>
      <c r="Y748" t="s">
        <v>13360</v>
      </c>
      <c r="Z748" t="s">
        <v>13361</v>
      </c>
      <c r="AA748" t="s">
        <v>13362</v>
      </c>
      <c r="AB748" t="s">
        <v>13363</v>
      </c>
      <c r="AC748" t="s">
        <v>13364</v>
      </c>
      <c r="AD748" t="s">
        <v>13364</v>
      </c>
      <c r="AE748" t="s">
        <v>13365</v>
      </c>
      <c r="AF748" t="s">
        <v>74</v>
      </c>
      <c r="AG748">
        <v>42</v>
      </c>
      <c r="AH748">
        <v>23</v>
      </c>
      <c r="AI748">
        <v>25</v>
      </c>
      <c r="AJ748">
        <v>69</v>
      </c>
      <c r="AK748">
        <v>424</v>
      </c>
      <c r="AL748" t="s">
        <v>464</v>
      </c>
      <c r="AM748" t="s">
        <v>310</v>
      </c>
      <c r="AN748" t="s">
        <v>971</v>
      </c>
      <c r="AO748" t="s">
        <v>466</v>
      </c>
      <c r="AP748" t="s">
        <v>467</v>
      </c>
      <c r="AQ748" t="s">
        <v>74</v>
      </c>
      <c r="AR748" t="s">
        <v>468</v>
      </c>
      <c r="AS748" t="s">
        <v>469</v>
      </c>
      <c r="AT748" t="s">
        <v>12931</v>
      </c>
      <c r="AU748">
        <v>2010</v>
      </c>
      <c r="AV748">
        <v>34</v>
      </c>
      <c r="AW748" t="s">
        <v>11074</v>
      </c>
      <c r="AX748" t="s">
        <v>74</v>
      </c>
      <c r="AY748" t="s">
        <v>74</v>
      </c>
      <c r="AZ748" t="s">
        <v>74</v>
      </c>
      <c r="BA748" t="s">
        <v>74</v>
      </c>
      <c r="BB748">
        <v>919</v>
      </c>
      <c r="BC748">
        <v>933</v>
      </c>
      <c r="BD748" t="s">
        <v>74</v>
      </c>
      <c r="BE748" t="s">
        <v>13366</v>
      </c>
      <c r="BF748" t="str">
        <f>HYPERLINK("http://dx.doi.org/10.1007/s00382-009-0541-8","http://dx.doi.org/10.1007/s00382-009-0541-8")</f>
        <v>http://dx.doi.org/10.1007/s00382-009-0541-8</v>
      </c>
      <c r="BG748" t="s">
        <v>74</v>
      </c>
      <c r="BH748" t="s">
        <v>74</v>
      </c>
      <c r="BI748">
        <v>15</v>
      </c>
      <c r="BJ748" t="s">
        <v>319</v>
      </c>
      <c r="BK748" t="s">
        <v>100</v>
      </c>
      <c r="BL748" t="s">
        <v>319</v>
      </c>
      <c r="BM748" t="s">
        <v>13367</v>
      </c>
      <c r="BN748" t="s">
        <v>74</v>
      </c>
      <c r="BO748" t="s">
        <v>74</v>
      </c>
      <c r="BP748" t="s">
        <v>74</v>
      </c>
      <c r="BQ748" t="s">
        <v>74</v>
      </c>
      <c r="BR748" t="s">
        <v>104</v>
      </c>
      <c r="BS748" t="s">
        <v>13368</v>
      </c>
      <c r="BT748" t="str">
        <f>HYPERLINK("https%3A%2F%2Fwww.webofscience.com%2Fwos%2Fwoscc%2Ffull-record%2FWOS:000278088400001","View Full Record in Web of Science")</f>
        <v>View Full Record in Web of Science</v>
      </c>
    </row>
    <row r="749" spans="1:72" x14ac:dyDescent="0.15">
      <c r="A749" t="s">
        <v>72</v>
      </c>
      <c r="B749" t="s">
        <v>13369</v>
      </c>
      <c r="C749" t="s">
        <v>74</v>
      </c>
      <c r="D749" t="s">
        <v>74</v>
      </c>
      <c r="E749" t="s">
        <v>74</v>
      </c>
      <c r="F749" t="s">
        <v>13370</v>
      </c>
      <c r="G749" t="s">
        <v>74</v>
      </c>
      <c r="H749" t="s">
        <v>74</v>
      </c>
      <c r="I749" t="s">
        <v>13371</v>
      </c>
      <c r="J749" t="s">
        <v>5666</v>
      </c>
      <c r="K749" t="s">
        <v>74</v>
      </c>
      <c r="L749" t="s">
        <v>74</v>
      </c>
      <c r="M749" t="s">
        <v>78</v>
      </c>
      <c r="N749" t="s">
        <v>79</v>
      </c>
      <c r="O749" t="s">
        <v>74</v>
      </c>
      <c r="P749" t="s">
        <v>74</v>
      </c>
      <c r="Q749" t="s">
        <v>74</v>
      </c>
      <c r="R749" t="s">
        <v>74</v>
      </c>
      <c r="S749" t="s">
        <v>74</v>
      </c>
      <c r="T749" t="s">
        <v>13372</v>
      </c>
      <c r="U749" t="s">
        <v>13373</v>
      </c>
      <c r="V749" t="s">
        <v>13374</v>
      </c>
      <c r="W749" t="s">
        <v>13375</v>
      </c>
      <c r="X749" t="s">
        <v>13376</v>
      </c>
      <c r="Y749" t="s">
        <v>13377</v>
      </c>
      <c r="Z749" t="s">
        <v>13378</v>
      </c>
      <c r="AA749" t="s">
        <v>13379</v>
      </c>
      <c r="AB749" t="s">
        <v>13380</v>
      </c>
      <c r="AC749" t="s">
        <v>13381</v>
      </c>
      <c r="AD749" t="s">
        <v>13382</v>
      </c>
      <c r="AE749" t="s">
        <v>13383</v>
      </c>
      <c r="AF749" t="s">
        <v>74</v>
      </c>
      <c r="AG749">
        <v>43</v>
      </c>
      <c r="AH749">
        <v>7</v>
      </c>
      <c r="AI749">
        <v>7</v>
      </c>
      <c r="AJ749">
        <v>0</v>
      </c>
      <c r="AK749">
        <v>8</v>
      </c>
      <c r="AL749" t="s">
        <v>309</v>
      </c>
      <c r="AM749" t="s">
        <v>310</v>
      </c>
      <c r="AN749" t="s">
        <v>5672</v>
      </c>
      <c r="AO749" t="s">
        <v>5673</v>
      </c>
      <c r="AP749" t="s">
        <v>74</v>
      </c>
      <c r="AQ749" t="s">
        <v>74</v>
      </c>
      <c r="AR749" t="s">
        <v>5674</v>
      </c>
      <c r="AS749" t="s">
        <v>5675</v>
      </c>
      <c r="AT749" t="s">
        <v>12931</v>
      </c>
      <c r="AU749">
        <v>2010</v>
      </c>
      <c r="AV749">
        <v>156</v>
      </c>
      <c r="AW749">
        <v>2</v>
      </c>
      <c r="AX749" t="s">
        <v>74</v>
      </c>
      <c r="AY749" t="s">
        <v>74</v>
      </c>
      <c r="AZ749" t="s">
        <v>74</v>
      </c>
      <c r="BA749" t="s">
        <v>74</v>
      </c>
      <c r="BB749">
        <v>232</v>
      </c>
      <c r="BC749">
        <v>236</v>
      </c>
      <c r="BD749" t="s">
        <v>74</v>
      </c>
      <c r="BE749" t="s">
        <v>13384</v>
      </c>
      <c r="BF749" t="str">
        <f>HYPERLINK("http://dx.doi.org/10.1016/j.cbpa.2010.02.004","http://dx.doi.org/10.1016/j.cbpa.2010.02.004")</f>
        <v>http://dx.doi.org/10.1016/j.cbpa.2010.02.004</v>
      </c>
      <c r="BG749" t="s">
        <v>74</v>
      </c>
      <c r="BH749" t="s">
        <v>74</v>
      </c>
      <c r="BI749">
        <v>5</v>
      </c>
      <c r="BJ749" t="s">
        <v>5678</v>
      </c>
      <c r="BK749" t="s">
        <v>100</v>
      </c>
      <c r="BL749" t="s">
        <v>5678</v>
      </c>
      <c r="BM749" t="s">
        <v>13385</v>
      </c>
      <c r="BN749">
        <v>20170742</v>
      </c>
      <c r="BO749" t="s">
        <v>74</v>
      </c>
      <c r="BP749" t="s">
        <v>74</v>
      </c>
      <c r="BQ749" t="s">
        <v>74</v>
      </c>
      <c r="BR749" t="s">
        <v>104</v>
      </c>
      <c r="BS749" t="s">
        <v>13386</v>
      </c>
      <c r="BT749" t="str">
        <f>HYPERLINK("https%3A%2F%2Fwww.webofscience.com%2Fwos%2Fwoscc%2Ffull-record%2FWOS:000277748500010","View Full Record in Web of Science")</f>
        <v>View Full Record in Web of Science</v>
      </c>
    </row>
    <row r="750" spans="1:72" x14ac:dyDescent="0.15">
      <c r="A750" t="s">
        <v>72</v>
      </c>
      <c r="B750" t="s">
        <v>13387</v>
      </c>
      <c r="C750" t="s">
        <v>74</v>
      </c>
      <c r="D750" t="s">
        <v>74</v>
      </c>
      <c r="E750" t="s">
        <v>74</v>
      </c>
      <c r="F750" t="s">
        <v>13388</v>
      </c>
      <c r="G750" t="s">
        <v>74</v>
      </c>
      <c r="H750" t="s">
        <v>74</v>
      </c>
      <c r="I750" t="s">
        <v>13389</v>
      </c>
      <c r="J750" t="s">
        <v>5666</v>
      </c>
      <c r="K750" t="s">
        <v>74</v>
      </c>
      <c r="L750" t="s">
        <v>74</v>
      </c>
      <c r="M750" t="s">
        <v>78</v>
      </c>
      <c r="N750" t="s">
        <v>79</v>
      </c>
      <c r="O750" t="s">
        <v>74</v>
      </c>
      <c r="P750" t="s">
        <v>74</v>
      </c>
      <c r="Q750" t="s">
        <v>74</v>
      </c>
      <c r="R750" t="s">
        <v>74</v>
      </c>
      <c r="S750" t="s">
        <v>74</v>
      </c>
      <c r="T750" t="s">
        <v>13390</v>
      </c>
      <c r="U750" t="s">
        <v>13391</v>
      </c>
      <c r="V750" t="s">
        <v>13392</v>
      </c>
      <c r="W750" t="s">
        <v>13393</v>
      </c>
      <c r="X750" t="s">
        <v>10638</v>
      </c>
      <c r="Y750" t="s">
        <v>13394</v>
      </c>
      <c r="Z750" t="s">
        <v>13395</v>
      </c>
      <c r="AA750" t="s">
        <v>74</v>
      </c>
      <c r="AB750" t="s">
        <v>74</v>
      </c>
      <c r="AC750" t="s">
        <v>13396</v>
      </c>
      <c r="AD750" t="s">
        <v>13397</v>
      </c>
      <c r="AE750" t="s">
        <v>13398</v>
      </c>
      <c r="AF750" t="s">
        <v>74</v>
      </c>
      <c r="AG750">
        <v>30</v>
      </c>
      <c r="AH750">
        <v>14</v>
      </c>
      <c r="AI750">
        <v>15</v>
      </c>
      <c r="AJ750">
        <v>3</v>
      </c>
      <c r="AK750">
        <v>21</v>
      </c>
      <c r="AL750" t="s">
        <v>309</v>
      </c>
      <c r="AM750" t="s">
        <v>310</v>
      </c>
      <c r="AN750" t="s">
        <v>5672</v>
      </c>
      <c r="AO750" t="s">
        <v>5673</v>
      </c>
      <c r="AP750" t="s">
        <v>8299</v>
      </c>
      <c r="AQ750" t="s">
        <v>74</v>
      </c>
      <c r="AR750" t="s">
        <v>5674</v>
      </c>
      <c r="AS750" t="s">
        <v>5675</v>
      </c>
      <c r="AT750" t="s">
        <v>12931</v>
      </c>
      <c r="AU750">
        <v>2010</v>
      </c>
      <c r="AV750">
        <v>156</v>
      </c>
      <c r="AW750">
        <v>2</v>
      </c>
      <c r="AX750" t="s">
        <v>74</v>
      </c>
      <c r="AY750" t="s">
        <v>74</v>
      </c>
      <c r="AZ750" t="s">
        <v>74</v>
      </c>
      <c r="BA750" t="s">
        <v>74</v>
      </c>
      <c r="BB750">
        <v>247</v>
      </c>
      <c r="BC750">
        <v>254</v>
      </c>
      <c r="BD750" t="s">
        <v>74</v>
      </c>
      <c r="BE750" t="s">
        <v>13399</v>
      </c>
      <c r="BF750" t="str">
        <f>HYPERLINK("http://dx.doi.org/10.1016/j.cbpa.2010.02.006","http://dx.doi.org/10.1016/j.cbpa.2010.02.006")</f>
        <v>http://dx.doi.org/10.1016/j.cbpa.2010.02.006</v>
      </c>
      <c r="BG750" t="s">
        <v>74</v>
      </c>
      <c r="BH750" t="s">
        <v>74</v>
      </c>
      <c r="BI750">
        <v>8</v>
      </c>
      <c r="BJ750" t="s">
        <v>5678</v>
      </c>
      <c r="BK750" t="s">
        <v>100</v>
      </c>
      <c r="BL750" t="s">
        <v>5678</v>
      </c>
      <c r="BM750" t="s">
        <v>13385</v>
      </c>
      <c r="BN750">
        <v>20167285</v>
      </c>
      <c r="BO750" t="s">
        <v>631</v>
      </c>
      <c r="BP750" t="s">
        <v>74</v>
      </c>
      <c r="BQ750" t="s">
        <v>74</v>
      </c>
      <c r="BR750" t="s">
        <v>104</v>
      </c>
      <c r="BS750" t="s">
        <v>13400</v>
      </c>
      <c r="BT750" t="str">
        <f>HYPERLINK("https%3A%2F%2Fwww.webofscience.com%2Fwos%2Fwoscc%2Ffull-record%2FWOS:000277748500012","View Full Record in Web of Science")</f>
        <v>View Full Record in Web of Science</v>
      </c>
    </row>
    <row r="751" spans="1:72" x14ac:dyDescent="0.15">
      <c r="A751" t="s">
        <v>72</v>
      </c>
      <c r="B751" t="s">
        <v>13401</v>
      </c>
      <c r="C751" t="s">
        <v>74</v>
      </c>
      <c r="D751" t="s">
        <v>74</v>
      </c>
      <c r="E751" t="s">
        <v>74</v>
      </c>
      <c r="F751" t="s">
        <v>13402</v>
      </c>
      <c r="G751" t="s">
        <v>74</v>
      </c>
      <c r="H751" t="s">
        <v>74</v>
      </c>
      <c r="I751" t="s">
        <v>13403</v>
      </c>
      <c r="J751" t="s">
        <v>2905</v>
      </c>
      <c r="K751" t="s">
        <v>74</v>
      </c>
      <c r="L751" t="s">
        <v>74</v>
      </c>
      <c r="M751" t="s">
        <v>78</v>
      </c>
      <c r="N751" t="s">
        <v>79</v>
      </c>
      <c r="O751" t="s">
        <v>74</v>
      </c>
      <c r="P751" t="s">
        <v>74</v>
      </c>
      <c r="Q751" t="s">
        <v>74</v>
      </c>
      <c r="R751" t="s">
        <v>74</v>
      </c>
      <c r="S751" t="s">
        <v>74</v>
      </c>
      <c r="T751" t="s">
        <v>13404</v>
      </c>
      <c r="U751" t="s">
        <v>13405</v>
      </c>
      <c r="V751" t="s">
        <v>13406</v>
      </c>
      <c r="W751" t="s">
        <v>13407</v>
      </c>
      <c r="X751" t="s">
        <v>170</v>
      </c>
      <c r="Y751" t="s">
        <v>13408</v>
      </c>
      <c r="Z751" t="s">
        <v>13409</v>
      </c>
      <c r="AA751" t="s">
        <v>13410</v>
      </c>
      <c r="AB751" t="s">
        <v>13411</v>
      </c>
      <c r="AC751" t="s">
        <v>13412</v>
      </c>
      <c r="AD751" t="s">
        <v>13413</v>
      </c>
      <c r="AE751" t="s">
        <v>13414</v>
      </c>
      <c r="AF751" t="s">
        <v>74</v>
      </c>
      <c r="AG751">
        <v>31</v>
      </c>
      <c r="AH751">
        <v>14</v>
      </c>
      <c r="AI751">
        <v>16</v>
      </c>
      <c r="AJ751">
        <v>3</v>
      </c>
      <c r="AK751">
        <v>26</v>
      </c>
      <c r="AL751" t="s">
        <v>464</v>
      </c>
      <c r="AM751" t="s">
        <v>576</v>
      </c>
      <c r="AN751" t="s">
        <v>577</v>
      </c>
      <c r="AO751" t="s">
        <v>2918</v>
      </c>
      <c r="AP751" t="s">
        <v>74</v>
      </c>
      <c r="AQ751" t="s">
        <v>74</v>
      </c>
      <c r="AR751" t="s">
        <v>2920</v>
      </c>
      <c r="AS751" t="s">
        <v>2921</v>
      </c>
      <c r="AT751" t="s">
        <v>12931</v>
      </c>
      <c r="AU751">
        <v>2010</v>
      </c>
      <c r="AV751">
        <v>11</v>
      </c>
      <c r="AW751">
        <v>4</v>
      </c>
      <c r="AX751" t="s">
        <v>74</v>
      </c>
      <c r="AY751" t="s">
        <v>74</v>
      </c>
      <c r="AZ751" t="s">
        <v>74</v>
      </c>
      <c r="BA751" t="s">
        <v>74</v>
      </c>
      <c r="BB751">
        <v>1553</v>
      </c>
      <c r="BC751">
        <v>1558</v>
      </c>
      <c r="BD751" t="s">
        <v>74</v>
      </c>
      <c r="BE751" t="s">
        <v>13415</v>
      </c>
      <c r="BF751" t="str">
        <f>HYPERLINK("http://dx.doi.org/10.1007/s10592-009-9944-7","http://dx.doi.org/10.1007/s10592-009-9944-7")</f>
        <v>http://dx.doi.org/10.1007/s10592-009-9944-7</v>
      </c>
      <c r="BG751" t="s">
        <v>74</v>
      </c>
      <c r="BH751" t="s">
        <v>74</v>
      </c>
      <c r="BI751">
        <v>6</v>
      </c>
      <c r="BJ751" t="s">
        <v>2923</v>
      </c>
      <c r="BK751" t="s">
        <v>100</v>
      </c>
      <c r="BL751" t="s">
        <v>2924</v>
      </c>
      <c r="BM751" t="s">
        <v>13416</v>
      </c>
      <c r="BN751" t="s">
        <v>74</v>
      </c>
      <c r="BO751" t="s">
        <v>74</v>
      </c>
      <c r="BP751" t="s">
        <v>74</v>
      </c>
      <c r="BQ751" t="s">
        <v>74</v>
      </c>
      <c r="BR751" t="s">
        <v>104</v>
      </c>
      <c r="BS751" t="s">
        <v>13417</v>
      </c>
      <c r="BT751" t="str">
        <f>HYPERLINK("https%3A%2F%2Fwww.webofscience.com%2Fwos%2Fwoscc%2Ffull-record%2FWOS:000278899500027","View Full Record in Web of Science")</f>
        <v>View Full Record in Web of Science</v>
      </c>
    </row>
    <row r="752" spans="1:72" x14ac:dyDescent="0.15">
      <c r="A752" t="s">
        <v>72</v>
      </c>
      <c r="B752" t="s">
        <v>13418</v>
      </c>
      <c r="C752" t="s">
        <v>74</v>
      </c>
      <c r="D752" t="s">
        <v>74</v>
      </c>
      <c r="E752" t="s">
        <v>74</v>
      </c>
      <c r="F752" t="s">
        <v>13419</v>
      </c>
      <c r="G752" t="s">
        <v>74</v>
      </c>
      <c r="H752" t="s">
        <v>74</v>
      </c>
      <c r="I752" t="s">
        <v>13420</v>
      </c>
      <c r="J752" t="s">
        <v>536</v>
      </c>
      <c r="K752" t="s">
        <v>74</v>
      </c>
      <c r="L752" t="s">
        <v>74</v>
      </c>
      <c r="M752" t="s">
        <v>78</v>
      </c>
      <c r="N752" t="s">
        <v>79</v>
      </c>
      <c r="O752" t="s">
        <v>74</v>
      </c>
      <c r="P752" t="s">
        <v>74</v>
      </c>
      <c r="Q752" t="s">
        <v>74</v>
      </c>
      <c r="R752" t="s">
        <v>74</v>
      </c>
      <c r="S752" t="s">
        <v>74</v>
      </c>
      <c r="T752" t="s">
        <v>13421</v>
      </c>
      <c r="U752" t="s">
        <v>13422</v>
      </c>
      <c r="V752" t="s">
        <v>13423</v>
      </c>
      <c r="W752" t="s">
        <v>13424</v>
      </c>
      <c r="X752" t="s">
        <v>13425</v>
      </c>
      <c r="Y752" t="s">
        <v>13426</v>
      </c>
      <c r="Z752" t="s">
        <v>13427</v>
      </c>
      <c r="AA752" t="s">
        <v>13428</v>
      </c>
      <c r="AB752" t="s">
        <v>13429</v>
      </c>
      <c r="AC752" t="s">
        <v>13430</v>
      </c>
      <c r="AD752" t="s">
        <v>13431</v>
      </c>
      <c r="AE752" t="s">
        <v>13432</v>
      </c>
      <c r="AF752" t="s">
        <v>74</v>
      </c>
      <c r="AG752">
        <v>65</v>
      </c>
      <c r="AH752">
        <v>17</v>
      </c>
      <c r="AI752">
        <v>19</v>
      </c>
      <c r="AJ752">
        <v>0</v>
      </c>
      <c r="AK752">
        <v>3</v>
      </c>
      <c r="AL752" t="s">
        <v>1038</v>
      </c>
      <c r="AM752" t="s">
        <v>550</v>
      </c>
      <c r="AN752" t="s">
        <v>1039</v>
      </c>
      <c r="AO752" t="s">
        <v>552</v>
      </c>
      <c r="AP752" t="s">
        <v>2999</v>
      </c>
      <c r="AQ752" t="s">
        <v>74</v>
      </c>
      <c r="AR752" t="s">
        <v>553</v>
      </c>
      <c r="AS752" t="s">
        <v>554</v>
      </c>
      <c r="AT752" t="s">
        <v>13192</v>
      </c>
      <c r="AU752">
        <v>2010</v>
      </c>
      <c r="AV752">
        <v>294</v>
      </c>
      <c r="AW752" t="s">
        <v>556</v>
      </c>
      <c r="AX752" t="s">
        <v>74</v>
      </c>
      <c r="AY752" t="s">
        <v>74</v>
      </c>
      <c r="AZ752" t="s">
        <v>582</v>
      </c>
      <c r="BA752" t="s">
        <v>74</v>
      </c>
      <c r="BB752">
        <v>479</v>
      </c>
      <c r="BC752">
        <v>491</v>
      </c>
      <c r="BD752" t="s">
        <v>74</v>
      </c>
      <c r="BE752" t="s">
        <v>13433</v>
      </c>
      <c r="BF752" t="str">
        <f>HYPERLINK("http://dx.doi.org/10.1016/j.epsl.2009.06.020","http://dx.doi.org/10.1016/j.epsl.2009.06.020")</f>
        <v>http://dx.doi.org/10.1016/j.epsl.2009.06.020</v>
      </c>
      <c r="BG752" t="s">
        <v>74</v>
      </c>
      <c r="BH752" t="s">
        <v>74</v>
      </c>
      <c r="BI752">
        <v>13</v>
      </c>
      <c r="BJ752" t="s">
        <v>558</v>
      </c>
      <c r="BK752" t="s">
        <v>100</v>
      </c>
      <c r="BL752" t="s">
        <v>558</v>
      </c>
      <c r="BM752" t="s">
        <v>13434</v>
      </c>
      <c r="BN752" t="s">
        <v>74</v>
      </c>
      <c r="BO752" t="s">
        <v>74</v>
      </c>
      <c r="BP752" t="s">
        <v>74</v>
      </c>
      <c r="BQ752" t="s">
        <v>74</v>
      </c>
      <c r="BR752" t="s">
        <v>104</v>
      </c>
      <c r="BS752" t="s">
        <v>13435</v>
      </c>
      <c r="BT752" t="str">
        <f>HYPERLINK("https%3A%2F%2Fwww.webofscience.com%2Fwos%2Fwoscc%2Ffull-record%2FWOS:000279087600023","View Full Record in Web of Science")</f>
        <v>View Full Record in Web of Science</v>
      </c>
    </row>
    <row r="753" spans="1:72" x14ac:dyDescent="0.15">
      <c r="A753" t="s">
        <v>72</v>
      </c>
      <c r="B753" t="s">
        <v>13436</v>
      </c>
      <c r="C753" t="s">
        <v>74</v>
      </c>
      <c r="D753" t="s">
        <v>74</v>
      </c>
      <c r="E753" t="s">
        <v>74</v>
      </c>
      <c r="F753" t="s">
        <v>13437</v>
      </c>
      <c r="G753" t="s">
        <v>74</v>
      </c>
      <c r="H753" t="s">
        <v>74</v>
      </c>
      <c r="I753" t="s">
        <v>13438</v>
      </c>
      <c r="J753" t="s">
        <v>13439</v>
      </c>
      <c r="K753" t="s">
        <v>74</v>
      </c>
      <c r="L753" t="s">
        <v>74</v>
      </c>
      <c r="M753" t="s">
        <v>78</v>
      </c>
      <c r="N753" t="s">
        <v>79</v>
      </c>
      <c r="O753" t="s">
        <v>74</v>
      </c>
      <c r="P753" t="s">
        <v>74</v>
      </c>
      <c r="Q753" t="s">
        <v>74</v>
      </c>
      <c r="R753" t="s">
        <v>74</v>
      </c>
      <c r="S753" t="s">
        <v>74</v>
      </c>
      <c r="T753" t="s">
        <v>13440</v>
      </c>
      <c r="U753" t="s">
        <v>13441</v>
      </c>
      <c r="V753" t="s">
        <v>13442</v>
      </c>
      <c r="W753" t="s">
        <v>13443</v>
      </c>
      <c r="X753" t="s">
        <v>13444</v>
      </c>
      <c r="Y753" t="s">
        <v>13445</v>
      </c>
      <c r="Z753" t="s">
        <v>13446</v>
      </c>
      <c r="AA753" t="s">
        <v>13447</v>
      </c>
      <c r="AB753" t="s">
        <v>13448</v>
      </c>
      <c r="AC753" t="s">
        <v>13449</v>
      </c>
      <c r="AD753" t="s">
        <v>13450</v>
      </c>
      <c r="AE753" t="s">
        <v>13451</v>
      </c>
      <c r="AF753" t="s">
        <v>74</v>
      </c>
      <c r="AG753">
        <v>37</v>
      </c>
      <c r="AH753">
        <v>14</v>
      </c>
      <c r="AI753">
        <v>15</v>
      </c>
      <c r="AJ753">
        <v>0</v>
      </c>
      <c r="AK753">
        <v>12</v>
      </c>
      <c r="AL753" t="s">
        <v>1521</v>
      </c>
      <c r="AM753" t="s">
        <v>1522</v>
      </c>
      <c r="AN753" t="s">
        <v>1523</v>
      </c>
      <c r="AO753" t="s">
        <v>74</v>
      </c>
      <c r="AP753" t="s">
        <v>13452</v>
      </c>
      <c r="AQ753" t="s">
        <v>74</v>
      </c>
      <c r="AR753" t="s">
        <v>13453</v>
      </c>
      <c r="AS753" t="s">
        <v>13454</v>
      </c>
      <c r="AT753" t="s">
        <v>12931</v>
      </c>
      <c r="AU753">
        <v>2010</v>
      </c>
      <c r="AV753">
        <v>14</v>
      </c>
      <c r="AW753" t="s">
        <v>74</v>
      </c>
      <c r="AX753" t="s">
        <v>74</v>
      </c>
      <c r="AY753" t="s">
        <v>74</v>
      </c>
      <c r="AZ753" t="s">
        <v>74</v>
      </c>
      <c r="BA753" t="s">
        <v>74</v>
      </c>
      <c r="BB753" t="s">
        <v>74</v>
      </c>
      <c r="BC753" t="s">
        <v>74</v>
      </c>
      <c r="BD753">
        <v>7</v>
      </c>
      <c r="BE753" t="s">
        <v>13455</v>
      </c>
      <c r="BF753" t="str">
        <f>HYPERLINK("http://dx.doi.org/10.1175/2010EI325.1","http://dx.doi.org/10.1175/2010EI325.1")</f>
        <v>http://dx.doi.org/10.1175/2010EI325.1</v>
      </c>
      <c r="BG753" t="s">
        <v>74</v>
      </c>
      <c r="BH753" t="s">
        <v>74</v>
      </c>
      <c r="BI753">
        <v>11</v>
      </c>
      <c r="BJ753" t="s">
        <v>1194</v>
      </c>
      <c r="BK753" t="s">
        <v>100</v>
      </c>
      <c r="BL753" t="s">
        <v>807</v>
      </c>
      <c r="BM753" t="s">
        <v>13456</v>
      </c>
      <c r="BN753" t="s">
        <v>74</v>
      </c>
      <c r="BO753" t="s">
        <v>394</v>
      </c>
      <c r="BP753" t="s">
        <v>74</v>
      </c>
      <c r="BQ753" t="s">
        <v>74</v>
      </c>
      <c r="BR753" t="s">
        <v>104</v>
      </c>
      <c r="BS753" t="s">
        <v>13457</v>
      </c>
      <c r="BT753" t="str">
        <f>HYPERLINK("https%3A%2F%2Fwww.webofscience.com%2Fwos%2Fwoscc%2Ffull-record%2FWOS:000279075200001","View Full Record in Web of Science")</f>
        <v>View Full Record in Web of Science</v>
      </c>
    </row>
    <row r="754" spans="1:72" x14ac:dyDescent="0.15">
      <c r="A754" t="s">
        <v>72</v>
      </c>
      <c r="B754" t="s">
        <v>13458</v>
      </c>
      <c r="C754" t="s">
        <v>74</v>
      </c>
      <c r="D754" t="s">
        <v>74</v>
      </c>
      <c r="E754" t="s">
        <v>74</v>
      </c>
      <c r="F754" t="s">
        <v>13459</v>
      </c>
      <c r="G754" t="s">
        <v>74</v>
      </c>
      <c r="H754" t="s">
        <v>74</v>
      </c>
      <c r="I754" t="s">
        <v>13460</v>
      </c>
      <c r="J754" t="s">
        <v>5843</v>
      </c>
      <c r="K754" t="s">
        <v>74</v>
      </c>
      <c r="L754" t="s">
        <v>74</v>
      </c>
      <c r="M754" t="s">
        <v>78</v>
      </c>
      <c r="N754" t="s">
        <v>79</v>
      </c>
      <c r="O754" t="s">
        <v>74</v>
      </c>
      <c r="P754" t="s">
        <v>74</v>
      </c>
      <c r="Q754" t="s">
        <v>74</v>
      </c>
      <c r="R754" t="s">
        <v>74</v>
      </c>
      <c r="S754" t="s">
        <v>74</v>
      </c>
      <c r="T754" t="s">
        <v>74</v>
      </c>
      <c r="U754" t="s">
        <v>13461</v>
      </c>
      <c r="V754" t="s">
        <v>13462</v>
      </c>
      <c r="W754" t="s">
        <v>13463</v>
      </c>
      <c r="X754" t="s">
        <v>13464</v>
      </c>
      <c r="Y754" t="s">
        <v>13465</v>
      </c>
      <c r="Z754" t="s">
        <v>13466</v>
      </c>
      <c r="AA754" t="s">
        <v>13467</v>
      </c>
      <c r="AB754" t="s">
        <v>13468</v>
      </c>
      <c r="AC754" t="s">
        <v>13469</v>
      </c>
      <c r="AD754" t="s">
        <v>13470</v>
      </c>
      <c r="AE754" t="s">
        <v>13471</v>
      </c>
      <c r="AF754" t="s">
        <v>74</v>
      </c>
      <c r="AG754">
        <v>69</v>
      </c>
      <c r="AH754">
        <v>9</v>
      </c>
      <c r="AI754">
        <v>12</v>
      </c>
      <c r="AJ754">
        <v>0</v>
      </c>
      <c r="AK754">
        <v>25</v>
      </c>
      <c r="AL754" t="s">
        <v>923</v>
      </c>
      <c r="AM754" t="s">
        <v>339</v>
      </c>
      <c r="AN754" t="s">
        <v>340</v>
      </c>
      <c r="AO754" t="s">
        <v>5855</v>
      </c>
      <c r="AP754" t="s">
        <v>13472</v>
      </c>
      <c r="AQ754" t="s">
        <v>74</v>
      </c>
      <c r="AR754" t="s">
        <v>5843</v>
      </c>
      <c r="AS754" t="s">
        <v>5856</v>
      </c>
      <c r="AT754" t="s">
        <v>12931</v>
      </c>
      <c r="AU754">
        <v>2010</v>
      </c>
      <c r="AV754">
        <v>33</v>
      </c>
      <c r="AW754">
        <v>3</v>
      </c>
      <c r="AX754" t="s">
        <v>74</v>
      </c>
      <c r="AY754" t="s">
        <v>74</v>
      </c>
      <c r="AZ754" t="s">
        <v>74</v>
      </c>
      <c r="BA754" t="s">
        <v>74</v>
      </c>
      <c r="BB754">
        <v>435</v>
      </c>
      <c r="BC754">
        <v>442</v>
      </c>
      <c r="BD754" t="s">
        <v>74</v>
      </c>
      <c r="BE754" t="s">
        <v>13473</v>
      </c>
      <c r="BF754" t="str">
        <f>HYPERLINK("http://dx.doi.org/10.1111/j.1600-0587.2009.05604.x","http://dx.doi.org/10.1111/j.1600-0587.2009.05604.x")</f>
        <v>http://dx.doi.org/10.1111/j.1600-0587.2009.05604.x</v>
      </c>
      <c r="BG754" t="s">
        <v>74</v>
      </c>
      <c r="BH754" t="s">
        <v>74</v>
      </c>
      <c r="BI754">
        <v>8</v>
      </c>
      <c r="BJ754" t="s">
        <v>1282</v>
      </c>
      <c r="BK754" t="s">
        <v>100</v>
      </c>
      <c r="BL754" t="s">
        <v>680</v>
      </c>
      <c r="BM754" t="s">
        <v>13474</v>
      </c>
      <c r="BN754" t="s">
        <v>74</v>
      </c>
      <c r="BO754" t="s">
        <v>74</v>
      </c>
      <c r="BP754" t="s">
        <v>74</v>
      </c>
      <c r="BQ754" t="s">
        <v>74</v>
      </c>
      <c r="BR754" t="s">
        <v>104</v>
      </c>
      <c r="BS754" t="s">
        <v>13475</v>
      </c>
      <c r="BT754" t="str">
        <f>HYPERLINK("https%3A%2F%2Fwww.webofscience.com%2Fwos%2Fwoscc%2Ffull-record%2FWOS:000280457500002","View Full Record in Web of Science")</f>
        <v>View Full Record in Web of Science</v>
      </c>
    </row>
    <row r="755" spans="1:72" x14ac:dyDescent="0.15">
      <c r="A755" t="s">
        <v>72</v>
      </c>
      <c r="B755" t="s">
        <v>13476</v>
      </c>
      <c r="C755" t="s">
        <v>74</v>
      </c>
      <c r="D755" t="s">
        <v>74</v>
      </c>
      <c r="E755" t="s">
        <v>74</v>
      </c>
      <c r="F755" t="s">
        <v>13477</v>
      </c>
      <c r="G755" t="s">
        <v>74</v>
      </c>
      <c r="H755" t="s">
        <v>74</v>
      </c>
      <c r="I755" t="s">
        <v>13478</v>
      </c>
      <c r="J755" t="s">
        <v>13479</v>
      </c>
      <c r="K755" t="s">
        <v>74</v>
      </c>
      <c r="L755" t="s">
        <v>74</v>
      </c>
      <c r="M755" t="s">
        <v>78</v>
      </c>
      <c r="N755" t="s">
        <v>326</v>
      </c>
      <c r="O755" t="s">
        <v>74</v>
      </c>
      <c r="P755" t="s">
        <v>74</v>
      </c>
      <c r="Q755" t="s">
        <v>74</v>
      </c>
      <c r="R755" t="s">
        <v>74</v>
      </c>
      <c r="S755" t="s">
        <v>74</v>
      </c>
      <c r="T755" t="s">
        <v>13480</v>
      </c>
      <c r="U755" t="s">
        <v>13481</v>
      </c>
      <c r="V755" t="s">
        <v>13482</v>
      </c>
      <c r="W755" t="s">
        <v>13483</v>
      </c>
      <c r="X755" t="s">
        <v>13484</v>
      </c>
      <c r="Y755" t="s">
        <v>13485</v>
      </c>
      <c r="Z755" t="s">
        <v>13486</v>
      </c>
      <c r="AA755" t="s">
        <v>13487</v>
      </c>
      <c r="AB755" t="s">
        <v>13488</v>
      </c>
      <c r="AC755" t="s">
        <v>13489</v>
      </c>
      <c r="AD755" t="s">
        <v>13490</v>
      </c>
      <c r="AE755" t="s">
        <v>13491</v>
      </c>
      <c r="AF755" t="s">
        <v>74</v>
      </c>
      <c r="AG755">
        <v>34</v>
      </c>
      <c r="AH755">
        <v>136</v>
      </c>
      <c r="AI755">
        <v>145</v>
      </c>
      <c r="AJ755">
        <v>4</v>
      </c>
      <c r="AK755">
        <v>144</v>
      </c>
      <c r="AL755" t="s">
        <v>338</v>
      </c>
      <c r="AM755" t="s">
        <v>673</v>
      </c>
      <c r="AN755" t="s">
        <v>674</v>
      </c>
      <c r="AO755" t="s">
        <v>13492</v>
      </c>
      <c r="AP755" t="s">
        <v>74</v>
      </c>
      <c r="AQ755" t="s">
        <v>74</v>
      </c>
      <c r="AR755" t="s">
        <v>13493</v>
      </c>
      <c r="AS755" t="s">
        <v>13494</v>
      </c>
      <c r="AT755" t="s">
        <v>12931</v>
      </c>
      <c r="AU755">
        <v>2010</v>
      </c>
      <c r="AV755">
        <v>11</v>
      </c>
      <c r="AW755">
        <v>2</v>
      </c>
      <c r="AX755" t="s">
        <v>74</v>
      </c>
      <c r="AY755" t="s">
        <v>74</v>
      </c>
      <c r="AZ755" t="s">
        <v>74</v>
      </c>
      <c r="BA755" t="s">
        <v>74</v>
      </c>
      <c r="BB755">
        <v>203</v>
      </c>
      <c r="BC755">
        <v>209</v>
      </c>
      <c r="BD755" t="s">
        <v>74</v>
      </c>
      <c r="BE755" t="s">
        <v>13495</v>
      </c>
      <c r="BF755" t="str">
        <f>HYPERLINK("http://dx.doi.org/10.1111/j.1467-2979.2010.00356.x","http://dx.doi.org/10.1111/j.1467-2979.2010.00356.x")</f>
        <v>http://dx.doi.org/10.1111/j.1467-2979.2010.00356.x</v>
      </c>
      <c r="BG755" t="s">
        <v>74</v>
      </c>
      <c r="BH755" t="s">
        <v>74</v>
      </c>
      <c r="BI755">
        <v>7</v>
      </c>
      <c r="BJ755" t="s">
        <v>5278</v>
      </c>
      <c r="BK755" t="s">
        <v>100</v>
      </c>
      <c r="BL755" t="s">
        <v>5278</v>
      </c>
      <c r="BM755" t="s">
        <v>13496</v>
      </c>
      <c r="BN755" t="s">
        <v>74</v>
      </c>
      <c r="BO755" t="s">
        <v>74</v>
      </c>
      <c r="BP755" t="s">
        <v>74</v>
      </c>
      <c r="BQ755" t="s">
        <v>74</v>
      </c>
      <c r="BR755" t="s">
        <v>104</v>
      </c>
      <c r="BS755" t="s">
        <v>13497</v>
      </c>
      <c r="BT755" t="str">
        <f>HYPERLINK("https%3A%2F%2Fwww.webofscience.com%2Fwos%2Fwoscc%2Ffull-record%2FWOS:000277692300007","View Full Record in Web of Science")</f>
        <v>View Full Record in Web of Science</v>
      </c>
    </row>
    <row r="756" spans="1:72" x14ac:dyDescent="0.15">
      <c r="A756" t="s">
        <v>72</v>
      </c>
      <c r="B756" t="s">
        <v>13498</v>
      </c>
      <c r="C756" t="s">
        <v>74</v>
      </c>
      <c r="D756" t="s">
        <v>74</v>
      </c>
      <c r="E756" t="s">
        <v>74</v>
      </c>
      <c r="F756" t="s">
        <v>13499</v>
      </c>
      <c r="G756" t="s">
        <v>74</v>
      </c>
      <c r="H756" t="s">
        <v>74</v>
      </c>
      <c r="I756" t="s">
        <v>13500</v>
      </c>
      <c r="J756" t="s">
        <v>3109</v>
      </c>
      <c r="K756" t="s">
        <v>74</v>
      </c>
      <c r="L756" t="s">
        <v>74</v>
      </c>
      <c r="M756" t="s">
        <v>78</v>
      </c>
      <c r="N756" t="s">
        <v>79</v>
      </c>
      <c r="O756" t="s">
        <v>74</v>
      </c>
      <c r="P756" t="s">
        <v>74</v>
      </c>
      <c r="Q756" t="s">
        <v>74</v>
      </c>
      <c r="R756" t="s">
        <v>74</v>
      </c>
      <c r="S756" t="s">
        <v>74</v>
      </c>
      <c r="T756" t="s">
        <v>13501</v>
      </c>
      <c r="U756" t="s">
        <v>13502</v>
      </c>
      <c r="V756" t="s">
        <v>13503</v>
      </c>
      <c r="W756" t="s">
        <v>13504</v>
      </c>
      <c r="X756" t="s">
        <v>13505</v>
      </c>
      <c r="Y756" t="s">
        <v>13506</v>
      </c>
      <c r="Z756" t="s">
        <v>13507</v>
      </c>
      <c r="AA756" t="s">
        <v>74</v>
      </c>
      <c r="AB756" t="s">
        <v>74</v>
      </c>
      <c r="AC756" t="s">
        <v>13508</v>
      </c>
      <c r="AD756" t="s">
        <v>13509</v>
      </c>
      <c r="AE756" t="s">
        <v>13510</v>
      </c>
      <c r="AF756" t="s">
        <v>74</v>
      </c>
      <c r="AG756">
        <v>84</v>
      </c>
      <c r="AH756">
        <v>101</v>
      </c>
      <c r="AI756">
        <v>110</v>
      </c>
      <c r="AJ756">
        <v>2</v>
      </c>
      <c r="AK756">
        <v>48</v>
      </c>
      <c r="AL756" t="s">
        <v>338</v>
      </c>
      <c r="AM756" t="s">
        <v>339</v>
      </c>
      <c r="AN756" t="s">
        <v>340</v>
      </c>
      <c r="AO756" t="s">
        <v>3122</v>
      </c>
      <c r="AP756" t="s">
        <v>3123</v>
      </c>
      <c r="AQ756" t="s">
        <v>74</v>
      </c>
      <c r="AR756" t="s">
        <v>3124</v>
      </c>
      <c r="AS756" t="s">
        <v>3125</v>
      </c>
      <c r="AT756" t="s">
        <v>12931</v>
      </c>
      <c r="AU756">
        <v>2010</v>
      </c>
      <c r="AV756">
        <v>24</v>
      </c>
      <c r="AW756">
        <v>3</v>
      </c>
      <c r="AX756" t="s">
        <v>74</v>
      </c>
      <c r="AY756" t="s">
        <v>74</v>
      </c>
      <c r="AZ756" t="s">
        <v>74</v>
      </c>
      <c r="BA756" t="s">
        <v>74</v>
      </c>
      <c r="BB756">
        <v>646</v>
      </c>
      <c r="BC756">
        <v>657</v>
      </c>
      <c r="BD756" t="s">
        <v>74</v>
      </c>
      <c r="BE756" t="s">
        <v>13511</v>
      </c>
      <c r="BF756" t="str">
        <f>HYPERLINK("http://dx.doi.org/10.1111/j.1365-2435.2009.01654.x","http://dx.doi.org/10.1111/j.1365-2435.2009.01654.x")</f>
        <v>http://dx.doi.org/10.1111/j.1365-2435.2009.01654.x</v>
      </c>
      <c r="BG756" t="s">
        <v>74</v>
      </c>
      <c r="BH756" t="s">
        <v>74</v>
      </c>
      <c r="BI756">
        <v>12</v>
      </c>
      <c r="BJ756" t="s">
        <v>3127</v>
      </c>
      <c r="BK756" t="s">
        <v>100</v>
      </c>
      <c r="BL756" t="s">
        <v>2797</v>
      </c>
      <c r="BM756" t="s">
        <v>13512</v>
      </c>
      <c r="BN756" t="s">
        <v>74</v>
      </c>
      <c r="BO756" t="s">
        <v>74</v>
      </c>
      <c r="BP756" t="s">
        <v>74</v>
      </c>
      <c r="BQ756" t="s">
        <v>74</v>
      </c>
      <c r="BR756" t="s">
        <v>104</v>
      </c>
      <c r="BS756" t="s">
        <v>13513</v>
      </c>
      <c r="BT756" t="str">
        <f>HYPERLINK("https%3A%2F%2Fwww.webofscience.com%2Fwos%2Fwoscc%2Ffull-record%2FWOS:000276508000017","View Full Record in Web of Science")</f>
        <v>View Full Record in Web of Science</v>
      </c>
    </row>
    <row r="757" spans="1:72" x14ac:dyDescent="0.15">
      <c r="A757" t="s">
        <v>72</v>
      </c>
      <c r="B757" t="s">
        <v>13514</v>
      </c>
      <c r="C757" t="s">
        <v>74</v>
      </c>
      <c r="D757" t="s">
        <v>74</v>
      </c>
      <c r="E757" t="s">
        <v>74</v>
      </c>
      <c r="F757" t="s">
        <v>13515</v>
      </c>
      <c r="G757" t="s">
        <v>74</v>
      </c>
      <c r="H757" t="s">
        <v>74</v>
      </c>
      <c r="I757" t="s">
        <v>13516</v>
      </c>
      <c r="J757" t="s">
        <v>614</v>
      </c>
      <c r="K757" t="s">
        <v>74</v>
      </c>
      <c r="L757" t="s">
        <v>74</v>
      </c>
      <c r="M757" t="s">
        <v>78</v>
      </c>
      <c r="N757" t="s">
        <v>52</v>
      </c>
      <c r="O757" t="s">
        <v>13517</v>
      </c>
      <c r="P757" t="s">
        <v>13518</v>
      </c>
      <c r="Q757" t="s">
        <v>13519</v>
      </c>
      <c r="R757" t="s">
        <v>74</v>
      </c>
      <c r="S757" t="s">
        <v>74</v>
      </c>
      <c r="T757" t="s">
        <v>74</v>
      </c>
      <c r="U757" t="s">
        <v>74</v>
      </c>
      <c r="V757" t="s">
        <v>74</v>
      </c>
      <c r="W757" t="s">
        <v>13520</v>
      </c>
      <c r="X757" t="s">
        <v>13521</v>
      </c>
      <c r="Y757" t="s">
        <v>74</v>
      </c>
      <c r="Z757" t="s">
        <v>13522</v>
      </c>
      <c r="AA757" t="s">
        <v>13523</v>
      </c>
      <c r="AB757" t="s">
        <v>13524</v>
      </c>
      <c r="AC757" t="s">
        <v>74</v>
      </c>
      <c r="AD757" t="s">
        <v>74</v>
      </c>
      <c r="AE757" t="s">
        <v>74</v>
      </c>
      <c r="AF757" t="s">
        <v>74</v>
      </c>
      <c r="AG757">
        <v>3</v>
      </c>
      <c r="AH757">
        <v>0</v>
      </c>
      <c r="AI757">
        <v>0</v>
      </c>
      <c r="AJ757">
        <v>0</v>
      </c>
      <c r="AK757">
        <v>1</v>
      </c>
      <c r="AL757" t="s">
        <v>264</v>
      </c>
      <c r="AM757" t="s">
        <v>265</v>
      </c>
      <c r="AN757" t="s">
        <v>266</v>
      </c>
      <c r="AO757" t="s">
        <v>625</v>
      </c>
      <c r="AP757" t="s">
        <v>626</v>
      </c>
      <c r="AQ757" t="s">
        <v>74</v>
      </c>
      <c r="AR757" t="s">
        <v>627</v>
      </c>
      <c r="AS757" t="s">
        <v>628</v>
      </c>
      <c r="AT757" t="s">
        <v>12931</v>
      </c>
      <c r="AU757">
        <v>2010</v>
      </c>
      <c r="AV757">
        <v>74</v>
      </c>
      <c r="AW757">
        <v>12</v>
      </c>
      <c r="AX757" t="s">
        <v>74</v>
      </c>
      <c r="AY757">
        <v>1</v>
      </c>
      <c r="AZ757" t="s">
        <v>74</v>
      </c>
      <c r="BA757" t="s">
        <v>74</v>
      </c>
      <c r="BB757" t="s">
        <v>13525</v>
      </c>
      <c r="BC757" t="s">
        <v>13525</v>
      </c>
      <c r="BD757" t="s">
        <v>74</v>
      </c>
      <c r="BE757" t="s">
        <v>74</v>
      </c>
      <c r="BF757" t="s">
        <v>74</v>
      </c>
      <c r="BG757" t="s">
        <v>74</v>
      </c>
      <c r="BH757" t="s">
        <v>74</v>
      </c>
      <c r="BI757">
        <v>1</v>
      </c>
      <c r="BJ757" t="s">
        <v>558</v>
      </c>
      <c r="BK757" t="s">
        <v>1219</v>
      </c>
      <c r="BL757" t="s">
        <v>558</v>
      </c>
      <c r="BM757" t="s">
        <v>13526</v>
      </c>
      <c r="BN757" t="s">
        <v>74</v>
      </c>
      <c r="BO757" t="s">
        <v>74</v>
      </c>
      <c r="BP757" t="s">
        <v>74</v>
      </c>
      <c r="BQ757" t="s">
        <v>74</v>
      </c>
      <c r="BR757" t="s">
        <v>104</v>
      </c>
      <c r="BS757" t="s">
        <v>13527</v>
      </c>
      <c r="BT757" t="str">
        <f>HYPERLINK("https%3A%2F%2Fwww.webofscience.com%2Fwos%2Fwoscc%2Ffull-record%2FWOS:000283941400053","View Full Record in Web of Science")</f>
        <v>View Full Record in Web of Science</v>
      </c>
    </row>
    <row r="758" spans="1:72" x14ac:dyDescent="0.15">
      <c r="A758" t="s">
        <v>72</v>
      </c>
      <c r="B758" t="s">
        <v>13528</v>
      </c>
      <c r="C758" t="s">
        <v>74</v>
      </c>
      <c r="D758" t="s">
        <v>74</v>
      </c>
      <c r="E758" t="s">
        <v>74</v>
      </c>
      <c r="F758" t="s">
        <v>13529</v>
      </c>
      <c r="G758" t="s">
        <v>74</v>
      </c>
      <c r="H758" t="s">
        <v>74</v>
      </c>
      <c r="I758" t="s">
        <v>13530</v>
      </c>
      <c r="J758" t="s">
        <v>614</v>
      </c>
      <c r="K758" t="s">
        <v>74</v>
      </c>
      <c r="L758" t="s">
        <v>74</v>
      </c>
      <c r="M758" t="s">
        <v>78</v>
      </c>
      <c r="N758" t="s">
        <v>52</v>
      </c>
      <c r="O758" t="s">
        <v>13517</v>
      </c>
      <c r="P758" t="s">
        <v>13518</v>
      </c>
      <c r="Q758" t="s">
        <v>13519</v>
      </c>
      <c r="R758" t="s">
        <v>74</v>
      </c>
      <c r="S758" t="s">
        <v>74</v>
      </c>
      <c r="T758" t="s">
        <v>74</v>
      </c>
      <c r="U758" t="s">
        <v>74</v>
      </c>
      <c r="V758" t="s">
        <v>74</v>
      </c>
      <c r="W758" t="s">
        <v>13531</v>
      </c>
      <c r="X758" t="s">
        <v>6857</v>
      </c>
      <c r="Y758" t="s">
        <v>74</v>
      </c>
      <c r="Z758" t="s">
        <v>13532</v>
      </c>
      <c r="AA758" t="s">
        <v>13533</v>
      </c>
      <c r="AB758" t="s">
        <v>13534</v>
      </c>
      <c r="AC758" t="s">
        <v>74</v>
      </c>
      <c r="AD758" t="s">
        <v>74</v>
      </c>
      <c r="AE758" t="s">
        <v>74</v>
      </c>
      <c r="AF758" t="s">
        <v>74</v>
      </c>
      <c r="AG758">
        <v>2</v>
      </c>
      <c r="AH758">
        <v>0</v>
      </c>
      <c r="AI758">
        <v>0</v>
      </c>
      <c r="AJ758">
        <v>0</v>
      </c>
      <c r="AK758">
        <v>0</v>
      </c>
      <c r="AL758" t="s">
        <v>264</v>
      </c>
      <c r="AM758" t="s">
        <v>265</v>
      </c>
      <c r="AN758" t="s">
        <v>266</v>
      </c>
      <c r="AO758" t="s">
        <v>625</v>
      </c>
      <c r="AP758" t="s">
        <v>626</v>
      </c>
      <c r="AQ758" t="s">
        <v>74</v>
      </c>
      <c r="AR758" t="s">
        <v>627</v>
      </c>
      <c r="AS758" t="s">
        <v>628</v>
      </c>
      <c r="AT758" t="s">
        <v>12931</v>
      </c>
      <c r="AU758">
        <v>2010</v>
      </c>
      <c r="AV758">
        <v>74</v>
      </c>
      <c r="AW758">
        <v>12</v>
      </c>
      <c r="AX758" t="s">
        <v>74</v>
      </c>
      <c r="AY758">
        <v>1</v>
      </c>
      <c r="AZ758" t="s">
        <v>74</v>
      </c>
      <c r="BA758" t="s">
        <v>74</v>
      </c>
      <c r="BB758" t="s">
        <v>13535</v>
      </c>
      <c r="BC758" t="s">
        <v>13535</v>
      </c>
      <c r="BD758" t="s">
        <v>74</v>
      </c>
      <c r="BE758" t="s">
        <v>74</v>
      </c>
      <c r="BF758" t="s">
        <v>74</v>
      </c>
      <c r="BG758" t="s">
        <v>74</v>
      </c>
      <c r="BH758" t="s">
        <v>74</v>
      </c>
      <c r="BI758">
        <v>1</v>
      </c>
      <c r="BJ758" t="s">
        <v>558</v>
      </c>
      <c r="BK758" t="s">
        <v>1219</v>
      </c>
      <c r="BL758" t="s">
        <v>558</v>
      </c>
      <c r="BM758" t="s">
        <v>13526</v>
      </c>
      <c r="BN758" t="s">
        <v>74</v>
      </c>
      <c r="BO758" t="s">
        <v>74</v>
      </c>
      <c r="BP758" t="s">
        <v>74</v>
      </c>
      <c r="BQ758" t="s">
        <v>74</v>
      </c>
      <c r="BR758" t="s">
        <v>104</v>
      </c>
      <c r="BS758" t="s">
        <v>13536</v>
      </c>
      <c r="BT758" t="str">
        <f>HYPERLINK("https%3A%2F%2Fwww.webofscience.com%2Fwos%2Fwoscc%2Ffull-record%2FWOS:000283941401333","View Full Record in Web of Science")</f>
        <v>View Full Record in Web of Science</v>
      </c>
    </row>
    <row r="759" spans="1:72" x14ac:dyDescent="0.15">
      <c r="A759" t="s">
        <v>72</v>
      </c>
      <c r="B759" t="s">
        <v>13537</v>
      </c>
      <c r="C759" t="s">
        <v>74</v>
      </c>
      <c r="D759" t="s">
        <v>74</v>
      </c>
      <c r="E759" t="s">
        <v>74</v>
      </c>
      <c r="F759" t="s">
        <v>13538</v>
      </c>
      <c r="G759" t="s">
        <v>74</v>
      </c>
      <c r="H759" t="s">
        <v>74</v>
      </c>
      <c r="I759" t="s">
        <v>13539</v>
      </c>
      <c r="J759" t="s">
        <v>614</v>
      </c>
      <c r="K759" t="s">
        <v>74</v>
      </c>
      <c r="L759" t="s">
        <v>74</v>
      </c>
      <c r="M759" t="s">
        <v>78</v>
      </c>
      <c r="N759" t="s">
        <v>52</v>
      </c>
      <c r="O759" t="s">
        <v>13517</v>
      </c>
      <c r="P759" t="s">
        <v>13518</v>
      </c>
      <c r="Q759" t="s">
        <v>13519</v>
      </c>
      <c r="R759" t="s">
        <v>74</v>
      </c>
      <c r="S759" t="s">
        <v>74</v>
      </c>
      <c r="T759" t="s">
        <v>74</v>
      </c>
      <c r="U759" t="s">
        <v>74</v>
      </c>
      <c r="V759" t="s">
        <v>74</v>
      </c>
      <c r="W759" t="s">
        <v>13540</v>
      </c>
      <c r="X759" t="s">
        <v>13541</v>
      </c>
      <c r="Y759" t="s">
        <v>74</v>
      </c>
      <c r="Z759" t="s">
        <v>13542</v>
      </c>
      <c r="AA759" t="s">
        <v>13543</v>
      </c>
      <c r="AB759" t="s">
        <v>13544</v>
      </c>
      <c r="AC759" t="s">
        <v>74</v>
      </c>
      <c r="AD759" t="s">
        <v>74</v>
      </c>
      <c r="AE759" t="s">
        <v>74</v>
      </c>
      <c r="AF759" t="s">
        <v>74</v>
      </c>
      <c r="AG759">
        <v>0</v>
      </c>
      <c r="AH759">
        <v>0</v>
      </c>
      <c r="AI759">
        <v>0</v>
      </c>
      <c r="AJ759">
        <v>0</v>
      </c>
      <c r="AK759">
        <v>2</v>
      </c>
      <c r="AL759" t="s">
        <v>264</v>
      </c>
      <c r="AM759" t="s">
        <v>265</v>
      </c>
      <c r="AN759" t="s">
        <v>266</v>
      </c>
      <c r="AO759" t="s">
        <v>625</v>
      </c>
      <c r="AP759" t="s">
        <v>626</v>
      </c>
      <c r="AQ759" t="s">
        <v>74</v>
      </c>
      <c r="AR759" t="s">
        <v>627</v>
      </c>
      <c r="AS759" t="s">
        <v>628</v>
      </c>
      <c r="AT759" t="s">
        <v>12931</v>
      </c>
      <c r="AU759">
        <v>2010</v>
      </c>
      <c r="AV759">
        <v>74</v>
      </c>
      <c r="AW759">
        <v>12</v>
      </c>
      <c r="AX759" t="s">
        <v>74</v>
      </c>
      <c r="AY759">
        <v>1</v>
      </c>
      <c r="AZ759" t="s">
        <v>74</v>
      </c>
      <c r="BA759" t="s">
        <v>74</v>
      </c>
      <c r="BB759" t="s">
        <v>13545</v>
      </c>
      <c r="BC759" t="s">
        <v>13545</v>
      </c>
      <c r="BD759" t="s">
        <v>74</v>
      </c>
      <c r="BE759" t="s">
        <v>74</v>
      </c>
      <c r="BF759" t="s">
        <v>74</v>
      </c>
      <c r="BG759" t="s">
        <v>74</v>
      </c>
      <c r="BH759" t="s">
        <v>74</v>
      </c>
      <c r="BI759">
        <v>1</v>
      </c>
      <c r="BJ759" t="s">
        <v>558</v>
      </c>
      <c r="BK759" t="s">
        <v>1219</v>
      </c>
      <c r="BL759" t="s">
        <v>558</v>
      </c>
      <c r="BM759" t="s">
        <v>13526</v>
      </c>
      <c r="BN759" t="s">
        <v>74</v>
      </c>
      <c r="BO759" t="s">
        <v>74</v>
      </c>
      <c r="BP759" t="s">
        <v>74</v>
      </c>
      <c r="BQ759" t="s">
        <v>74</v>
      </c>
      <c r="BR759" t="s">
        <v>104</v>
      </c>
      <c r="BS759" t="s">
        <v>13546</v>
      </c>
      <c r="BT759" t="str">
        <f>HYPERLINK("https%3A%2F%2Fwww.webofscience.com%2Fwos%2Fwoscc%2Ffull-record%2FWOS:000283941401441","View Full Record in Web of Science")</f>
        <v>View Full Record in Web of Science</v>
      </c>
    </row>
    <row r="760" spans="1:72" x14ac:dyDescent="0.15">
      <c r="A760" t="s">
        <v>72</v>
      </c>
      <c r="B760" t="s">
        <v>13547</v>
      </c>
      <c r="C760" t="s">
        <v>74</v>
      </c>
      <c r="D760" t="s">
        <v>74</v>
      </c>
      <c r="E760" t="s">
        <v>74</v>
      </c>
      <c r="F760" t="s">
        <v>13548</v>
      </c>
      <c r="G760" t="s">
        <v>74</v>
      </c>
      <c r="H760" t="s">
        <v>74</v>
      </c>
      <c r="I760" t="s">
        <v>13549</v>
      </c>
      <c r="J760" t="s">
        <v>614</v>
      </c>
      <c r="K760" t="s">
        <v>74</v>
      </c>
      <c r="L760" t="s">
        <v>74</v>
      </c>
      <c r="M760" t="s">
        <v>78</v>
      </c>
      <c r="N760" t="s">
        <v>52</v>
      </c>
      <c r="O760" t="s">
        <v>13517</v>
      </c>
      <c r="P760" t="s">
        <v>13518</v>
      </c>
      <c r="Q760" t="s">
        <v>13519</v>
      </c>
      <c r="R760" t="s">
        <v>74</v>
      </c>
      <c r="S760" t="s">
        <v>74</v>
      </c>
      <c r="T760" t="s">
        <v>74</v>
      </c>
      <c r="U760" t="s">
        <v>74</v>
      </c>
      <c r="V760" t="s">
        <v>74</v>
      </c>
      <c r="W760" t="s">
        <v>13550</v>
      </c>
      <c r="X760" t="s">
        <v>13551</v>
      </c>
      <c r="Y760" t="s">
        <v>74</v>
      </c>
      <c r="Z760" t="s">
        <v>13552</v>
      </c>
      <c r="AA760" t="s">
        <v>13553</v>
      </c>
      <c r="AB760" t="s">
        <v>13554</v>
      </c>
      <c r="AC760" t="s">
        <v>74</v>
      </c>
      <c r="AD760" t="s">
        <v>74</v>
      </c>
      <c r="AE760" t="s">
        <v>74</v>
      </c>
      <c r="AF760" t="s">
        <v>74</v>
      </c>
      <c r="AG760">
        <v>0</v>
      </c>
      <c r="AH760">
        <v>0</v>
      </c>
      <c r="AI760">
        <v>0</v>
      </c>
      <c r="AJ760">
        <v>0</v>
      </c>
      <c r="AK760">
        <v>8</v>
      </c>
      <c r="AL760" t="s">
        <v>264</v>
      </c>
      <c r="AM760" t="s">
        <v>265</v>
      </c>
      <c r="AN760" t="s">
        <v>266</v>
      </c>
      <c r="AO760" t="s">
        <v>625</v>
      </c>
      <c r="AP760" t="s">
        <v>626</v>
      </c>
      <c r="AQ760" t="s">
        <v>74</v>
      </c>
      <c r="AR760" t="s">
        <v>627</v>
      </c>
      <c r="AS760" t="s">
        <v>628</v>
      </c>
      <c r="AT760" t="s">
        <v>12931</v>
      </c>
      <c r="AU760">
        <v>2010</v>
      </c>
      <c r="AV760">
        <v>74</v>
      </c>
      <c r="AW760">
        <v>12</v>
      </c>
      <c r="AX760" t="s">
        <v>74</v>
      </c>
      <c r="AY760">
        <v>1</v>
      </c>
      <c r="AZ760" t="s">
        <v>74</v>
      </c>
      <c r="BA760" t="s">
        <v>74</v>
      </c>
      <c r="BB760" t="s">
        <v>13555</v>
      </c>
      <c r="BC760" t="s">
        <v>13555</v>
      </c>
      <c r="BD760" t="s">
        <v>74</v>
      </c>
      <c r="BE760" t="s">
        <v>74</v>
      </c>
      <c r="BF760" t="s">
        <v>74</v>
      </c>
      <c r="BG760" t="s">
        <v>74</v>
      </c>
      <c r="BH760" t="s">
        <v>74</v>
      </c>
      <c r="BI760">
        <v>1</v>
      </c>
      <c r="BJ760" t="s">
        <v>558</v>
      </c>
      <c r="BK760" t="s">
        <v>1219</v>
      </c>
      <c r="BL760" t="s">
        <v>558</v>
      </c>
      <c r="BM760" t="s">
        <v>13526</v>
      </c>
      <c r="BN760" t="s">
        <v>74</v>
      </c>
      <c r="BO760" t="s">
        <v>74</v>
      </c>
      <c r="BP760" t="s">
        <v>74</v>
      </c>
      <c r="BQ760" t="s">
        <v>74</v>
      </c>
      <c r="BR760" t="s">
        <v>104</v>
      </c>
      <c r="BS760" t="s">
        <v>13556</v>
      </c>
      <c r="BT760" t="str">
        <f>HYPERLINK("https%3A%2F%2Fwww.webofscience.com%2Fwos%2Fwoscc%2Ffull-record%2FWOS:000283941400622","View Full Record in Web of Science")</f>
        <v>View Full Record in Web of Science</v>
      </c>
    </row>
    <row r="761" spans="1:72" x14ac:dyDescent="0.15">
      <c r="A761" t="s">
        <v>72</v>
      </c>
      <c r="B761" t="s">
        <v>13557</v>
      </c>
      <c r="C761" t="s">
        <v>74</v>
      </c>
      <c r="D761" t="s">
        <v>74</v>
      </c>
      <c r="E761" t="s">
        <v>74</v>
      </c>
      <c r="F761" t="s">
        <v>13558</v>
      </c>
      <c r="G761" t="s">
        <v>74</v>
      </c>
      <c r="H761" t="s">
        <v>74</v>
      </c>
      <c r="I761" t="s">
        <v>13559</v>
      </c>
      <c r="J761" t="s">
        <v>614</v>
      </c>
      <c r="K761" t="s">
        <v>74</v>
      </c>
      <c r="L761" t="s">
        <v>74</v>
      </c>
      <c r="M761" t="s">
        <v>78</v>
      </c>
      <c r="N761" t="s">
        <v>52</v>
      </c>
      <c r="O761" t="s">
        <v>13517</v>
      </c>
      <c r="P761" t="s">
        <v>13518</v>
      </c>
      <c r="Q761" t="s">
        <v>13519</v>
      </c>
      <c r="R761" t="s">
        <v>74</v>
      </c>
      <c r="S761" t="s">
        <v>74</v>
      </c>
      <c r="T761" t="s">
        <v>74</v>
      </c>
      <c r="U761" t="s">
        <v>74</v>
      </c>
      <c r="V761" t="s">
        <v>74</v>
      </c>
      <c r="W761" t="s">
        <v>13560</v>
      </c>
      <c r="X761" t="s">
        <v>2031</v>
      </c>
      <c r="Y761" t="s">
        <v>74</v>
      </c>
      <c r="Z761" t="s">
        <v>13561</v>
      </c>
      <c r="AA761" t="s">
        <v>13562</v>
      </c>
      <c r="AB761" t="s">
        <v>74</v>
      </c>
      <c r="AC761" t="s">
        <v>74</v>
      </c>
      <c r="AD761" t="s">
        <v>74</v>
      </c>
      <c r="AE761" t="s">
        <v>74</v>
      </c>
      <c r="AF761" t="s">
        <v>74</v>
      </c>
      <c r="AG761">
        <v>0</v>
      </c>
      <c r="AH761">
        <v>0</v>
      </c>
      <c r="AI761">
        <v>0</v>
      </c>
      <c r="AJ761">
        <v>0</v>
      </c>
      <c r="AK761">
        <v>2</v>
      </c>
      <c r="AL761" t="s">
        <v>264</v>
      </c>
      <c r="AM761" t="s">
        <v>265</v>
      </c>
      <c r="AN761" t="s">
        <v>266</v>
      </c>
      <c r="AO761" t="s">
        <v>625</v>
      </c>
      <c r="AP761" t="s">
        <v>626</v>
      </c>
      <c r="AQ761" t="s">
        <v>74</v>
      </c>
      <c r="AR761" t="s">
        <v>627</v>
      </c>
      <c r="AS761" t="s">
        <v>628</v>
      </c>
      <c r="AT761" t="s">
        <v>12931</v>
      </c>
      <c r="AU761">
        <v>2010</v>
      </c>
      <c r="AV761">
        <v>74</v>
      </c>
      <c r="AW761">
        <v>12</v>
      </c>
      <c r="AX761" t="s">
        <v>74</v>
      </c>
      <c r="AY761">
        <v>1</v>
      </c>
      <c r="AZ761" t="s">
        <v>74</v>
      </c>
      <c r="BA761" t="s">
        <v>74</v>
      </c>
      <c r="BB761" t="s">
        <v>13563</v>
      </c>
      <c r="BC761" t="s">
        <v>13563</v>
      </c>
      <c r="BD761" t="s">
        <v>74</v>
      </c>
      <c r="BE761" t="s">
        <v>74</v>
      </c>
      <c r="BF761" t="s">
        <v>74</v>
      </c>
      <c r="BG761" t="s">
        <v>74</v>
      </c>
      <c r="BH761" t="s">
        <v>74</v>
      </c>
      <c r="BI761">
        <v>1</v>
      </c>
      <c r="BJ761" t="s">
        <v>558</v>
      </c>
      <c r="BK761" t="s">
        <v>1219</v>
      </c>
      <c r="BL761" t="s">
        <v>558</v>
      </c>
      <c r="BM761" t="s">
        <v>13526</v>
      </c>
      <c r="BN761" t="s">
        <v>74</v>
      </c>
      <c r="BO761" t="s">
        <v>74</v>
      </c>
      <c r="BP761" t="s">
        <v>74</v>
      </c>
      <c r="BQ761" t="s">
        <v>74</v>
      </c>
      <c r="BR761" t="s">
        <v>104</v>
      </c>
      <c r="BS761" t="s">
        <v>13564</v>
      </c>
      <c r="BT761" t="str">
        <f>HYPERLINK("https%3A%2F%2Fwww.webofscience.com%2Fwos%2Fwoscc%2Ffull-record%2FWOS:000283941401145","View Full Record in Web of Science")</f>
        <v>View Full Record in Web of Science</v>
      </c>
    </row>
    <row r="762" spans="1:72" x14ac:dyDescent="0.15">
      <c r="A762" t="s">
        <v>72</v>
      </c>
      <c r="B762" t="s">
        <v>13565</v>
      </c>
      <c r="C762" t="s">
        <v>74</v>
      </c>
      <c r="D762" t="s">
        <v>74</v>
      </c>
      <c r="E762" t="s">
        <v>74</v>
      </c>
      <c r="F762" t="s">
        <v>13566</v>
      </c>
      <c r="G762" t="s">
        <v>74</v>
      </c>
      <c r="H762" t="s">
        <v>74</v>
      </c>
      <c r="I762" t="s">
        <v>13567</v>
      </c>
      <c r="J762" t="s">
        <v>614</v>
      </c>
      <c r="K762" t="s">
        <v>74</v>
      </c>
      <c r="L762" t="s">
        <v>74</v>
      </c>
      <c r="M762" t="s">
        <v>78</v>
      </c>
      <c r="N762" t="s">
        <v>52</v>
      </c>
      <c r="O762" t="s">
        <v>13517</v>
      </c>
      <c r="P762" t="s">
        <v>13518</v>
      </c>
      <c r="Q762" t="s">
        <v>13519</v>
      </c>
      <c r="R762" t="s">
        <v>74</v>
      </c>
      <c r="S762" t="s">
        <v>74</v>
      </c>
      <c r="T762" t="s">
        <v>74</v>
      </c>
      <c r="U762" t="s">
        <v>74</v>
      </c>
      <c r="V762" t="s">
        <v>74</v>
      </c>
      <c r="W762" t="s">
        <v>13568</v>
      </c>
      <c r="X762" t="s">
        <v>13569</v>
      </c>
      <c r="Y762" t="s">
        <v>74</v>
      </c>
      <c r="Z762" t="s">
        <v>13570</v>
      </c>
      <c r="AA762" t="s">
        <v>13571</v>
      </c>
      <c r="AB762" t="s">
        <v>74</v>
      </c>
      <c r="AC762" t="s">
        <v>74</v>
      </c>
      <c r="AD762" t="s">
        <v>74</v>
      </c>
      <c r="AE762" t="s">
        <v>74</v>
      </c>
      <c r="AF762" t="s">
        <v>74</v>
      </c>
      <c r="AG762">
        <v>1</v>
      </c>
      <c r="AH762">
        <v>1</v>
      </c>
      <c r="AI762">
        <v>1</v>
      </c>
      <c r="AJ762">
        <v>0</v>
      </c>
      <c r="AK762">
        <v>7</v>
      </c>
      <c r="AL762" t="s">
        <v>264</v>
      </c>
      <c r="AM762" t="s">
        <v>265</v>
      </c>
      <c r="AN762" t="s">
        <v>266</v>
      </c>
      <c r="AO762" t="s">
        <v>625</v>
      </c>
      <c r="AP762" t="s">
        <v>626</v>
      </c>
      <c r="AQ762" t="s">
        <v>74</v>
      </c>
      <c r="AR762" t="s">
        <v>627</v>
      </c>
      <c r="AS762" t="s">
        <v>628</v>
      </c>
      <c r="AT762" t="s">
        <v>12931</v>
      </c>
      <c r="AU762">
        <v>2010</v>
      </c>
      <c r="AV762">
        <v>74</v>
      </c>
      <c r="AW762">
        <v>12</v>
      </c>
      <c r="AX762" t="s">
        <v>74</v>
      </c>
      <c r="AY762">
        <v>1</v>
      </c>
      <c r="AZ762" t="s">
        <v>74</v>
      </c>
      <c r="BA762" t="s">
        <v>74</v>
      </c>
      <c r="BB762" t="s">
        <v>13572</v>
      </c>
      <c r="BC762" t="s">
        <v>13572</v>
      </c>
      <c r="BD762" t="s">
        <v>74</v>
      </c>
      <c r="BE762" t="s">
        <v>74</v>
      </c>
      <c r="BF762" t="s">
        <v>74</v>
      </c>
      <c r="BG762" t="s">
        <v>74</v>
      </c>
      <c r="BH762" t="s">
        <v>74</v>
      </c>
      <c r="BI762">
        <v>1</v>
      </c>
      <c r="BJ762" t="s">
        <v>558</v>
      </c>
      <c r="BK762" t="s">
        <v>1219</v>
      </c>
      <c r="BL762" t="s">
        <v>558</v>
      </c>
      <c r="BM762" t="s">
        <v>13526</v>
      </c>
      <c r="BN762" t="s">
        <v>74</v>
      </c>
      <c r="BO762" t="s">
        <v>74</v>
      </c>
      <c r="BP762" t="s">
        <v>74</v>
      </c>
      <c r="BQ762" t="s">
        <v>74</v>
      </c>
      <c r="BR762" t="s">
        <v>104</v>
      </c>
      <c r="BS762" t="s">
        <v>13573</v>
      </c>
      <c r="BT762" t="str">
        <f>HYPERLINK("https%3A%2F%2Fwww.webofscience.com%2Fwos%2Fwoscc%2Ffull-record%2FWOS:000283941401492","View Full Record in Web of Science")</f>
        <v>View Full Record in Web of Science</v>
      </c>
    </row>
    <row r="763" spans="1:72" x14ac:dyDescent="0.15">
      <c r="A763" t="s">
        <v>72</v>
      </c>
      <c r="B763" t="s">
        <v>7790</v>
      </c>
      <c r="C763" t="s">
        <v>74</v>
      </c>
      <c r="D763" t="s">
        <v>74</v>
      </c>
      <c r="E763" t="s">
        <v>74</v>
      </c>
      <c r="F763" t="s">
        <v>7791</v>
      </c>
      <c r="G763" t="s">
        <v>74</v>
      </c>
      <c r="H763" t="s">
        <v>74</v>
      </c>
      <c r="I763" t="s">
        <v>13574</v>
      </c>
      <c r="J763" t="s">
        <v>13575</v>
      </c>
      <c r="K763" t="s">
        <v>74</v>
      </c>
      <c r="L763" t="s">
        <v>74</v>
      </c>
      <c r="M763" t="s">
        <v>78</v>
      </c>
      <c r="N763" t="s">
        <v>79</v>
      </c>
      <c r="O763" t="s">
        <v>74</v>
      </c>
      <c r="P763" t="s">
        <v>74</v>
      </c>
      <c r="Q763" t="s">
        <v>74</v>
      </c>
      <c r="R763" t="s">
        <v>74</v>
      </c>
      <c r="S763" t="s">
        <v>74</v>
      </c>
      <c r="T763" t="s">
        <v>13576</v>
      </c>
      <c r="U763" t="s">
        <v>13577</v>
      </c>
      <c r="V763" t="s">
        <v>13578</v>
      </c>
      <c r="W763" t="s">
        <v>7796</v>
      </c>
      <c r="X763" t="s">
        <v>1837</v>
      </c>
      <c r="Y763" t="s">
        <v>13579</v>
      </c>
      <c r="Z763" t="s">
        <v>7798</v>
      </c>
      <c r="AA763" t="s">
        <v>74</v>
      </c>
      <c r="AB763" t="s">
        <v>74</v>
      </c>
      <c r="AC763" t="s">
        <v>13580</v>
      </c>
      <c r="AD763" t="s">
        <v>13581</v>
      </c>
      <c r="AE763" t="s">
        <v>13582</v>
      </c>
      <c r="AF763" t="s">
        <v>74</v>
      </c>
      <c r="AG763">
        <v>52</v>
      </c>
      <c r="AH763">
        <v>41</v>
      </c>
      <c r="AI763">
        <v>46</v>
      </c>
      <c r="AJ763">
        <v>3</v>
      </c>
      <c r="AK763">
        <v>13</v>
      </c>
      <c r="AL763" t="s">
        <v>549</v>
      </c>
      <c r="AM763" t="s">
        <v>550</v>
      </c>
      <c r="AN763" t="s">
        <v>551</v>
      </c>
      <c r="AO763" t="s">
        <v>13583</v>
      </c>
      <c r="AP763" t="s">
        <v>13584</v>
      </c>
      <c r="AQ763" t="s">
        <v>74</v>
      </c>
      <c r="AR763" t="s">
        <v>13575</v>
      </c>
      <c r="AS763" t="s">
        <v>13585</v>
      </c>
      <c r="AT763" t="s">
        <v>13192</v>
      </c>
      <c r="AU763">
        <v>2010</v>
      </c>
      <c r="AV763">
        <v>118</v>
      </c>
      <c r="AW763" t="s">
        <v>556</v>
      </c>
      <c r="AX763" t="s">
        <v>74</v>
      </c>
      <c r="AY763" t="s">
        <v>74</v>
      </c>
      <c r="AZ763" t="s">
        <v>74</v>
      </c>
      <c r="BA763" t="s">
        <v>74</v>
      </c>
      <c r="BB763">
        <v>433</v>
      </c>
      <c r="BC763">
        <v>443</v>
      </c>
      <c r="BD763" t="s">
        <v>74</v>
      </c>
      <c r="BE763" t="s">
        <v>13586</v>
      </c>
      <c r="BF763" t="str">
        <f>HYPERLINK("http://dx.doi.org/10.1016/j.geomorph.2010.02.012","http://dx.doi.org/10.1016/j.geomorph.2010.02.012")</f>
        <v>http://dx.doi.org/10.1016/j.geomorph.2010.02.012</v>
      </c>
      <c r="BG763" t="s">
        <v>74</v>
      </c>
      <c r="BH763" t="s">
        <v>74</v>
      </c>
      <c r="BI763">
        <v>11</v>
      </c>
      <c r="BJ763" t="s">
        <v>1409</v>
      </c>
      <c r="BK763" t="s">
        <v>100</v>
      </c>
      <c r="BL763" t="s">
        <v>1410</v>
      </c>
      <c r="BM763" t="s">
        <v>13587</v>
      </c>
      <c r="BN763" t="s">
        <v>74</v>
      </c>
      <c r="BO763" t="s">
        <v>74</v>
      </c>
      <c r="BP763" t="s">
        <v>74</v>
      </c>
      <c r="BQ763" t="s">
        <v>74</v>
      </c>
      <c r="BR763" t="s">
        <v>104</v>
      </c>
      <c r="BS763" t="s">
        <v>13588</v>
      </c>
      <c r="BT763" t="str">
        <f>HYPERLINK("https%3A%2F%2Fwww.webofscience.com%2Fwos%2Fwoscc%2Ffull-record%2FWOS:000277904600018","View Full Record in Web of Science")</f>
        <v>View Full Record in Web of Science</v>
      </c>
    </row>
    <row r="764" spans="1:72" x14ac:dyDescent="0.15">
      <c r="A764" t="s">
        <v>72</v>
      </c>
      <c r="B764" t="s">
        <v>13589</v>
      </c>
      <c r="C764" t="s">
        <v>74</v>
      </c>
      <c r="D764" t="s">
        <v>74</v>
      </c>
      <c r="E764" t="s">
        <v>74</v>
      </c>
      <c r="F764" t="s">
        <v>13590</v>
      </c>
      <c r="G764" t="s">
        <v>74</v>
      </c>
      <c r="H764" t="s">
        <v>74</v>
      </c>
      <c r="I764" t="s">
        <v>13591</v>
      </c>
      <c r="J764" t="s">
        <v>3246</v>
      </c>
      <c r="K764" t="s">
        <v>74</v>
      </c>
      <c r="L764" t="s">
        <v>74</v>
      </c>
      <c r="M764" t="s">
        <v>78</v>
      </c>
      <c r="N764" t="s">
        <v>79</v>
      </c>
      <c r="O764" t="s">
        <v>74</v>
      </c>
      <c r="P764" t="s">
        <v>74</v>
      </c>
      <c r="Q764" t="s">
        <v>74</v>
      </c>
      <c r="R764" t="s">
        <v>74</v>
      </c>
      <c r="S764" t="s">
        <v>74</v>
      </c>
      <c r="T764" t="s">
        <v>13592</v>
      </c>
      <c r="U764" t="s">
        <v>13593</v>
      </c>
      <c r="V764" t="s">
        <v>13594</v>
      </c>
      <c r="W764" t="s">
        <v>13595</v>
      </c>
      <c r="X764" t="s">
        <v>13596</v>
      </c>
      <c r="Y764" t="s">
        <v>13597</v>
      </c>
      <c r="Z764" t="s">
        <v>13598</v>
      </c>
      <c r="AA764" t="s">
        <v>13599</v>
      </c>
      <c r="AB764" t="s">
        <v>13600</v>
      </c>
      <c r="AC764" t="s">
        <v>13601</v>
      </c>
      <c r="AD764" t="s">
        <v>13602</v>
      </c>
      <c r="AE764" t="s">
        <v>13603</v>
      </c>
      <c r="AF764" t="s">
        <v>74</v>
      </c>
      <c r="AG764">
        <v>91</v>
      </c>
      <c r="AH764">
        <v>21</v>
      </c>
      <c r="AI764">
        <v>24</v>
      </c>
      <c r="AJ764">
        <v>0</v>
      </c>
      <c r="AK764">
        <v>18</v>
      </c>
      <c r="AL764" t="s">
        <v>1038</v>
      </c>
      <c r="AM764" t="s">
        <v>550</v>
      </c>
      <c r="AN764" t="s">
        <v>1039</v>
      </c>
      <c r="AO764" t="s">
        <v>3255</v>
      </c>
      <c r="AP764" t="s">
        <v>3256</v>
      </c>
      <c r="AQ764" t="s">
        <v>74</v>
      </c>
      <c r="AR764" t="s">
        <v>3257</v>
      </c>
      <c r="AS764" t="s">
        <v>3258</v>
      </c>
      <c r="AT764" t="s">
        <v>12931</v>
      </c>
      <c r="AU764">
        <v>2010</v>
      </c>
      <c r="AV764">
        <v>72</v>
      </c>
      <c r="AW764">
        <v>3</v>
      </c>
      <c r="AX764" t="s">
        <v>74</v>
      </c>
      <c r="AY764" t="s">
        <v>74</v>
      </c>
      <c r="AZ764" t="s">
        <v>74</v>
      </c>
      <c r="BA764" t="s">
        <v>74</v>
      </c>
      <c r="BB764">
        <v>201</v>
      </c>
      <c r="BC764">
        <v>214</v>
      </c>
      <c r="BD764" t="s">
        <v>74</v>
      </c>
      <c r="BE764" t="s">
        <v>13604</v>
      </c>
      <c r="BF764" t="str">
        <f>HYPERLINK("http://dx.doi.org/10.1016/j.gloplacha.2010.04.007","http://dx.doi.org/10.1016/j.gloplacha.2010.04.007")</f>
        <v>http://dx.doi.org/10.1016/j.gloplacha.2010.04.007</v>
      </c>
      <c r="BG764" t="s">
        <v>74</v>
      </c>
      <c r="BH764" t="s">
        <v>74</v>
      </c>
      <c r="BI764">
        <v>14</v>
      </c>
      <c r="BJ764" t="s">
        <v>1409</v>
      </c>
      <c r="BK764" t="s">
        <v>100</v>
      </c>
      <c r="BL764" t="s">
        <v>1410</v>
      </c>
      <c r="BM764" t="s">
        <v>13605</v>
      </c>
      <c r="BN764" t="s">
        <v>74</v>
      </c>
      <c r="BO764" t="s">
        <v>74</v>
      </c>
      <c r="BP764" t="s">
        <v>74</v>
      </c>
      <c r="BQ764" t="s">
        <v>74</v>
      </c>
      <c r="BR764" t="s">
        <v>104</v>
      </c>
      <c r="BS764" t="s">
        <v>13606</v>
      </c>
      <c r="BT764" t="str">
        <f>HYPERLINK("https%3A%2F%2Fwww.webofscience.com%2Fwos%2Fwoscc%2Ffull-record%2FWOS:000280040300011","View Full Record in Web of Science")</f>
        <v>View Full Record in Web of Science</v>
      </c>
    </row>
    <row r="765" spans="1:72" x14ac:dyDescent="0.15">
      <c r="A765" t="s">
        <v>72</v>
      </c>
      <c r="B765" t="s">
        <v>13607</v>
      </c>
      <c r="C765" t="s">
        <v>74</v>
      </c>
      <c r="D765" t="s">
        <v>74</v>
      </c>
      <c r="E765" t="s">
        <v>74</v>
      </c>
      <c r="F765" t="s">
        <v>13608</v>
      </c>
      <c r="G765" t="s">
        <v>74</v>
      </c>
      <c r="H765" t="s">
        <v>74</v>
      </c>
      <c r="I765" t="s">
        <v>13609</v>
      </c>
      <c r="J765" t="s">
        <v>13610</v>
      </c>
      <c r="K765" t="s">
        <v>74</v>
      </c>
      <c r="L765" t="s">
        <v>74</v>
      </c>
      <c r="M765" t="s">
        <v>78</v>
      </c>
      <c r="N765" t="s">
        <v>79</v>
      </c>
      <c r="O765" t="s">
        <v>74</v>
      </c>
      <c r="P765" t="s">
        <v>74</v>
      </c>
      <c r="Q765" t="s">
        <v>74</v>
      </c>
      <c r="R765" t="s">
        <v>74</v>
      </c>
      <c r="S765" t="s">
        <v>74</v>
      </c>
      <c r="T765" t="s">
        <v>13611</v>
      </c>
      <c r="U765" t="s">
        <v>13612</v>
      </c>
      <c r="V765" t="s">
        <v>13613</v>
      </c>
      <c r="W765" t="s">
        <v>13614</v>
      </c>
      <c r="X765" t="s">
        <v>13615</v>
      </c>
      <c r="Y765" t="s">
        <v>13616</v>
      </c>
      <c r="Z765" t="s">
        <v>13617</v>
      </c>
      <c r="AA765" t="s">
        <v>13618</v>
      </c>
      <c r="AB765" t="s">
        <v>74</v>
      </c>
      <c r="AC765" t="s">
        <v>13619</v>
      </c>
      <c r="AD765" t="s">
        <v>13620</v>
      </c>
      <c r="AE765" t="s">
        <v>13621</v>
      </c>
      <c r="AF765" t="s">
        <v>74</v>
      </c>
      <c r="AG765">
        <v>80</v>
      </c>
      <c r="AH765">
        <v>44</v>
      </c>
      <c r="AI765">
        <v>51</v>
      </c>
      <c r="AJ765">
        <v>0</v>
      </c>
      <c r="AK765">
        <v>13</v>
      </c>
      <c r="AL765" t="s">
        <v>13622</v>
      </c>
      <c r="AM765" t="s">
        <v>1598</v>
      </c>
      <c r="AN765" t="s">
        <v>13623</v>
      </c>
      <c r="AO765" t="s">
        <v>13624</v>
      </c>
      <c r="AP765" t="s">
        <v>13625</v>
      </c>
      <c r="AQ765" t="s">
        <v>74</v>
      </c>
      <c r="AR765" t="s">
        <v>13610</v>
      </c>
      <c r="AS765" t="s">
        <v>13626</v>
      </c>
      <c r="AT765" t="s">
        <v>12931</v>
      </c>
      <c r="AU765">
        <v>2010</v>
      </c>
      <c r="AV765">
        <v>20</v>
      </c>
      <c r="AW765">
        <v>4</v>
      </c>
      <c r="AX765" t="s">
        <v>74</v>
      </c>
      <c r="AY765" t="s">
        <v>74</v>
      </c>
      <c r="AZ765" t="s">
        <v>74</v>
      </c>
      <c r="BA765" t="s">
        <v>74</v>
      </c>
      <c r="BB765">
        <v>551</v>
      </c>
      <c r="BC765">
        <v>564</v>
      </c>
      <c r="BD765" t="s">
        <v>74</v>
      </c>
      <c r="BE765" t="s">
        <v>13627</v>
      </c>
      <c r="BF765" t="str">
        <f>HYPERLINK("http://dx.doi.org/10.1177/0959683609356581","http://dx.doi.org/10.1177/0959683609356581")</f>
        <v>http://dx.doi.org/10.1177/0959683609356581</v>
      </c>
      <c r="BG765" t="s">
        <v>74</v>
      </c>
      <c r="BH765" t="s">
        <v>74</v>
      </c>
      <c r="BI765">
        <v>14</v>
      </c>
      <c r="BJ765" t="s">
        <v>1409</v>
      </c>
      <c r="BK765" t="s">
        <v>100</v>
      </c>
      <c r="BL765" t="s">
        <v>1410</v>
      </c>
      <c r="BM765" t="s">
        <v>13628</v>
      </c>
      <c r="BN765" t="s">
        <v>74</v>
      </c>
      <c r="BO765" t="s">
        <v>74</v>
      </c>
      <c r="BP765" t="s">
        <v>74</v>
      </c>
      <c r="BQ765" t="s">
        <v>74</v>
      </c>
      <c r="BR765" t="s">
        <v>104</v>
      </c>
      <c r="BS765" t="s">
        <v>13629</v>
      </c>
      <c r="BT765" t="str">
        <f>HYPERLINK("https%3A%2F%2Fwww.webofscience.com%2Fwos%2Fwoscc%2Ffull-record%2FWOS:000278435600006","View Full Record in Web of Science")</f>
        <v>View Full Record in Web of Science</v>
      </c>
    </row>
    <row r="766" spans="1:72" x14ac:dyDescent="0.15">
      <c r="A766" t="s">
        <v>72</v>
      </c>
      <c r="B766" t="s">
        <v>13630</v>
      </c>
      <c r="C766" t="s">
        <v>74</v>
      </c>
      <c r="D766" t="s">
        <v>74</v>
      </c>
      <c r="E766" t="s">
        <v>74</v>
      </c>
      <c r="F766" t="s">
        <v>13631</v>
      </c>
      <c r="G766" t="s">
        <v>74</v>
      </c>
      <c r="H766" t="s">
        <v>74</v>
      </c>
      <c r="I766" t="s">
        <v>13632</v>
      </c>
      <c r="J766" t="s">
        <v>13633</v>
      </c>
      <c r="K766" t="s">
        <v>74</v>
      </c>
      <c r="L766" t="s">
        <v>74</v>
      </c>
      <c r="M766" t="s">
        <v>78</v>
      </c>
      <c r="N766" t="s">
        <v>79</v>
      </c>
      <c r="O766" t="s">
        <v>74</v>
      </c>
      <c r="P766" t="s">
        <v>74</v>
      </c>
      <c r="Q766" t="s">
        <v>74</v>
      </c>
      <c r="R766" t="s">
        <v>74</v>
      </c>
      <c r="S766" t="s">
        <v>74</v>
      </c>
      <c r="T766" t="s">
        <v>13634</v>
      </c>
      <c r="U766" t="s">
        <v>13635</v>
      </c>
      <c r="V766" t="s">
        <v>13636</v>
      </c>
      <c r="W766" t="s">
        <v>74</v>
      </c>
      <c r="X766" t="s">
        <v>74</v>
      </c>
      <c r="Y766" t="s">
        <v>74</v>
      </c>
      <c r="Z766" t="s">
        <v>74</v>
      </c>
      <c r="AA766" t="s">
        <v>13637</v>
      </c>
      <c r="AB766" t="s">
        <v>13638</v>
      </c>
      <c r="AC766" t="s">
        <v>13639</v>
      </c>
      <c r="AD766" t="s">
        <v>13640</v>
      </c>
      <c r="AE766" t="s">
        <v>13641</v>
      </c>
      <c r="AF766" t="s">
        <v>74</v>
      </c>
      <c r="AG766">
        <v>37</v>
      </c>
      <c r="AH766">
        <v>15</v>
      </c>
      <c r="AI766">
        <v>15</v>
      </c>
      <c r="AJ766">
        <v>0</v>
      </c>
      <c r="AK766">
        <v>5</v>
      </c>
      <c r="AL766" t="s">
        <v>6081</v>
      </c>
      <c r="AM766" t="s">
        <v>6082</v>
      </c>
      <c r="AN766" t="s">
        <v>6083</v>
      </c>
      <c r="AO766" t="s">
        <v>13642</v>
      </c>
      <c r="AP766" t="s">
        <v>13643</v>
      </c>
      <c r="AQ766" t="s">
        <v>74</v>
      </c>
      <c r="AR766" t="s">
        <v>13644</v>
      </c>
      <c r="AS766" t="s">
        <v>13645</v>
      </c>
      <c r="AT766" t="s">
        <v>12931</v>
      </c>
      <c r="AU766">
        <v>2010</v>
      </c>
      <c r="AV766">
        <v>3</v>
      </c>
      <c r="AW766">
        <v>2</v>
      </c>
      <c r="AX766" t="s">
        <v>74</v>
      </c>
      <c r="AY766" t="s">
        <v>74</v>
      </c>
      <c r="AZ766" t="s">
        <v>74</v>
      </c>
      <c r="BA766" t="s">
        <v>74</v>
      </c>
      <c r="BB766">
        <v>190</v>
      </c>
      <c r="BC766">
        <v>202</v>
      </c>
      <c r="BD766" t="s">
        <v>74</v>
      </c>
      <c r="BE766" t="s">
        <v>13646</v>
      </c>
      <c r="BF766" t="str">
        <f>HYPERLINK("http://dx.doi.org/10.1109/JSTARS.2010.2040463","http://dx.doi.org/10.1109/JSTARS.2010.2040463")</f>
        <v>http://dx.doi.org/10.1109/JSTARS.2010.2040463</v>
      </c>
      <c r="BG766" t="s">
        <v>74</v>
      </c>
      <c r="BH766" t="s">
        <v>74</v>
      </c>
      <c r="BI766">
        <v>13</v>
      </c>
      <c r="BJ766" t="s">
        <v>13647</v>
      </c>
      <c r="BK766" t="s">
        <v>100</v>
      </c>
      <c r="BL766" t="s">
        <v>13648</v>
      </c>
      <c r="BM766" t="s">
        <v>13649</v>
      </c>
      <c r="BN766" t="s">
        <v>74</v>
      </c>
      <c r="BO766" t="s">
        <v>74</v>
      </c>
      <c r="BP766" t="s">
        <v>74</v>
      </c>
      <c r="BQ766" t="s">
        <v>74</v>
      </c>
      <c r="BR766" t="s">
        <v>104</v>
      </c>
      <c r="BS766" t="s">
        <v>13650</v>
      </c>
      <c r="BT766" t="str">
        <f>HYPERLINK("https%3A%2F%2Fwww.webofscience.com%2Fwos%2Fwoscc%2Ffull-record%2FWOS:000277890100004","View Full Record in Web of Science")</f>
        <v>View Full Record in Web of Science</v>
      </c>
    </row>
    <row r="767" spans="1:72" x14ac:dyDescent="0.15">
      <c r="A767" t="s">
        <v>72</v>
      </c>
      <c r="B767" t="s">
        <v>13651</v>
      </c>
      <c r="C767" t="s">
        <v>74</v>
      </c>
      <c r="D767" t="s">
        <v>74</v>
      </c>
      <c r="E767" t="s">
        <v>74</v>
      </c>
      <c r="F767" t="s">
        <v>13652</v>
      </c>
      <c r="G767" t="s">
        <v>74</v>
      </c>
      <c r="H767" t="s">
        <v>74</v>
      </c>
      <c r="I767" t="s">
        <v>13653</v>
      </c>
      <c r="J767" t="s">
        <v>5242</v>
      </c>
      <c r="K767" t="s">
        <v>74</v>
      </c>
      <c r="L767" t="s">
        <v>74</v>
      </c>
      <c r="M767" t="s">
        <v>78</v>
      </c>
      <c r="N767" t="s">
        <v>79</v>
      </c>
      <c r="O767" t="s">
        <v>74</v>
      </c>
      <c r="P767" t="s">
        <v>74</v>
      </c>
      <c r="Q767" t="s">
        <v>74</v>
      </c>
      <c r="R767" t="s">
        <v>74</v>
      </c>
      <c r="S767" t="s">
        <v>74</v>
      </c>
      <c r="T767" t="s">
        <v>13654</v>
      </c>
      <c r="U767" t="s">
        <v>13655</v>
      </c>
      <c r="V767" t="s">
        <v>13656</v>
      </c>
      <c r="W767" t="s">
        <v>13657</v>
      </c>
      <c r="X767" t="s">
        <v>3694</v>
      </c>
      <c r="Y767" t="s">
        <v>13658</v>
      </c>
      <c r="Z767" t="s">
        <v>74</v>
      </c>
      <c r="AA767" t="s">
        <v>13659</v>
      </c>
      <c r="AB767" t="s">
        <v>74</v>
      </c>
      <c r="AC767" t="s">
        <v>13660</v>
      </c>
      <c r="AD767" t="s">
        <v>13660</v>
      </c>
      <c r="AE767" t="s">
        <v>13661</v>
      </c>
      <c r="AF767" t="s">
        <v>74</v>
      </c>
      <c r="AG767">
        <v>25</v>
      </c>
      <c r="AH767">
        <v>11</v>
      </c>
      <c r="AI767">
        <v>11</v>
      </c>
      <c r="AJ767">
        <v>0</v>
      </c>
      <c r="AK767">
        <v>11</v>
      </c>
      <c r="AL767" t="s">
        <v>5255</v>
      </c>
      <c r="AM767" t="s">
        <v>5256</v>
      </c>
      <c r="AN767" t="s">
        <v>5257</v>
      </c>
      <c r="AO767" t="s">
        <v>5258</v>
      </c>
      <c r="AP767" t="s">
        <v>13662</v>
      </c>
      <c r="AQ767" t="s">
        <v>74</v>
      </c>
      <c r="AR767" t="s">
        <v>5259</v>
      </c>
      <c r="AS767" t="s">
        <v>5260</v>
      </c>
      <c r="AT767" t="s">
        <v>12931</v>
      </c>
      <c r="AU767">
        <v>2010</v>
      </c>
      <c r="AV767">
        <v>39</v>
      </c>
      <c r="AW767">
        <v>2</v>
      </c>
      <c r="AX767" t="s">
        <v>74</v>
      </c>
      <c r="AY767" t="s">
        <v>74</v>
      </c>
      <c r="AZ767" t="s">
        <v>74</v>
      </c>
      <c r="BA767" t="s">
        <v>74</v>
      </c>
      <c r="BB767">
        <v>192</v>
      </c>
      <c r="BC767">
        <v>200</v>
      </c>
      <c r="BD767" t="s">
        <v>74</v>
      </c>
      <c r="BE767" t="s">
        <v>74</v>
      </c>
      <c r="BF767" t="s">
        <v>74</v>
      </c>
      <c r="BG767" t="s">
        <v>74</v>
      </c>
      <c r="BH767" t="s">
        <v>74</v>
      </c>
      <c r="BI767">
        <v>9</v>
      </c>
      <c r="BJ767" t="s">
        <v>1531</v>
      </c>
      <c r="BK767" t="s">
        <v>100</v>
      </c>
      <c r="BL767" t="s">
        <v>1531</v>
      </c>
      <c r="BM767" t="s">
        <v>13663</v>
      </c>
      <c r="BN767" t="s">
        <v>74</v>
      </c>
      <c r="BO767" t="s">
        <v>74</v>
      </c>
      <c r="BP767" t="s">
        <v>74</v>
      </c>
      <c r="BQ767" t="s">
        <v>74</v>
      </c>
      <c r="BR767" t="s">
        <v>104</v>
      </c>
      <c r="BS767" t="s">
        <v>13664</v>
      </c>
      <c r="BT767" t="str">
        <f>HYPERLINK("https%3A%2F%2Fwww.webofscience.com%2Fwos%2Fwoscc%2Ffull-record%2FWOS:000282156100003","View Full Record in Web of Science")</f>
        <v>View Full Record in Web of Science</v>
      </c>
    </row>
    <row r="768" spans="1:72" x14ac:dyDescent="0.15">
      <c r="A768" t="s">
        <v>72</v>
      </c>
      <c r="B768" t="s">
        <v>13665</v>
      </c>
      <c r="C768" t="s">
        <v>74</v>
      </c>
      <c r="D768" t="s">
        <v>74</v>
      </c>
      <c r="E768" t="s">
        <v>74</v>
      </c>
      <c r="F768" t="s">
        <v>13666</v>
      </c>
      <c r="G768" t="s">
        <v>74</v>
      </c>
      <c r="H768" t="s">
        <v>74</v>
      </c>
      <c r="I768" t="s">
        <v>13667</v>
      </c>
      <c r="J768" t="s">
        <v>13668</v>
      </c>
      <c r="K768" t="s">
        <v>74</v>
      </c>
      <c r="L768" t="s">
        <v>74</v>
      </c>
      <c r="M768" t="s">
        <v>78</v>
      </c>
      <c r="N768" t="s">
        <v>79</v>
      </c>
      <c r="O768" t="s">
        <v>74</v>
      </c>
      <c r="P768" t="s">
        <v>74</v>
      </c>
      <c r="Q768" t="s">
        <v>74</v>
      </c>
      <c r="R768" t="s">
        <v>74</v>
      </c>
      <c r="S768" t="s">
        <v>74</v>
      </c>
      <c r="T768" t="s">
        <v>13669</v>
      </c>
      <c r="U768" t="s">
        <v>13670</v>
      </c>
      <c r="V768" t="s">
        <v>13671</v>
      </c>
      <c r="W768" t="s">
        <v>13672</v>
      </c>
      <c r="X768" t="s">
        <v>13673</v>
      </c>
      <c r="Y768" t="s">
        <v>13674</v>
      </c>
      <c r="Z768" t="s">
        <v>13675</v>
      </c>
      <c r="AA768" t="s">
        <v>13676</v>
      </c>
      <c r="AB768" t="s">
        <v>13677</v>
      </c>
      <c r="AC768" t="s">
        <v>74</v>
      </c>
      <c r="AD768" t="s">
        <v>74</v>
      </c>
      <c r="AE768" t="s">
        <v>74</v>
      </c>
      <c r="AF768" t="s">
        <v>74</v>
      </c>
      <c r="AG768">
        <v>57</v>
      </c>
      <c r="AH768">
        <v>92</v>
      </c>
      <c r="AI768">
        <v>103</v>
      </c>
      <c r="AJ768">
        <v>2</v>
      </c>
      <c r="AK768">
        <v>30</v>
      </c>
      <c r="AL768" t="s">
        <v>1038</v>
      </c>
      <c r="AM768" t="s">
        <v>550</v>
      </c>
      <c r="AN768" t="s">
        <v>1039</v>
      </c>
      <c r="AO768" t="s">
        <v>13678</v>
      </c>
      <c r="AP768" t="s">
        <v>74</v>
      </c>
      <c r="AQ768" t="s">
        <v>74</v>
      </c>
      <c r="AR768" t="s">
        <v>13679</v>
      </c>
      <c r="AS768" t="s">
        <v>13680</v>
      </c>
      <c r="AT768" t="s">
        <v>12931</v>
      </c>
      <c r="AU768">
        <v>2010</v>
      </c>
      <c r="AV768">
        <v>12</v>
      </c>
      <c r="AW768">
        <v>3</v>
      </c>
      <c r="AX768" t="s">
        <v>74</v>
      </c>
      <c r="AY768" t="s">
        <v>74</v>
      </c>
      <c r="AZ768" t="s">
        <v>74</v>
      </c>
      <c r="BA768" t="s">
        <v>74</v>
      </c>
      <c r="BB768">
        <v>138</v>
      </c>
      <c r="BC768">
        <v>149</v>
      </c>
      <c r="BD768" t="s">
        <v>74</v>
      </c>
      <c r="BE768" t="s">
        <v>13681</v>
      </c>
      <c r="BF768" t="str">
        <f>HYPERLINK("http://dx.doi.org/10.1016/j.jag.2010.01.006","http://dx.doi.org/10.1016/j.jag.2010.01.006")</f>
        <v>http://dx.doi.org/10.1016/j.jag.2010.01.006</v>
      </c>
      <c r="BG768" t="s">
        <v>74</v>
      </c>
      <c r="BH768" t="s">
        <v>74</v>
      </c>
      <c r="BI768">
        <v>12</v>
      </c>
      <c r="BJ768" t="s">
        <v>2763</v>
      </c>
      <c r="BK768" t="s">
        <v>100</v>
      </c>
      <c r="BL768" t="s">
        <v>2763</v>
      </c>
      <c r="BM768" t="s">
        <v>13682</v>
      </c>
      <c r="BN768" t="s">
        <v>74</v>
      </c>
      <c r="BO768" t="s">
        <v>74</v>
      </c>
      <c r="BP768" t="s">
        <v>74</v>
      </c>
      <c r="BQ768" t="s">
        <v>74</v>
      </c>
      <c r="BR768" t="s">
        <v>104</v>
      </c>
      <c r="BS768" t="s">
        <v>13683</v>
      </c>
      <c r="BT768" t="str">
        <f>HYPERLINK("https%3A%2F%2Fwww.webofscience.com%2Fwos%2Fwoscc%2Ffull-record%2FWOS:000278114800002","View Full Record in Web of Science")</f>
        <v>View Full Record in Web of Science</v>
      </c>
    </row>
    <row r="769" spans="1:72" x14ac:dyDescent="0.15">
      <c r="A769" t="s">
        <v>72</v>
      </c>
      <c r="B769" t="s">
        <v>13684</v>
      </c>
      <c r="C769" t="s">
        <v>74</v>
      </c>
      <c r="D769" t="s">
        <v>74</v>
      </c>
      <c r="E769" t="s">
        <v>74</v>
      </c>
      <c r="F769" t="s">
        <v>13685</v>
      </c>
      <c r="G769" t="s">
        <v>74</v>
      </c>
      <c r="H769" t="s">
        <v>74</v>
      </c>
      <c r="I769" t="s">
        <v>13686</v>
      </c>
      <c r="J769" t="s">
        <v>13687</v>
      </c>
      <c r="K769" t="s">
        <v>74</v>
      </c>
      <c r="L769" t="s">
        <v>74</v>
      </c>
      <c r="M769" t="s">
        <v>78</v>
      </c>
      <c r="N769" t="s">
        <v>326</v>
      </c>
      <c r="O769" t="s">
        <v>74</v>
      </c>
      <c r="P769" t="s">
        <v>74</v>
      </c>
      <c r="Q769" t="s">
        <v>74</v>
      </c>
      <c r="R769" t="s">
        <v>74</v>
      </c>
      <c r="S769" t="s">
        <v>74</v>
      </c>
      <c r="T769" t="s">
        <v>13688</v>
      </c>
      <c r="U769" t="s">
        <v>13689</v>
      </c>
      <c r="V769" t="s">
        <v>13690</v>
      </c>
      <c r="W769" t="s">
        <v>13691</v>
      </c>
      <c r="X769" t="s">
        <v>13692</v>
      </c>
      <c r="Y769" t="s">
        <v>13693</v>
      </c>
      <c r="Z769" t="s">
        <v>13694</v>
      </c>
      <c r="AA769" t="s">
        <v>74</v>
      </c>
      <c r="AB769" t="s">
        <v>74</v>
      </c>
      <c r="AC769" t="s">
        <v>74</v>
      </c>
      <c r="AD769" t="s">
        <v>74</v>
      </c>
      <c r="AE769" t="s">
        <v>74</v>
      </c>
      <c r="AF769" t="s">
        <v>74</v>
      </c>
      <c r="AG769">
        <v>65</v>
      </c>
      <c r="AH769">
        <v>13</v>
      </c>
      <c r="AI769">
        <v>17</v>
      </c>
      <c r="AJ769">
        <v>1</v>
      </c>
      <c r="AK769">
        <v>8</v>
      </c>
      <c r="AL769" t="s">
        <v>13695</v>
      </c>
      <c r="AM769" t="s">
        <v>13696</v>
      </c>
      <c r="AN769" t="s">
        <v>13697</v>
      </c>
      <c r="AO769" t="s">
        <v>13698</v>
      </c>
      <c r="AP769" t="s">
        <v>74</v>
      </c>
      <c r="AQ769" t="s">
        <v>74</v>
      </c>
      <c r="AR769" t="s">
        <v>13699</v>
      </c>
      <c r="AS769" t="s">
        <v>13700</v>
      </c>
      <c r="AT769" t="s">
        <v>12931</v>
      </c>
      <c r="AU769">
        <v>2010</v>
      </c>
      <c r="AV769">
        <v>69</v>
      </c>
      <c r="AW769">
        <v>3</v>
      </c>
      <c r="AX769" t="s">
        <v>74</v>
      </c>
      <c r="AY769" t="s">
        <v>74</v>
      </c>
      <c r="AZ769" t="s">
        <v>74</v>
      </c>
      <c r="BA769" t="s">
        <v>74</v>
      </c>
      <c r="BB769">
        <v>220</v>
      </c>
      <c r="BC769">
        <v>235</v>
      </c>
      <c r="BD769" t="s">
        <v>74</v>
      </c>
      <c r="BE769" t="s">
        <v>13701</v>
      </c>
      <c r="BF769" t="str">
        <f>HYPERLINK("http://dx.doi.org/10.3402/ijch.v69i3.17625","http://dx.doi.org/10.3402/ijch.v69i3.17625")</f>
        <v>http://dx.doi.org/10.3402/ijch.v69i3.17625</v>
      </c>
      <c r="BG769" t="s">
        <v>74</v>
      </c>
      <c r="BH769" t="s">
        <v>74</v>
      </c>
      <c r="BI769">
        <v>16</v>
      </c>
      <c r="BJ769" t="s">
        <v>13702</v>
      </c>
      <c r="BK769" t="s">
        <v>2796</v>
      </c>
      <c r="BL769" t="s">
        <v>13702</v>
      </c>
      <c r="BM769" t="s">
        <v>13703</v>
      </c>
      <c r="BN769">
        <v>20519091</v>
      </c>
      <c r="BO769" t="s">
        <v>10613</v>
      </c>
      <c r="BP769" t="s">
        <v>74</v>
      </c>
      <c r="BQ769" t="s">
        <v>74</v>
      </c>
      <c r="BR769" t="s">
        <v>104</v>
      </c>
      <c r="BS769" t="s">
        <v>13704</v>
      </c>
      <c r="BT769" t="str">
        <f>HYPERLINK("https%3A%2F%2Fwww.webofscience.com%2Fwos%2Fwoscc%2Ffull-record%2FWOS:000280055800004","View Full Record in Web of Science")</f>
        <v>View Full Record in Web of Science</v>
      </c>
    </row>
    <row r="770" spans="1:72" x14ac:dyDescent="0.15">
      <c r="A770" t="s">
        <v>72</v>
      </c>
      <c r="B770" t="s">
        <v>13705</v>
      </c>
      <c r="C770" t="s">
        <v>74</v>
      </c>
      <c r="D770" t="s">
        <v>74</v>
      </c>
      <c r="E770" t="s">
        <v>74</v>
      </c>
      <c r="F770" t="s">
        <v>13706</v>
      </c>
      <c r="G770" t="s">
        <v>74</v>
      </c>
      <c r="H770" t="s">
        <v>74</v>
      </c>
      <c r="I770" t="s">
        <v>13707</v>
      </c>
      <c r="J770" t="s">
        <v>3347</v>
      </c>
      <c r="K770" t="s">
        <v>74</v>
      </c>
      <c r="L770" t="s">
        <v>74</v>
      </c>
      <c r="M770" t="s">
        <v>78</v>
      </c>
      <c r="N770" t="s">
        <v>326</v>
      </c>
      <c r="O770" t="s">
        <v>74</v>
      </c>
      <c r="P770" t="s">
        <v>74</v>
      </c>
      <c r="Q770" t="s">
        <v>74</v>
      </c>
      <c r="R770" t="s">
        <v>74</v>
      </c>
      <c r="S770" t="s">
        <v>74</v>
      </c>
      <c r="T770" t="s">
        <v>13708</v>
      </c>
      <c r="U770" t="s">
        <v>13709</v>
      </c>
      <c r="V770" t="s">
        <v>13710</v>
      </c>
      <c r="W770" t="s">
        <v>13711</v>
      </c>
      <c r="X770" t="s">
        <v>13712</v>
      </c>
      <c r="Y770" t="s">
        <v>13713</v>
      </c>
      <c r="Z770" t="s">
        <v>13714</v>
      </c>
      <c r="AA770" t="s">
        <v>13715</v>
      </c>
      <c r="AB770" t="s">
        <v>13716</v>
      </c>
      <c r="AC770" t="s">
        <v>13717</v>
      </c>
      <c r="AD770" t="s">
        <v>13718</v>
      </c>
      <c r="AE770" t="s">
        <v>13719</v>
      </c>
      <c r="AF770" t="s">
        <v>74</v>
      </c>
      <c r="AG770">
        <v>64</v>
      </c>
      <c r="AH770">
        <v>7</v>
      </c>
      <c r="AI770">
        <v>12</v>
      </c>
      <c r="AJ770">
        <v>1</v>
      </c>
      <c r="AK770">
        <v>14</v>
      </c>
      <c r="AL770" t="s">
        <v>464</v>
      </c>
      <c r="AM770" t="s">
        <v>310</v>
      </c>
      <c r="AN770" t="s">
        <v>465</v>
      </c>
      <c r="AO770" t="s">
        <v>3359</v>
      </c>
      <c r="AP770" t="s">
        <v>3360</v>
      </c>
      <c r="AQ770" t="s">
        <v>74</v>
      </c>
      <c r="AR770" t="s">
        <v>3361</v>
      </c>
      <c r="AS770" t="s">
        <v>3362</v>
      </c>
      <c r="AT770" t="s">
        <v>12931</v>
      </c>
      <c r="AU770">
        <v>2010</v>
      </c>
      <c r="AV770">
        <v>99</v>
      </c>
      <c r="AW770">
        <v>4</v>
      </c>
      <c r="AX770" t="s">
        <v>74</v>
      </c>
      <c r="AY770" t="s">
        <v>74</v>
      </c>
      <c r="AZ770" t="s">
        <v>74</v>
      </c>
      <c r="BA770" t="s">
        <v>74</v>
      </c>
      <c r="BB770">
        <v>909</v>
      </c>
      <c r="BC770">
        <v>926</v>
      </c>
      <c r="BD770" t="s">
        <v>74</v>
      </c>
      <c r="BE770" t="s">
        <v>13720</v>
      </c>
      <c r="BF770" t="str">
        <f>HYPERLINK("http://dx.doi.org/10.1007/s00531-009-0422-8","http://dx.doi.org/10.1007/s00531-009-0422-8")</f>
        <v>http://dx.doi.org/10.1007/s00531-009-0422-8</v>
      </c>
      <c r="BG770" t="s">
        <v>74</v>
      </c>
      <c r="BH770" t="s">
        <v>74</v>
      </c>
      <c r="BI770">
        <v>18</v>
      </c>
      <c r="BJ770" t="s">
        <v>1194</v>
      </c>
      <c r="BK770" t="s">
        <v>100</v>
      </c>
      <c r="BL770" t="s">
        <v>807</v>
      </c>
      <c r="BM770" t="s">
        <v>13721</v>
      </c>
      <c r="BN770" t="s">
        <v>74</v>
      </c>
      <c r="BO770" t="s">
        <v>74</v>
      </c>
      <c r="BP770" t="s">
        <v>74</v>
      </c>
      <c r="BQ770" t="s">
        <v>74</v>
      </c>
      <c r="BR770" t="s">
        <v>104</v>
      </c>
      <c r="BS770" t="s">
        <v>13722</v>
      </c>
      <c r="BT770" t="str">
        <f>HYPERLINK("https%3A%2F%2Fwww.webofscience.com%2Fwos%2Fwoscc%2Ffull-record%2FWOS:000277641600012","View Full Record in Web of Science")</f>
        <v>View Full Record in Web of Science</v>
      </c>
    </row>
    <row r="771" spans="1:72" x14ac:dyDescent="0.15">
      <c r="A771" t="s">
        <v>72</v>
      </c>
      <c r="B771" t="s">
        <v>13723</v>
      </c>
      <c r="C771" t="s">
        <v>74</v>
      </c>
      <c r="D771" t="s">
        <v>74</v>
      </c>
      <c r="E771" t="s">
        <v>74</v>
      </c>
      <c r="F771" t="s">
        <v>13724</v>
      </c>
      <c r="G771" t="s">
        <v>74</v>
      </c>
      <c r="H771" t="s">
        <v>74</v>
      </c>
      <c r="I771" t="s">
        <v>13725</v>
      </c>
      <c r="J771" t="s">
        <v>13726</v>
      </c>
      <c r="K771" t="s">
        <v>74</v>
      </c>
      <c r="L771" t="s">
        <v>74</v>
      </c>
      <c r="M771" t="s">
        <v>78</v>
      </c>
      <c r="N771" t="s">
        <v>79</v>
      </c>
      <c r="O771" t="s">
        <v>74</v>
      </c>
      <c r="P771" t="s">
        <v>74</v>
      </c>
      <c r="Q771" t="s">
        <v>74</v>
      </c>
      <c r="R771" t="s">
        <v>74</v>
      </c>
      <c r="S771" t="s">
        <v>74</v>
      </c>
      <c r="T771" t="s">
        <v>13727</v>
      </c>
      <c r="U771" t="s">
        <v>13728</v>
      </c>
      <c r="V771" t="s">
        <v>13729</v>
      </c>
      <c r="W771" t="s">
        <v>13730</v>
      </c>
      <c r="X771" t="s">
        <v>13731</v>
      </c>
      <c r="Y771" t="s">
        <v>13732</v>
      </c>
      <c r="Z771" t="s">
        <v>13733</v>
      </c>
      <c r="AA771" t="s">
        <v>13734</v>
      </c>
      <c r="AB771" t="s">
        <v>13735</v>
      </c>
      <c r="AC771" t="s">
        <v>12191</v>
      </c>
      <c r="AD771" t="s">
        <v>12192</v>
      </c>
      <c r="AE771" t="s">
        <v>13736</v>
      </c>
      <c r="AF771" t="s">
        <v>74</v>
      </c>
      <c r="AG771">
        <v>45</v>
      </c>
      <c r="AH771">
        <v>46</v>
      </c>
      <c r="AI771">
        <v>51</v>
      </c>
      <c r="AJ771">
        <v>0</v>
      </c>
      <c r="AK771">
        <v>13</v>
      </c>
      <c r="AL771" t="s">
        <v>799</v>
      </c>
      <c r="AM771" t="s">
        <v>800</v>
      </c>
      <c r="AN771" t="s">
        <v>801</v>
      </c>
      <c r="AO771" t="s">
        <v>13737</v>
      </c>
      <c r="AP771" t="s">
        <v>74</v>
      </c>
      <c r="AQ771" t="s">
        <v>74</v>
      </c>
      <c r="AR771" t="s">
        <v>13738</v>
      </c>
      <c r="AS771" t="s">
        <v>13739</v>
      </c>
      <c r="AT771" t="s">
        <v>12931</v>
      </c>
      <c r="AU771">
        <v>2010</v>
      </c>
      <c r="AV771">
        <v>171</v>
      </c>
      <c r="AW771">
        <v>5</v>
      </c>
      <c r="AX771" t="s">
        <v>74</v>
      </c>
      <c r="AY771" t="s">
        <v>74</v>
      </c>
      <c r="AZ771" t="s">
        <v>74</v>
      </c>
      <c r="BA771" t="s">
        <v>74</v>
      </c>
      <c r="BB771">
        <v>560</v>
      </c>
      <c r="BC771">
        <v>573</v>
      </c>
      <c r="BD771" t="s">
        <v>74</v>
      </c>
      <c r="BE771" t="s">
        <v>13740</v>
      </c>
      <c r="BF771" t="str">
        <f>HYPERLINK("http://dx.doi.org/10.1086/651948","http://dx.doi.org/10.1086/651948")</f>
        <v>http://dx.doi.org/10.1086/651948</v>
      </c>
      <c r="BG771" t="s">
        <v>74</v>
      </c>
      <c r="BH771" t="s">
        <v>74</v>
      </c>
      <c r="BI771">
        <v>14</v>
      </c>
      <c r="BJ771" t="s">
        <v>4002</v>
      </c>
      <c r="BK771" t="s">
        <v>100</v>
      </c>
      <c r="BL771" t="s">
        <v>4002</v>
      </c>
      <c r="BM771" t="s">
        <v>13741</v>
      </c>
      <c r="BN771" t="s">
        <v>74</v>
      </c>
      <c r="BO771" t="s">
        <v>631</v>
      </c>
      <c r="BP771" t="s">
        <v>74</v>
      </c>
      <c r="BQ771" t="s">
        <v>74</v>
      </c>
      <c r="BR771" t="s">
        <v>104</v>
      </c>
      <c r="BS771" t="s">
        <v>13742</v>
      </c>
      <c r="BT771" t="str">
        <f>HYPERLINK("https%3A%2F%2Fwww.webofscience.com%2Fwos%2Fwoscc%2Ffull-record%2FWOS:000277389500010","View Full Record in Web of Science")</f>
        <v>View Full Record in Web of Science</v>
      </c>
    </row>
    <row r="772" spans="1:72" x14ac:dyDescent="0.15">
      <c r="A772" t="s">
        <v>72</v>
      </c>
      <c r="B772" t="s">
        <v>13743</v>
      </c>
      <c r="C772" t="s">
        <v>74</v>
      </c>
      <c r="D772" t="s">
        <v>74</v>
      </c>
      <c r="E772" t="s">
        <v>74</v>
      </c>
      <c r="F772" t="s">
        <v>13744</v>
      </c>
      <c r="G772" t="s">
        <v>74</v>
      </c>
      <c r="H772" t="s">
        <v>74</v>
      </c>
      <c r="I772" t="s">
        <v>13745</v>
      </c>
      <c r="J772" t="s">
        <v>13746</v>
      </c>
      <c r="K772" t="s">
        <v>74</v>
      </c>
      <c r="L772" t="s">
        <v>74</v>
      </c>
      <c r="M772" t="s">
        <v>78</v>
      </c>
      <c r="N772" t="s">
        <v>79</v>
      </c>
      <c r="O772" t="s">
        <v>74</v>
      </c>
      <c r="P772" t="s">
        <v>74</v>
      </c>
      <c r="Q772" t="s">
        <v>74</v>
      </c>
      <c r="R772" t="s">
        <v>74</v>
      </c>
      <c r="S772" t="s">
        <v>74</v>
      </c>
      <c r="T772" t="s">
        <v>13747</v>
      </c>
      <c r="U772" t="s">
        <v>13748</v>
      </c>
      <c r="V772" t="s">
        <v>13749</v>
      </c>
      <c r="W772" t="s">
        <v>13750</v>
      </c>
      <c r="X772" t="s">
        <v>13751</v>
      </c>
      <c r="Y772" t="s">
        <v>13752</v>
      </c>
      <c r="Z772" t="s">
        <v>13753</v>
      </c>
      <c r="AA772" t="s">
        <v>13754</v>
      </c>
      <c r="AB772" t="s">
        <v>13755</v>
      </c>
      <c r="AC772" t="s">
        <v>13756</v>
      </c>
      <c r="AD772" t="s">
        <v>13757</v>
      </c>
      <c r="AE772" t="s">
        <v>13758</v>
      </c>
      <c r="AF772" t="s">
        <v>74</v>
      </c>
      <c r="AG772">
        <v>46</v>
      </c>
      <c r="AH772">
        <v>35</v>
      </c>
      <c r="AI772">
        <v>40</v>
      </c>
      <c r="AJ772">
        <v>1</v>
      </c>
      <c r="AK772">
        <v>41</v>
      </c>
      <c r="AL772" t="s">
        <v>464</v>
      </c>
      <c r="AM772" t="s">
        <v>310</v>
      </c>
      <c r="AN772" t="s">
        <v>971</v>
      </c>
      <c r="AO772" t="s">
        <v>13759</v>
      </c>
      <c r="AP772" t="s">
        <v>13760</v>
      </c>
      <c r="AQ772" t="s">
        <v>74</v>
      </c>
      <c r="AR772" t="s">
        <v>13761</v>
      </c>
      <c r="AS772" t="s">
        <v>13762</v>
      </c>
      <c r="AT772" t="s">
        <v>12931</v>
      </c>
      <c r="AU772">
        <v>2010</v>
      </c>
      <c r="AV772">
        <v>13</v>
      </c>
      <c r="AW772">
        <v>2</v>
      </c>
      <c r="AX772" t="s">
        <v>74</v>
      </c>
      <c r="AY772" t="s">
        <v>74</v>
      </c>
      <c r="AZ772" t="s">
        <v>74</v>
      </c>
      <c r="BA772" t="s">
        <v>74</v>
      </c>
      <c r="BB772">
        <v>67</v>
      </c>
      <c r="BC772">
        <v>77</v>
      </c>
      <c r="BD772" t="s">
        <v>74</v>
      </c>
      <c r="BE772" t="s">
        <v>13763</v>
      </c>
      <c r="BF772" t="str">
        <f>HYPERLINK("http://dx.doi.org/10.2436/20.1501.01.112","http://dx.doi.org/10.2436/20.1501.01.112")</f>
        <v>http://dx.doi.org/10.2436/20.1501.01.112</v>
      </c>
      <c r="BG772" t="s">
        <v>74</v>
      </c>
      <c r="BH772" t="s">
        <v>74</v>
      </c>
      <c r="BI772">
        <v>11</v>
      </c>
      <c r="BJ772" t="s">
        <v>608</v>
      </c>
      <c r="BK772" t="s">
        <v>100</v>
      </c>
      <c r="BL772" t="s">
        <v>608</v>
      </c>
      <c r="BM772" t="s">
        <v>13764</v>
      </c>
      <c r="BN772">
        <v>20890841</v>
      </c>
      <c r="BO772" t="s">
        <v>74</v>
      </c>
      <c r="BP772" t="s">
        <v>74</v>
      </c>
      <c r="BQ772" t="s">
        <v>74</v>
      </c>
      <c r="BR772" t="s">
        <v>104</v>
      </c>
      <c r="BS772" t="s">
        <v>13765</v>
      </c>
      <c r="BT772" t="str">
        <f>HYPERLINK("https%3A%2F%2Fwww.webofscience.com%2Fwos%2Fwoscc%2Ffull-record%2FWOS:000281706000003","View Full Record in Web of Science")</f>
        <v>View Full Record in Web of Science</v>
      </c>
    </row>
    <row r="773" spans="1:72" x14ac:dyDescent="0.15">
      <c r="A773" t="s">
        <v>72</v>
      </c>
      <c r="B773" t="s">
        <v>13766</v>
      </c>
      <c r="C773" t="s">
        <v>74</v>
      </c>
      <c r="D773" t="s">
        <v>74</v>
      </c>
      <c r="E773" t="s">
        <v>74</v>
      </c>
      <c r="F773" t="s">
        <v>13767</v>
      </c>
      <c r="G773" t="s">
        <v>74</v>
      </c>
      <c r="H773" t="s">
        <v>74</v>
      </c>
      <c r="I773" t="s">
        <v>13768</v>
      </c>
      <c r="J773" t="s">
        <v>13769</v>
      </c>
      <c r="K773" t="s">
        <v>74</v>
      </c>
      <c r="L773" t="s">
        <v>74</v>
      </c>
      <c r="M773" t="s">
        <v>78</v>
      </c>
      <c r="N773" t="s">
        <v>79</v>
      </c>
      <c r="O773" t="s">
        <v>74</v>
      </c>
      <c r="P773" t="s">
        <v>74</v>
      </c>
      <c r="Q773" t="s">
        <v>74</v>
      </c>
      <c r="R773" t="s">
        <v>74</v>
      </c>
      <c r="S773" t="s">
        <v>74</v>
      </c>
      <c r="T773" t="s">
        <v>74</v>
      </c>
      <c r="U773" t="s">
        <v>13770</v>
      </c>
      <c r="V773" t="s">
        <v>13771</v>
      </c>
      <c r="W773" t="s">
        <v>13772</v>
      </c>
      <c r="X773" t="s">
        <v>13773</v>
      </c>
      <c r="Y773" t="s">
        <v>13774</v>
      </c>
      <c r="Z773" t="s">
        <v>13775</v>
      </c>
      <c r="AA773" t="s">
        <v>13776</v>
      </c>
      <c r="AB773" t="s">
        <v>13777</v>
      </c>
      <c r="AC773" t="s">
        <v>13778</v>
      </c>
      <c r="AD773" t="s">
        <v>4335</v>
      </c>
      <c r="AE773" t="s">
        <v>13779</v>
      </c>
      <c r="AF773" t="s">
        <v>74</v>
      </c>
      <c r="AG773">
        <v>26</v>
      </c>
      <c r="AH773">
        <v>19</v>
      </c>
      <c r="AI773">
        <v>20</v>
      </c>
      <c r="AJ773">
        <v>0</v>
      </c>
      <c r="AK773">
        <v>4</v>
      </c>
      <c r="AL773" t="s">
        <v>3198</v>
      </c>
      <c r="AM773" t="s">
        <v>310</v>
      </c>
      <c r="AN773" t="s">
        <v>3199</v>
      </c>
      <c r="AO773" t="s">
        <v>13780</v>
      </c>
      <c r="AP773" t="s">
        <v>74</v>
      </c>
      <c r="AQ773" t="s">
        <v>74</v>
      </c>
      <c r="AR773" t="s">
        <v>13781</v>
      </c>
      <c r="AS773" t="s">
        <v>13782</v>
      </c>
      <c r="AT773" t="s">
        <v>12931</v>
      </c>
      <c r="AU773">
        <v>2010</v>
      </c>
      <c r="AV773">
        <v>46</v>
      </c>
      <c r="AW773">
        <v>3</v>
      </c>
      <c r="AX773" t="s">
        <v>74</v>
      </c>
      <c r="AY773" t="s">
        <v>74</v>
      </c>
      <c r="AZ773" t="s">
        <v>74</v>
      </c>
      <c r="BA773" t="s">
        <v>74</v>
      </c>
      <c r="BB773">
        <v>265</v>
      </c>
      <c r="BC773">
        <v>280</v>
      </c>
      <c r="BD773" t="s">
        <v>74</v>
      </c>
      <c r="BE773" t="s">
        <v>13783</v>
      </c>
      <c r="BF773" t="str">
        <f>HYPERLINK("http://dx.doi.org/10.1134/S0001433810030011","http://dx.doi.org/10.1134/S0001433810030011")</f>
        <v>http://dx.doi.org/10.1134/S0001433810030011</v>
      </c>
      <c r="BG773" t="s">
        <v>74</v>
      </c>
      <c r="BH773" t="s">
        <v>74</v>
      </c>
      <c r="BI773">
        <v>16</v>
      </c>
      <c r="BJ773" t="s">
        <v>2228</v>
      </c>
      <c r="BK773" t="s">
        <v>100</v>
      </c>
      <c r="BL773" t="s">
        <v>2228</v>
      </c>
      <c r="BM773" t="s">
        <v>13784</v>
      </c>
      <c r="BN773" t="s">
        <v>74</v>
      </c>
      <c r="BO773" t="s">
        <v>74</v>
      </c>
      <c r="BP773" t="s">
        <v>74</v>
      </c>
      <c r="BQ773" t="s">
        <v>74</v>
      </c>
      <c r="BR773" t="s">
        <v>104</v>
      </c>
      <c r="BS773" t="s">
        <v>13785</v>
      </c>
      <c r="BT773" t="str">
        <f>HYPERLINK("https%3A%2F%2Fwww.webofscience.com%2Fwos%2Fwoscc%2Ffull-record%2FWOS:000279130200001","View Full Record in Web of Science")</f>
        <v>View Full Record in Web of Science</v>
      </c>
    </row>
    <row r="774" spans="1:72" x14ac:dyDescent="0.15">
      <c r="A774" t="s">
        <v>72</v>
      </c>
      <c r="B774" t="s">
        <v>13786</v>
      </c>
      <c r="C774" t="s">
        <v>74</v>
      </c>
      <c r="D774" t="s">
        <v>74</v>
      </c>
      <c r="E774" t="s">
        <v>74</v>
      </c>
      <c r="F774" t="s">
        <v>13787</v>
      </c>
      <c r="G774" t="s">
        <v>74</v>
      </c>
      <c r="H774" t="s">
        <v>74</v>
      </c>
      <c r="I774" t="s">
        <v>13788</v>
      </c>
      <c r="J774" t="s">
        <v>6115</v>
      </c>
      <c r="K774" t="s">
        <v>74</v>
      </c>
      <c r="L774" t="s">
        <v>74</v>
      </c>
      <c r="M774" t="s">
        <v>78</v>
      </c>
      <c r="N774" t="s">
        <v>79</v>
      </c>
      <c r="O774" t="s">
        <v>74</v>
      </c>
      <c r="P774" t="s">
        <v>74</v>
      </c>
      <c r="Q774" t="s">
        <v>74</v>
      </c>
      <c r="R774" t="s">
        <v>74</v>
      </c>
      <c r="S774" t="s">
        <v>74</v>
      </c>
      <c r="T774" t="s">
        <v>13789</v>
      </c>
      <c r="U774" t="s">
        <v>13790</v>
      </c>
      <c r="V774" t="s">
        <v>13791</v>
      </c>
      <c r="W774" t="s">
        <v>13792</v>
      </c>
      <c r="X774" t="s">
        <v>74</v>
      </c>
      <c r="Y774" t="s">
        <v>13793</v>
      </c>
      <c r="Z774" t="s">
        <v>12595</v>
      </c>
      <c r="AA774" t="s">
        <v>13794</v>
      </c>
      <c r="AB774" t="s">
        <v>13795</v>
      </c>
      <c r="AC774" t="s">
        <v>13796</v>
      </c>
      <c r="AD774" t="s">
        <v>13797</v>
      </c>
      <c r="AE774" t="s">
        <v>13798</v>
      </c>
      <c r="AF774" t="s">
        <v>74</v>
      </c>
      <c r="AG774">
        <v>54</v>
      </c>
      <c r="AH774">
        <v>26</v>
      </c>
      <c r="AI774">
        <v>27</v>
      </c>
      <c r="AJ774">
        <v>0</v>
      </c>
      <c r="AK774">
        <v>25</v>
      </c>
      <c r="AL774" t="s">
        <v>464</v>
      </c>
      <c r="AM774" t="s">
        <v>310</v>
      </c>
      <c r="AN774" t="s">
        <v>971</v>
      </c>
      <c r="AO774" t="s">
        <v>6125</v>
      </c>
      <c r="AP774" t="s">
        <v>6126</v>
      </c>
      <c r="AQ774" t="s">
        <v>74</v>
      </c>
      <c r="AR774" t="s">
        <v>6127</v>
      </c>
      <c r="AS774" t="s">
        <v>6128</v>
      </c>
      <c r="AT774" t="s">
        <v>12931</v>
      </c>
      <c r="AU774">
        <v>2010</v>
      </c>
      <c r="AV774">
        <v>15</v>
      </c>
      <c r="AW774">
        <v>2</v>
      </c>
      <c r="AX774" t="s">
        <v>74</v>
      </c>
      <c r="AY774" t="s">
        <v>74</v>
      </c>
      <c r="AZ774" t="s">
        <v>74</v>
      </c>
      <c r="BA774" t="s">
        <v>74</v>
      </c>
      <c r="BB774">
        <v>259</v>
      </c>
      <c r="BC774">
        <v>278</v>
      </c>
      <c r="BD774" t="s">
        <v>74</v>
      </c>
      <c r="BE774" t="s">
        <v>13799</v>
      </c>
      <c r="BF774" t="str">
        <f>HYPERLINK("http://dx.doi.org/10.1007/s13253-009-0011-0","http://dx.doi.org/10.1007/s13253-009-0011-0")</f>
        <v>http://dx.doi.org/10.1007/s13253-009-0011-0</v>
      </c>
      <c r="BG774" t="s">
        <v>74</v>
      </c>
      <c r="BH774" t="s">
        <v>74</v>
      </c>
      <c r="BI774">
        <v>20</v>
      </c>
      <c r="BJ774" t="s">
        <v>6130</v>
      </c>
      <c r="BK774" t="s">
        <v>100</v>
      </c>
      <c r="BL774" t="s">
        <v>6131</v>
      </c>
      <c r="BM774" t="s">
        <v>13800</v>
      </c>
      <c r="BN774" t="s">
        <v>74</v>
      </c>
      <c r="BO774" t="s">
        <v>74</v>
      </c>
      <c r="BP774" t="s">
        <v>74</v>
      </c>
      <c r="BQ774" t="s">
        <v>74</v>
      </c>
      <c r="BR774" t="s">
        <v>104</v>
      </c>
      <c r="BS774" t="s">
        <v>13801</v>
      </c>
      <c r="BT774" t="str">
        <f>HYPERLINK("https%3A%2F%2Fwww.webofscience.com%2Fwos%2Fwoscc%2Ffull-record%2FWOS:000278684100008","View Full Record in Web of Science")</f>
        <v>View Full Record in Web of Science</v>
      </c>
    </row>
    <row r="775" spans="1:72" x14ac:dyDescent="0.15">
      <c r="A775" t="s">
        <v>72</v>
      </c>
      <c r="B775" t="s">
        <v>13802</v>
      </c>
      <c r="C775" t="s">
        <v>74</v>
      </c>
      <c r="D775" t="s">
        <v>74</v>
      </c>
      <c r="E775" t="s">
        <v>74</v>
      </c>
      <c r="F775" t="s">
        <v>13803</v>
      </c>
      <c r="G775" t="s">
        <v>74</v>
      </c>
      <c r="H775" t="s">
        <v>74</v>
      </c>
      <c r="I775" t="s">
        <v>13804</v>
      </c>
      <c r="J775" t="s">
        <v>13805</v>
      </c>
      <c r="K775" t="s">
        <v>74</v>
      </c>
      <c r="L775" t="s">
        <v>74</v>
      </c>
      <c r="M775" t="s">
        <v>78</v>
      </c>
      <c r="N775" t="s">
        <v>79</v>
      </c>
      <c r="O775" t="s">
        <v>74</v>
      </c>
      <c r="P775" t="s">
        <v>74</v>
      </c>
      <c r="Q775" t="s">
        <v>74</v>
      </c>
      <c r="R775" t="s">
        <v>74</v>
      </c>
      <c r="S775" t="s">
        <v>74</v>
      </c>
      <c r="T775" t="s">
        <v>74</v>
      </c>
      <c r="U775" t="s">
        <v>13806</v>
      </c>
      <c r="V775" t="s">
        <v>13807</v>
      </c>
      <c r="W775" t="s">
        <v>13808</v>
      </c>
      <c r="X775" t="s">
        <v>1837</v>
      </c>
      <c r="Y775" t="s">
        <v>13809</v>
      </c>
      <c r="Z775" t="s">
        <v>13810</v>
      </c>
      <c r="AA775" t="s">
        <v>74</v>
      </c>
      <c r="AB775" t="s">
        <v>13811</v>
      </c>
      <c r="AC775" t="s">
        <v>13812</v>
      </c>
      <c r="AD775" t="s">
        <v>1402</v>
      </c>
      <c r="AE775" t="s">
        <v>13813</v>
      </c>
      <c r="AF775" t="s">
        <v>74</v>
      </c>
      <c r="AG775">
        <v>28</v>
      </c>
      <c r="AH775">
        <v>30</v>
      </c>
      <c r="AI775">
        <v>33</v>
      </c>
      <c r="AJ775">
        <v>1</v>
      </c>
      <c r="AK775">
        <v>20</v>
      </c>
      <c r="AL775" t="s">
        <v>3432</v>
      </c>
      <c r="AM775" t="s">
        <v>3433</v>
      </c>
      <c r="AN775" t="s">
        <v>3434</v>
      </c>
      <c r="AO775" t="s">
        <v>13814</v>
      </c>
      <c r="AP775" t="s">
        <v>74</v>
      </c>
      <c r="AQ775" t="s">
        <v>74</v>
      </c>
      <c r="AR775" t="s">
        <v>13815</v>
      </c>
      <c r="AS775" t="s">
        <v>13816</v>
      </c>
      <c r="AT775" t="s">
        <v>12931</v>
      </c>
      <c r="AU775">
        <v>2010</v>
      </c>
      <c r="AV775">
        <v>49</v>
      </c>
      <c r="AW775">
        <v>6</v>
      </c>
      <c r="AX775" t="s">
        <v>74</v>
      </c>
      <c r="AY775" t="s">
        <v>74</v>
      </c>
      <c r="AZ775" t="s">
        <v>74</v>
      </c>
      <c r="BA775" t="s">
        <v>74</v>
      </c>
      <c r="BB775">
        <v>1306</v>
      </c>
      <c r="BC775">
        <v>1321</v>
      </c>
      <c r="BD775" t="s">
        <v>74</v>
      </c>
      <c r="BE775" t="s">
        <v>13817</v>
      </c>
      <c r="BF775" t="str">
        <f>HYPERLINK("http://dx.doi.org/10.1175/2010JAMC2245.1","http://dx.doi.org/10.1175/2010JAMC2245.1")</f>
        <v>http://dx.doi.org/10.1175/2010JAMC2245.1</v>
      </c>
      <c r="BG775" t="s">
        <v>74</v>
      </c>
      <c r="BH775" t="s">
        <v>74</v>
      </c>
      <c r="BI775">
        <v>16</v>
      </c>
      <c r="BJ775" t="s">
        <v>319</v>
      </c>
      <c r="BK775" t="s">
        <v>100</v>
      </c>
      <c r="BL775" t="s">
        <v>319</v>
      </c>
      <c r="BM775" t="s">
        <v>13818</v>
      </c>
      <c r="BN775" t="s">
        <v>74</v>
      </c>
      <c r="BO775" t="s">
        <v>1000</v>
      </c>
      <c r="BP775" t="s">
        <v>74</v>
      </c>
      <c r="BQ775" t="s">
        <v>74</v>
      </c>
      <c r="BR775" t="s">
        <v>104</v>
      </c>
      <c r="BS775" t="s">
        <v>13819</v>
      </c>
      <c r="BT775" t="str">
        <f>HYPERLINK("https%3A%2F%2Fwww.webofscience.com%2Fwos%2Fwoscc%2Ffull-record%2FWOS:000280604200015","View Full Record in Web of Science")</f>
        <v>View Full Record in Web of Science</v>
      </c>
    </row>
    <row r="776" spans="1:72" x14ac:dyDescent="0.15">
      <c r="A776" t="s">
        <v>72</v>
      </c>
      <c r="B776" t="s">
        <v>13820</v>
      </c>
      <c r="C776" t="s">
        <v>74</v>
      </c>
      <c r="D776" t="s">
        <v>74</v>
      </c>
      <c r="E776" t="s">
        <v>74</v>
      </c>
      <c r="F776" t="s">
        <v>13821</v>
      </c>
      <c r="G776" t="s">
        <v>74</v>
      </c>
      <c r="H776" t="s">
        <v>74</v>
      </c>
      <c r="I776" t="s">
        <v>13822</v>
      </c>
      <c r="J776" t="s">
        <v>13823</v>
      </c>
      <c r="K776" t="s">
        <v>74</v>
      </c>
      <c r="L776" t="s">
        <v>74</v>
      </c>
      <c r="M776" t="s">
        <v>78</v>
      </c>
      <c r="N776" t="s">
        <v>79</v>
      </c>
      <c r="O776" t="s">
        <v>74</v>
      </c>
      <c r="P776" t="s">
        <v>74</v>
      </c>
      <c r="Q776" t="s">
        <v>74</v>
      </c>
      <c r="R776" t="s">
        <v>74</v>
      </c>
      <c r="S776" t="s">
        <v>74</v>
      </c>
      <c r="T776" t="s">
        <v>74</v>
      </c>
      <c r="U776" t="s">
        <v>13824</v>
      </c>
      <c r="V776" t="s">
        <v>13825</v>
      </c>
      <c r="W776" t="s">
        <v>13826</v>
      </c>
      <c r="X776" t="s">
        <v>170</v>
      </c>
      <c r="Y776" t="s">
        <v>13827</v>
      </c>
      <c r="Z776" t="s">
        <v>13828</v>
      </c>
      <c r="AA776" t="s">
        <v>13829</v>
      </c>
      <c r="AB776" t="s">
        <v>74</v>
      </c>
      <c r="AC776" t="s">
        <v>74</v>
      </c>
      <c r="AD776" t="s">
        <v>74</v>
      </c>
      <c r="AE776" t="s">
        <v>74</v>
      </c>
      <c r="AF776" t="s">
        <v>74</v>
      </c>
      <c r="AG776">
        <v>18</v>
      </c>
      <c r="AH776">
        <v>6</v>
      </c>
      <c r="AI776">
        <v>8</v>
      </c>
      <c r="AJ776">
        <v>0</v>
      </c>
      <c r="AK776">
        <v>7</v>
      </c>
      <c r="AL776" t="s">
        <v>3432</v>
      </c>
      <c r="AM776" t="s">
        <v>3433</v>
      </c>
      <c r="AN776" t="s">
        <v>3434</v>
      </c>
      <c r="AO776" t="s">
        <v>13830</v>
      </c>
      <c r="AP776" t="s">
        <v>74</v>
      </c>
      <c r="AQ776" t="s">
        <v>74</v>
      </c>
      <c r="AR776" t="s">
        <v>13831</v>
      </c>
      <c r="AS776" t="s">
        <v>13832</v>
      </c>
      <c r="AT776" t="s">
        <v>12931</v>
      </c>
      <c r="AU776">
        <v>2010</v>
      </c>
      <c r="AV776">
        <v>27</v>
      </c>
      <c r="AW776">
        <v>6</v>
      </c>
      <c r="AX776" t="s">
        <v>74</v>
      </c>
      <c r="AY776" t="s">
        <v>74</v>
      </c>
      <c r="AZ776" t="s">
        <v>74</v>
      </c>
      <c r="BA776" t="s">
        <v>74</v>
      </c>
      <c r="BB776">
        <v>995</v>
      </c>
      <c r="BC776">
        <v>1004</v>
      </c>
      <c r="BD776" t="s">
        <v>74</v>
      </c>
      <c r="BE776" t="s">
        <v>13833</v>
      </c>
      <c r="BF776" t="str">
        <f>HYPERLINK("http://dx.doi.org/10.1175/2010JTECHA1417.1","http://dx.doi.org/10.1175/2010JTECHA1417.1")</f>
        <v>http://dx.doi.org/10.1175/2010JTECHA1417.1</v>
      </c>
      <c r="BG776" t="s">
        <v>74</v>
      </c>
      <c r="BH776" t="s">
        <v>74</v>
      </c>
      <c r="BI776">
        <v>10</v>
      </c>
      <c r="BJ776" t="s">
        <v>13834</v>
      </c>
      <c r="BK776" t="s">
        <v>100</v>
      </c>
      <c r="BL776" t="s">
        <v>13835</v>
      </c>
      <c r="BM776" t="s">
        <v>13836</v>
      </c>
      <c r="BN776" t="s">
        <v>74</v>
      </c>
      <c r="BO776" t="s">
        <v>1000</v>
      </c>
      <c r="BP776" t="s">
        <v>74</v>
      </c>
      <c r="BQ776" t="s">
        <v>74</v>
      </c>
      <c r="BR776" t="s">
        <v>104</v>
      </c>
      <c r="BS776" t="s">
        <v>13837</v>
      </c>
      <c r="BT776" t="str">
        <f>HYPERLINK("https%3A%2F%2Fwww.webofscience.com%2Fwos%2Fwoscc%2Ffull-record%2FWOS:000279103600004","View Full Record in Web of Science")</f>
        <v>View Full Record in Web of Science</v>
      </c>
    </row>
    <row r="777" spans="1:72" x14ac:dyDescent="0.15">
      <c r="A777" t="s">
        <v>72</v>
      </c>
      <c r="B777" t="s">
        <v>13838</v>
      </c>
      <c r="C777" t="s">
        <v>74</v>
      </c>
      <c r="D777" t="s">
        <v>74</v>
      </c>
      <c r="E777" t="s">
        <v>74</v>
      </c>
      <c r="F777" t="s">
        <v>13839</v>
      </c>
      <c r="G777" t="s">
        <v>74</v>
      </c>
      <c r="H777" t="s">
        <v>74</v>
      </c>
      <c r="I777" t="s">
        <v>13840</v>
      </c>
      <c r="J777" t="s">
        <v>6137</v>
      </c>
      <c r="K777" t="s">
        <v>74</v>
      </c>
      <c r="L777" t="s">
        <v>74</v>
      </c>
      <c r="M777" t="s">
        <v>78</v>
      </c>
      <c r="N777" t="s">
        <v>79</v>
      </c>
      <c r="O777" t="s">
        <v>74</v>
      </c>
      <c r="P777" t="s">
        <v>74</v>
      </c>
      <c r="Q777" t="s">
        <v>74</v>
      </c>
      <c r="R777" t="s">
        <v>74</v>
      </c>
      <c r="S777" t="s">
        <v>74</v>
      </c>
      <c r="T777" t="s">
        <v>13841</v>
      </c>
      <c r="U777" t="s">
        <v>13842</v>
      </c>
      <c r="V777" t="s">
        <v>13843</v>
      </c>
      <c r="W777" t="s">
        <v>13844</v>
      </c>
      <c r="X777" t="s">
        <v>13845</v>
      </c>
      <c r="Y777" t="s">
        <v>13846</v>
      </c>
      <c r="Z777" t="s">
        <v>13847</v>
      </c>
      <c r="AA777" t="s">
        <v>13848</v>
      </c>
      <c r="AB777" t="s">
        <v>13849</v>
      </c>
      <c r="AC777" t="s">
        <v>13850</v>
      </c>
      <c r="AD777" t="s">
        <v>13850</v>
      </c>
      <c r="AE777" t="s">
        <v>13851</v>
      </c>
      <c r="AF777" t="s">
        <v>74</v>
      </c>
      <c r="AG777">
        <v>23</v>
      </c>
      <c r="AH777">
        <v>27</v>
      </c>
      <c r="AI777">
        <v>28</v>
      </c>
      <c r="AJ777">
        <v>0</v>
      </c>
      <c r="AK777">
        <v>5</v>
      </c>
      <c r="AL777" t="s">
        <v>264</v>
      </c>
      <c r="AM777" t="s">
        <v>265</v>
      </c>
      <c r="AN777" t="s">
        <v>266</v>
      </c>
      <c r="AO777" t="s">
        <v>6144</v>
      </c>
      <c r="AP777" t="s">
        <v>74</v>
      </c>
      <c r="AQ777" t="s">
        <v>74</v>
      </c>
      <c r="AR777" t="s">
        <v>6146</v>
      </c>
      <c r="AS777" t="s">
        <v>6147</v>
      </c>
      <c r="AT777" t="s">
        <v>12931</v>
      </c>
      <c r="AU777">
        <v>2010</v>
      </c>
      <c r="AV777">
        <v>72</v>
      </c>
      <c r="AW777" t="s">
        <v>13852</v>
      </c>
      <c r="AX777" t="s">
        <v>74</v>
      </c>
      <c r="AY777" t="s">
        <v>74</v>
      </c>
      <c r="AZ777" t="s">
        <v>74</v>
      </c>
      <c r="BA777" t="s">
        <v>74</v>
      </c>
      <c r="BB777">
        <v>718</v>
      </c>
      <c r="BC777">
        <v>725</v>
      </c>
      <c r="BD777" t="s">
        <v>74</v>
      </c>
      <c r="BE777" t="s">
        <v>13853</v>
      </c>
      <c r="BF777" t="str">
        <f>HYPERLINK("http://dx.doi.org/10.1016/j.jastp.2010.03.014","http://dx.doi.org/10.1016/j.jastp.2010.03.014")</f>
        <v>http://dx.doi.org/10.1016/j.jastp.2010.03.014</v>
      </c>
      <c r="BG777" t="s">
        <v>74</v>
      </c>
      <c r="BH777" t="s">
        <v>74</v>
      </c>
      <c r="BI777">
        <v>8</v>
      </c>
      <c r="BJ777" t="s">
        <v>2631</v>
      </c>
      <c r="BK777" t="s">
        <v>100</v>
      </c>
      <c r="BL777" t="s">
        <v>2631</v>
      </c>
      <c r="BM777" t="s">
        <v>13854</v>
      </c>
      <c r="BN777" t="s">
        <v>74</v>
      </c>
      <c r="BO777" t="s">
        <v>74</v>
      </c>
      <c r="BP777" t="s">
        <v>74</v>
      </c>
      <c r="BQ777" t="s">
        <v>74</v>
      </c>
      <c r="BR777" t="s">
        <v>104</v>
      </c>
      <c r="BS777" t="s">
        <v>13855</v>
      </c>
      <c r="BT777" t="str">
        <f>HYPERLINK("https%3A%2F%2Fwww.webofscience.com%2Fwos%2Fwoscc%2Ffull-record%2FWOS:000278705400008","View Full Record in Web of Science")</f>
        <v>View Full Record in Web of Science</v>
      </c>
    </row>
    <row r="778" spans="1:72" x14ac:dyDescent="0.15">
      <c r="A778" t="s">
        <v>72</v>
      </c>
      <c r="B778" t="s">
        <v>9994</v>
      </c>
      <c r="C778" t="s">
        <v>74</v>
      </c>
      <c r="D778" t="s">
        <v>74</v>
      </c>
      <c r="E778" t="s">
        <v>74</v>
      </c>
      <c r="F778" t="s">
        <v>9995</v>
      </c>
      <c r="G778" t="s">
        <v>74</v>
      </c>
      <c r="H778" t="s">
        <v>74</v>
      </c>
      <c r="I778" t="s">
        <v>13856</v>
      </c>
      <c r="J778" t="s">
        <v>6137</v>
      </c>
      <c r="K778" t="s">
        <v>74</v>
      </c>
      <c r="L778" t="s">
        <v>74</v>
      </c>
      <c r="M778" t="s">
        <v>78</v>
      </c>
      <c r="N778" t="s">
        <v>79</v>
      </c>
      <c r="O778" t="s">
        <v>74</v>
      </c>
      <c r="P778" t="s">
        <v>74</v>
      </c>
      <c r="Q778" t="s">
        <v>74</v>
      </c>
      <c r="R778" t="s">
        <v>74</v>
      </c>
      <c r="S778" t="s">
        <v>74</v>
      </c>
      <c r="T778" t="s">
        <v>13857</v>
      </c>
      <c r="U778" t="s">
        <v>13858</v>
      </c>
      <c r="V778" t="s">
        <v>13859</v>
      </c>
      <c r="W778" t="s">
        <v>13860</v>
      </c>
      <c r="X778" t="s">
        <v>10000</v>
      </c>
      <c r="Y778" t="s">
        <v>13861</v>
      </c>
      <c r="Z778" t="s">
        <v>10002</v>
      </c>
      <c r="AA778" t="s">
        <v>10003</v>
      </c>
      <c r="AB778" t="s">
        <v>13862</v>
      </c>
      <c r="AC778" t="s">
        <v>13863</v>
      </c>
      <c r="AD778" t="s">
        <v>11799</v>
      </c>
      <c r="AE778" t="s">
        <v>13864</v>
      </c>
      <c r="AF778" t="s">
        <v>74</v>
      </c>
      <c r="AG778">
        <v>37</v>
      </c>
      <c r="AH778">
        <v>12</v>
      </c>
      <c r="AI778">
        <v>13</v>
      </c>
      <c r="AJ778">
        <v>0</v>
      </c>
      <c r="AK778">
        <v>5</v>
      </c>
      <c r="AL778" t="s">
        <v>264</v>
      </c>
      <c r="AM778" t="s">
        <v>265</v>
      </c>
      <c r="AN778" t="s">
        <v>266</v>
      </c>
      <c r="AO778" t="s">
        <v>6144</v>
      </c>
      <c r="AP778" t="s">
        <v>74</v>
      </c>
      <c r="AQ778" t="s">
        <v>74</v>
      </c>
      <c r="AR778" t="s">
        <v>6146</v>
      </c>
      <c r="AS778" t="s">
        <v>6147</v>
      </c>
      <c r="AT778" t="s">
        <v>12931</v>
      </c>
      <c r="AU778">
        <v>2010</v>
      </c>
      <c r="AV778">
        <v>72</v>
      </c>
      <c r="AW778" t="s">
        <v>13852</v>
      </c>
      <c r="AX778" t="s">
        <v>74</v>
      </c>
      <c r="AY778" t="s">
        <v>74</v>
      </c>
      <c r="AZ778" t="s">
        <v>74</v>
      </c>
      <c r="BA778" t="s">
        <v>74</v>
      </c>
      <c r="BB778">
        <v>794</v>
      </c>
      <c r="BC778">
        <v>800</v>
      </c>
      <c r="BD778" t="s">
        <v>74</v>
      </c>
      <c r="BE778" t="s">
        <v>13865</v>
      </c>
      <c r="BF778" t="str">
        <f>HYPERLINK("http://dx.doi.org/10.1016/j.jastp.2010.03.026","http://dx.doi.org/10.1016/j.jastp.2010.03.026")</f>
        <v>http://dx.doi.org/10.1016/j.jastp.2010.03.026</v>
      </c>
      <c r="BG778" t="s">
        <v>74</v>
      </c>
      <c r="BH778" t="s">
        <v>74</v>
      </c>
      <c r="BI778">
        <v>7</v>
      </c>
      <c r="BJ778" t="s">
        <v>2631</v>
      </c>
      <c r="BK778" t="s">
        <v>100</v>
      </c>
      <c r="BL778" t="s">
        <v>2631</v>
      </c>
      <c r="BM778" t="s">
        <v>13854</v>
      </c>
      <c r="BN778" t="s">
        <v>74</v>
      </c>
      <c r="BO778" t="s">
        <v>74</v>
      </c>
      <c r="BP778" t="s">
        <v>74</v>
      </c>
      <c r="BQ778" t="s">
        <v>74</v>
      </c>
      <c r="BR778" t="s">
        <v>104</v>
      </c>
      <c r="BS778" t="s">
        <v>13866</v>
      </c>
      <c r="BT778" t="str">
        <f>HYPERLINK("https%3A%2F%2Fwww.webofscience.com%2Fwos%2Fwoscc%2Ffull-record%2FWOS:000278705400017","View Full Record in Web of Science")</f>
        <v>View Full Record in Web of Science</v>
      </c>
    </row>
    <row r="779" spans="1:72" x14ac:dyDescent="0.15">
      <c r="A779" t="s">
        <v>72</v>
      </c>
      <c r="B779" t="s">
        <v>13867</v>
      </c>
      <c r="C779" t="s">
        <v>74</v>
      </c>
      <c r="D779" t="s">
        <v>74</v>
      </c>
      <c r="E779" t="s">
        <v>74</v>
      </c>
      <c r="F779" t="s">
        <v>13868</v>
      </c>
      <c r="G779" t="s">
        <v>74</v>
      </c>
      <c r="H779" t="s">
        <v>74</v>
      </c>
      <c r="I779" t="s">
        <v>13869</v>
      </c>
      <c r="J779" t="s">
        <v>13870</v>
      </c>
      <c r="K779" t="s">
        <v>74</v>
      </c>
      <c r="L779" t="s">
        <v>74</v>
      </c>
      <c r="M779" t="s">
        <v>78</v>
      </c>
      <c r="N779" t="s">
        <v>79</v>
      </c>
      <c r="O779" t="s">
        <v>74</v>
      </c>
      <c r="P779" t="s">
        <v>74</v>
      </c>
      <c r="Q779" t="s">
        <v>74</v>
      </c>
      <c r="R779" t="s">
        <v>74</v>
      </c>
      <c r="S779" t="s">
        <v>74</v>
      </c>
      <c r="T779" t="s">
        <v>13871</v>
      </c>
      <c r="U779" t="s">
        <v>13872</v>
      </c>
      <c r="V779" t="s">
        <v>13873</v>
      </c>
      <c r="W779" t="s">
        <v>13874</v>
      </c>
      <c r="X779" t="s">
        <v>13875</v>
      </c>
      <c r="Y779" t="s">
        <v>13876</v>
      </c>
      <c r="Z779" t="s">
        <v>13877</v>
      </c>
      <c r="AA779" t="s">
        <v>13878</v>
      </c>
      <c r="AB779" t="s">
        <v>13879</v>
      </c>
      <c r="AC779" t="s">
        <v>13880</v>
      </c>
      <c r="AD779" t="s">
        <v>13880</v>
      </c>
      <c r="AE779" t="s">
        <v>13881</v>
      </c>
      <c r="AF779" t="s">
        <v>74</v>
      </c>
      <c r="AG779">
        <v>53</v>
      </c>
      <c r="AH779">
        <v>25</v>
      </c>
      <c r="AI779">
        <v>30</v>
      </c>
      <c r="AJ779">
        <v>1</v>
      </c>
      <c r="AK779">
        <v>26</v>
      </c>
      <c r="AL779" t="s">
        <v>1646</v>
      </c>
      <c r="AM779" t="s">
        <v>1647</v>
      </c>
      <c r="AN779" t="s">
        <v>1648</v>
      </c>
      <c r="AO779" t="s">
        <v>13882</v>
      </c>
      <c r="AP779" t="s">
        <v>13883</v>
      </c>
      <c r="AQ779" t="s">
        <v>74</v>
      </c>
      <c r="AR779" t="s">
        <v>13884</v>
      </c>
      <c r="AS779" t="s">
        <v>13885</v>
      </c>
      <c r="AT779" t="s">
        <v>12931</v>
      </c>
      <c r="AU779">
        <v>2010</v>
      </c>
      <c r="AV779">
        <v>119</v>
      </c>
      <c r="AW779">
        <v>3</v>
      </c>
      <c r="AX779" t="s">
        <v>74</v>
      </c>
      <c r="AY779" t="s">
        <v>74</v>
      </c>
      <c r="AZ779" t="s">
        <v>74</v>
      </c>
      <c r="BA779" t="s">
        <v>74</v>
      </c>
      <c r="BB779">
        <v>285</v>
      </c>
      <c r="BC779">
        <v>295</v>
      </c>
      <c r="BD779" t="s">
        <v>74</v>
      </c>
      <c r="BE779" t="s">
        <v>13886</v>
      </c>
      <c r="BF779" t="str">
        <f>HYPERLINK("http://dx.doi.org/10.1007/s12040-010-0022-9","http://dx.doi.org/10.1007/s12040-010-0022-9")</f>
        <v>http://dx.doi.org/10.1007/s12040-010-0022-9</v>
      </c>
      <c r="BG779" t="s">
        <v>74</v>
      </c>
      <c r="BH779" t="s">
        <v>74</v>
      </c>
      <c r="BI779">
        <v>11</v>
      </c>
      <c r="BJ779" t="s">
        <v>13887</v>
      </c>
      <c r="BK779" t="s">
        <v>100</v>
      </c>
      <c r="BL779" t="s">
        <v>13888</v>
      </c>
      <c r="BM779" t="s">
        <v>13889</v>
      </c>
      <c r="BN779" t="s">
        <v>74</v>
      </c>
      <c r="BO779" t="s">
        <v>394</v>
      </c>
      <c r="BP779" t="s">
        <v>74</v>
      </c>
      <c r="BQ779" t="s">
        <v>74</v>
      </c>
      <c r="BR779" t="s">
        <v>104</v>
      </c>
      <c r="BS779" t="s">
        <v>13890</v>
      </c>
      <c r="BT779" t="str">
        <f>HYPERLINK("https%3A%2F%2Fwww.webofscience.com%2Fwos%2Fwoscc%2Ffull-record%2FWOS:000281163400005","View Full Record in Web of Science")</f>
        <v>View Full Record in Web of Science</v>
      </c>
    </row>
    <row r="780" spans="1:72" x14ac:dyDescent="0.15">
      <c r="A780" t="s">
        <v>72</v>
      </c>
      <c r="B780" t="s">
        <v>13891</v>
      </c>
      <c r="C780" t="s">
        <v>74</v>
      </c>
      <c r="D780" t="s">
        <v>74</v>
      </c>
      <c r="E780" t="s">
        <v>74</v>
      </c>
      <c r="F780" t="s">
        <v>13892</v>
      </c>
      <c r="G780" t="s">
        <v>74</v>
      </c>
      <c r="H780" t="s">
        <v>74</v>
      </c>
      <c r="I780" t="s">
        <v>13893</v>
      </c>
      <c r="J780" t="s">
        <v>13894</v>
      </c>
      <c r="K780" t="s">
        <v>74</v>
      </c>
      <c r="L780" t="s">
        <v>74</v>
      </c>
      <c r="M780" t="s">
        <v>78</v>
      </c>
      <c r="N780" t="s">
        <v>79</v>
      </c>
      <c r="O780" t="s">
        <v>74</v>
      </c>
      <c r="P780" t="s">
        <v>74</v>
      </c>
      <c r="Q780" t="s">
        <v>74</v>
      </c>
      <c r="R780" t="s">
        <v>74</v>
      </c>
      <c r="S780" t="s">
        <v>74</v>
      </c>
      <c r="T780" t="s">
        <v>13895</v>
      </c>
      <c r="U780" t="s">
        <v>13896</v>
      </c>
      <c r="V780" t="s">
        <v>13897</v>
      </c>
      <c r="W780" t="s">
        <v>13898</v>
      </c>
      <c r="X780" t="s">
        <v>13899</v>
      </c>
      <c r="Y780" t="s">
        <v>13900</v>
      </c>
      <c r="Z780" t="s">
        <v>13901</v>
      </c>
      <c r="AA780" t="s">
        <v>13902</v>
      </c>
      <c r="AB780" t="s">
        <v>13903</v>
      </c>
      <c r="AC780" t="s">
        <v>74</v>
      </c>
      <c r="AD780" t="s">
        <v>74</v>
      </c>
      <c r="AE780" t="s">
        <v>74</v>
      </c>
      <c r="AF780" t="s">
        <v>74</v>
      </c>
      <c r="AG780">
        <v>66</v>
      </c>
      <c r="AH780">
        <v>5</v>
      </c>
      <c r="AI780">
        <v>5</v>
      </c>
      <c r="AJ780">
        <v>1</v>
      </c>
      <c r="AK780">
        <v>5</v>
      </c>
      <c r="AL780" t="s">
        <v>5908</v>
      </c>
      <c r="AM780" t="s">
        <v>5909</v>
      </c>
      <c r="AN780" t="s">
        <v>5910</v>
      </c>
      <c r="AO780" t="s">
        <v>13904</v>
      </c>
      <c r="AP780" t="s">
        <v>13905</v>
      </c>
      <c r="AQ780" t="s">
        <v>74</v>
      </c>
      <c r="AR780" t="s">
        <v>13906</v>
      </c>
      <c r="AS780" t="s">
        <v>13907</v>
      </c>
      <c r="AT780" t="s">
        <v>12931</v>
      </c>
      <c r="AU780">
        <v>2010</v>
      </c>
      <c r="AV780">
        <v>19</v>
      </c>
      <c r="AW780">
        <v>2</v>
      </c>
      <c r="AX780" t="s">
        <v>74</v>
      </c>
      <c r="AY780" t="s">
        <v>74</v>
      </c>
      <c r="AZ780" t="s">
        <v>74</v>
      </c>
      <c r="BA780" t="s">
        <v>74</v>
      </c>
      <c r="BB780">
        <v>191</v>
      </c>
      <c r="BC780">
        <v>214</v>
      </c>
      <c r="BD780" t="s">
        <v>74</v>
      </c>
      <c r="BE780" t="s">
        <v>13908</v>
      </c>
      <c r="BF780" t="str">
        <f>HYPERLINK("http://dx.doi.org/10.1177/1070496509355777","http://dx.doi.org/10.1177/1070496509355777")</f>
        <v>http://dx.doi.org/10.1177/1070496509355777</v>
      </c>
      <c r="BG780" t="s">
        <v>74</v>
      </c>
      <c r="BH780" t="s">
        <v>74</v>
      </c>
      <c r="BI780">
        <v>24</v>
      </c>
      <c r="BJ780" t="s">
        <v>13909</v>
      </c>
      <c r="BK780" t="s">
        <v>1966</v>
      </c>
      <c r="BL780" t="s">
        <v>13910</v>
      </c>
      <c r="BM780" t="s">
        <v>13911</v>
      </c>
      <c r="BN780" t="s">
        <v>74</v>
      </c>
      <c r="BO780" t="s">
        <v>74</v>
      </c>
      <c r="BP780" t="s">
        <v>74</v>
      </c>
      <c r="BQ780" t="s">
        <v>74</v>
      </c>
      <c r="BR780" t="s">
        <v>104</v>
      </c>
      <c r="BS780" t="s">
        <v>13912</v>
      </c>
      <c r="BT780" t="str">
        <f>HYPERLINK("https%3A%2F%2Fwww.webofscience.com%2Fwos%2Fwoscc%2Ffull-record%2FWOS:000208253200004","View Full Record in Web of Science")</f>
        <v>View Full Record in Web of Science</v>
      </c>
    </row>
    <row r="781" spans="1:72" x14ac:dyDescent="0.15">
      <c r="A781" t="s">
        <v>72</v>
      </c>
      <c r="B781" t="s">
        <v>13913</v>
      </c>
      <c r="C781" t="s">
        <v>74</v>
      </c>
      <c r="D781" t="s">
        <v>74</v>
      </c>
      <c r="E781" t="s">
        <v>74</v>
      </c>
      <c r="F781" t="s">
        <v>13914</v>
      </c>
      <c r="G781" t="s">
        <v>74</v>
      </c>
      <c r="H781" t="s">
        <v>74</v>
      </c>
      <c r="I781" t="s">
        <v>13915</v>
      </c>
      <c r="J781" t="s">
        <v>762</v>
      </c>
      <c r="K781" t="s">
        <v>74</v>
      </c>
      <c r="L781" t="s">
        <v>74</v>
      </c>
      <c r="M781" t="s">
        <v>78</v>
      </c>
      <c r="N781" t="s">
        <v>79</v>
      </c>
      <c r="O781" t="s">
        <v>74</v>
      </c>
      <c r="P781" t="s">
        <v>74</v>
      </c>
      <c r="Q781" t="s">
        <v>74</v>
      </c>
      <c r="R781" t="s">
        <v>74</v>
      </c>
      <c r="S781" t="s">
        <v>74</v>
      </c>
      <c r="T781" t="s">
        <v>13916</v>
      </c>
      <c r="U781" t="s">
        <v>13917</v>
      </c>
      <c r="V781" t="s">
        <v>13918</v>
      </c>
      <c r="W781" t="s">
        <v>13919</v>
      </c>
      <c r="X781" t="s">
        <v>6327</v>
      </c>
      <c r="Y781" t="s">
        <v>13920</v>
      </c>
      <c r="Z781" t="s">
        <v>13921</v>
      </c>
      <c r="AA781" t="s">
        <v>6328</v>
      </c>
      <c r="AB781" t="s">
        <v>13922</v>
      </c>
      <c r="AC781" t="s">
        <v>13923</v>
      </c>
      <c r="AD781" t="s">
        <v>13924</v>
      </c>
      <c r="AE781" t="s">
        <v>13925</v>
      </c>
      <c r="AF781" t="s">
        <v>74</v>
      </c>
      <c r="AG781">
        <v>75</v>
      </c>
      <c r="AH781">
        <v>42</v>
      </c>
      <c r="AI781">
        <v>50</v>
      </c>
      <c r="AJ781">
        <v>0</v>
      </c>
      <c r="AK781">
        <v>40</v>
      </c>
      <c r="AL781" t="s">
        <v>775</v>
      </c>
      <c r="AM781" t="s">
        <v>412</v>
      </c>
      <c r="AN781" t="s">
        <v>776</v>
      </c>
      <c r="AO781" t="s">
        <v>777</v>
      </c>
      <c r="AP781" t="s">
        <v>778</v>
      </c>
      <c r="AQ781" t="s">
        <v>74</v>
      </c>
      <c r="AR781" t="s">
        <v>779</v>
      </c>
      <c r="AS781" t="s">
        <v>780</v>
      </c>
      <c r="AT781" t="s">
        <v>13192</v>
      </c>
      <c r="AU781">
        <v>2010</v>
      </c>
      <c r="AV781">
        <v>213</v>
      </c>
      <c r="AW781">
        <v>11</v>
      </c>
      <c r="AX781" t="s">
        <v>74</v>
      </c>
      <c r="AY781" t="s">
        <v>74</v>
      </c>
      <c r="AZ781" t="s">
        <v>74</v>
      </c>
      <c r="BA781" t="s">
        <v>74</v>
      </c>
      <c r="BB781">
        <v>1803</v>
      </c>
      <c r="BC781">
        <v>1812</v>
      </c>
      <c r="BD781" t="s">
        <v>74</v>
      </c>
      <c r="BE781" t="s">
        <v>13926</v>
      </c>
      <c r="BF781" t="str">
        <f>HYPERLINK("http://dx.doi.org/10.1242/jeb.032268","http://dx.doi.org/10.1242/jeb.032268")</f>
        <v>http://dx.doi.org/10.1242/jeb.032268</v>
      </c>
      <c r="BG781" t="s">
        <v>74</v>
      </c>
      <c r="BH781" t="s">
        <v>74</v>
      </c>
      <c r="BI781">
        <v>10</v>
      </c>
      <c r="BJ781" t="s">
        <v>346</v>
      </c>
      <c r="BK781" t="s">
        <v>100</v>
      </c>
      <c r="BL781" t="s">
        <v>347</v>
      </c>
      <c r="BM781" t="s">
        <v>13927</v>
      </c>
      <c r="BN781">
        <v>20472766</v>
      </c>
      <c r="BO781" t="s">
        <v>394</v>
      </c>
      <c r="BP781" t="s">
        <v>74</v>
      </c>
      <c r="BQ781" t="s">
        <v>74</v>
      </c>
      <c r="BR781" t="s">
        <v>104</v>
      </c>
      <c r="BS781" t="s">
        <v>13928</v>
      </c>
      <c r="BT781" t="str">
        <f>HYPERLINK("https%3A%2F%2Fwww.webofscience.com%2Fwos%2Fwoscc%2Ffull-record%2FWOS:000277701500011","View Full Record in Web of Science")</f>
        <v>View Full Record in Web of Science</v>
      </c>
    </row>
    <row r="782" spans="1:72" x14ac:dyDescent="0.15">
      <c r="A782" t="s">
        <v>72</v>
      </c>
      <c r="B782" t="s">
        <v>6725</v>
      </c>
      <c r="C782" t="s">
        <v>74</v>
      </c>
      <c r="D782" t="s">
        <v>74</v>
      </c>
      <c r="E782" t="s">
        <v>74</v>
      </c>
      <c r="F782" t="s">
        <v>13929</v>
      </c>
      <c r="G782" t="s">
        <v>74</v>
      </c>
      <c r="H782" t="s">
        <v>74</v>
      </c>
      <c r="I782" t="s">
        <v>13930</v>
      </c>
      <c r="J782" t="s">
        <v>762</v>
      </c>
      <c r="K782" t="s">
        <v>74</v>
      </c>
      <c r="L782" t="s">
        <v>74</v>
      </c>
      <c r="M782" t="s">
        <v>78</v>
      </c>
      <c r="N782" t="s">
        <v>79</v>
      </c>
      <c r="O782" t="s">
        <v>74</v>
      </c>
      <c r="P782" t="s">
        <v>74</v>
      </c>
      <c r="Q782" t="s">
        <v>74</v>
      </c>
      <c r="R782" t="s">
        <v>74</v>
      </c>
      <c r="S782" t="s">
        <v>74</v>
      </c>
      <c r="T782" t="s">
        <v>13931</v>
      </c>
      <c r="U782" t="s">
        <v>13932</v>
      </c>
      <c r="V782" t="s">
        <v>13933</v>
      </c>
      <c r="W782" t="s">
        <v>13934</v>
      </c>
      <c r="X782" t="s">
        <v>6732</v>
      </c>
      <c r="Y782" t="s">
        <v>13935</v>
      </c>
      <c r="Z782" t="s">
        <v>13936</v>
      </c>
      <c r="AA782" t="s">
        <v>13937</v>
      </c>
      <c r="AB782" t="s">
        <v>6736</v>
      </c>
      <c r="AC782" t="s">
        <v>6737</v>
      </c>
      <c r="AD782" t="s">
        <v>6737</v>
      </c>
      <c r="AE782" t="s">
        <v>13938</v>
      </c>
      <c r="AF782" t="s">
        <v>74</v>
      </c>
      <c r="AG782">
        <v>66</v>
      </c>
      <c r="AH782">
        <v>43</v>
      </c>
      <c r="AI782">
        <v>48</v>
      </c>
      <c r="AJ782">
        <v>1</v>
      </c>
      <c r="AK782">
        <v>22</v>
      </c>
      <c r="AL782" t="s">
        <v>775</v>
      </c>
      <c r="AM782" t="s">
        <v>412</v>
      </c>
      <c r="AN782" t="s">
        <v>776</v>
      </c>
      <c r="AO782" t="s">
        <v>777</v>
      </c>
      <c r="AP782" t="s">
        <v>778</v>
      </c>
      <c r="AQ782" t="s">
        <v>74</v>
      </c>
      <c r="AR782" t="s">
        <v>779</v>
      </c>
      <c r="AS782" t="s">
        <v>780</v>
      </c>
      <c r="AT782" t="s">
        <v>13192</v>
      </c>
      <c r="AU782">
        <v>2010</v>
      </c>
      <c r="AV782">
        <v>213</v>
      </c>
      <c r="AW782">
        <v>11</v>
      </c>
      <c r="AX782" t="s">
        <v>74</v>
      </c>
      <c r="AY782" t="s">
        <v>74</v>
      </c>
      <c r="AZ782" t="s">
        <v>74</v>
      </c>
      <c r="BA782" t="s">
        <v>74</v>
      </c>
      <c r="BB782">
        <v>1967</v>
      </c>
      <c r="BC782">
        <v>1975</v>
      </c>
      <c r="BD782" t="s">
        <v>74</v>
      </c>
      <c r="BE782" t="s">
        <v>13939</v>
      </c>
      <c r="BF782" t="str">
        <f>HYPERLINK("http://dx.doi.org/10.1242/jeb.039990","http://dx.doi.org/10.1242/jeb.039990")</f>
        <v>http://dx.doi.org/10.1242/jeb.039990</v>
      </c>
      <c r="BG782" t="s">
        <v>74</v>
      </c>
      <c r="BH782" t="s">
        <v>74</v>
      </c>
      <c r="BI782">
        <v>9</v>
      </c>
      <c r="BJ782" t="s">
        <v>346</v>
      </c>
      <c r="BK782" t="s">
        <v>100</v>
      </c>
      <c r="BL782" t="s">
        <v>347</v>
      </c>
      <c r="BM782" t="s">
        <v>13927</v>
      </c>
      <c r="BN782">
        <v>20472784</v>
      </c>
      <c r="BO782" t="s">
        <v>74</v>
      </c>
      <c r="BP782" t="s">
        <v>74</v>
      </c>
      <c r="BQ782" t="s">
        <v>74</v>
      </c>
      <c r="BR782" t="s">
        <v>104</v>
      </c>
      <c r="BS782" t="s">
        <v>13940</v>
      </c>
      <c r="BT782" t="str">
        <f>HYPERLINK("https%3A%2F%2Fwww.webofscience.com%2Fwos%2Fwoscc%2Ffull-record%2FWOS:000277701500029","View Full Record in Web of Science")</f>
        <v>View Full Record in Web of Science</v>
      </c>
    </row>
    <row r="783" spans="1:72" x14ac:dyDescent="0.15">
      <c r="A783" t="s">
        <v>72</v>
      </c>
      <c r="B783" t="s">
        <v>13941</v>
      </c>
      <c r="C783" t="s">
        <v>74</v>
      </c>
      <c r="D783" t="s">
        <v>74</v>
      </c>
      <c r="E783" t="s">
        <v>74</v>
      </c>
      <c r="F783" t="s">
        <v>13942</v>
      </c>
      <c r="G783" t="s">
        <v>74</v>
      </c>
      <c r="H783" t="s">
        <v>74</v>
      </c>
      <c r="I783" t="s">
        <v>13943</v>
      </c>
      <c r="J783" t="s">
        <v>6283</v>
      </c>
      <c r="K783" t="s">
        <v>74</v>
      </c>
      <c r="L783" t="s">
        <v>74</v>
      </c>
      <c r="M783" t="s">
        <v>78</v>
      </c>
      <c r="N783" t="s">
        <v>79</v>
      </c>
      <c r="O783" t="s">
        <v>74</v>
      </c>
      <c r="P783" t="s">
        <v>74</v>
      </c>
      <c r="Q783" t="s">
        <v>74</v>
      </c>
      <c r="R783" t="s">
        <v>74</v>
      </c>
      <c r="S783" t="s">
        <v>74</v>
      </c>
      <c r="T783" t="s">
        <v>13944</v>
      </c>
      <c r="U783" t="s">
        <v>13945</v>
      </c>
      <c r="V783" t="s">
        <v>13946</v>
      </c>
      <c r="W783" t="s">
        <v>13947</v>
      </c>
      <c r="X783" t="s">
        <v>6312</v>
      </c>
      <c r="Y783" t="s">
        <v>13948</v>
      </c>
      <c r="Z783" t="s">
        <v>13949</v>
      </c>
      <c r="AA783" t="s">
        <v>74</v>
      </c>
      <c r="AB783" t="s">
        <v>74</v>
      </c>
      <c r="AC783" t="s">
        <v>13950</v>
      </c>
      <c r="AD783" t="s">
        <v>13951</v>
      </c>
      <c r="AE783" t="s">
        <v>13952</v>
      </c>
      <c r="AF783" t="s">
        <v>74</v>
      </c>
      <c r="AG783">
        <v>33</v>
      </c>
      <c r="AH783">
        <v>4</v>
      </c>
      <c r="AI783">
        <v>5</v>
      </c>
      <c r="AJ783">
        <v>1</v>
      </c>
      <c r="AK783">
        <v>11</v>
      </c>
      <c r="AL783" t="s">
        <v>549</v>
      </c>
      <c r="AM783" t="s">
        <v>550</v>
      </c>
      <c r="AN783" t="s">
        <v>551</v>
      </c>
      <c r="AO783" t="s">
        <v>6296</v>
      </c>
      <c r="AP783" t="s">
        <v>74</v>
      </c>
      <c r="AQ783" t="s">
        <v>74</v>
      </c>
      <c r="AR783" t="s">
        <v>6298</v>
      </c>
      <c r="AS783" t="s">
        <v>6299</v>
      </c>
      <c r="AT783" t="s">
        <v>12931</v>
      </c>
      <c r="AU783">
        <v>2010</v>
      </c>
      <c r="AV783">
        <v>81</v>
      </c>
      <c r="AW783">
        <v>4</v>
      </c>
      <c r="AX783" t="s">
        <v>74</v>
      </c>
      <c r="AY783" t="s">
        <v>74</v>
      </c>
      <c r="AZ783" t="s">
        <v>74</v>
      </c>
      <c r="BA783" t="s">
        <v>74</v>
      </c>
      <c r="BB783">
        <v>273</v>
      </c>
      <c r="BC783">
        <v>285</v>
      </c>
      <c r="BD783" t="s">
        <v>74</v>
      </c>
      <c r="BE783" t="s">
        <v>13953</v>
      </c>
      <c r="BF783" t="str">
        <f>HYPERLINK("http://dx.doi.org/10.1016/j.jmarsys.2010.01.003","http://dx.doi.org/10.1016/j.jmarsys.2010.01.003")</f>
        <v>http://dx.doi.org/10.1016/j.jmarsys.2010.01.003</v>
      </c>
      <c r="BG783" t="s">
        <v>74</v>
      </c>
      <c r="BH783" t="s">
        <v>74</v>
      </c>
      <c r="BI783">
        <v>13</v>
      </c>
      <c r="BJ783" t="s">
        <v>6301</v>
      </c>
      <c r="BK783" t="s">
        <v>100</v>
      </c>
      <c r="BL783" t="s">
        <v>6302</v>
      </c>
      <c r="BM783" t="s">
        <v>13954</v>
      </c>
      <c r="BN783" t="s">
        <v>74</v>
      </c>
      <c r="BO783" t="s">
        <v>74</v>
      </c>
      <c r="BP783" t="s">
        <v>74</v>
      </c>
      <c r="BQ783" t="s">
        <v>74</v>
      </c>
      <c r="BR783" t="s">
        <v>104</v>
      </c>
      <c r="BS783" t="s">
        <v>13955</v>
      </c>
      <c r="BT783" t="str">
        <f>HYPERLINK("https%3A%2F%2Fwww.webofscience.com%2Fwos%2Fwoscc%2Ffull-record%2FWOS:000277924000001","View Full Record in Web of Science")</f>
        <v>View Full Record in Web of Science</v>
      </c>
    </row>
    <row r="784" spans="1:72" x14ac:dyDescent="0.15">
      <c r="A784" t="s">
        <v>72</v>
      </c>
      <c r="B784" t="s">
        <v>13956</v>
      </c>
      <c r="C784" t="s">
        <v>74</v>
      </c>
      <c r="D784" t="s">
        <v>74</v>
      </c>
      <c r="E784" t="s">
        <v>74</v>
      </c>
      <c r="F784" t="s">
        <v>13957</v>
      </c>
      <c r="G784" t="s">
        <v>74</v>
      </c>
      <c r="H784" t="s">
        <v>74</v>
      </c>
      <c r="I784" t="s">
        <v>13958</v>
      </c>
      <c r="J784" t="s">
        <v>13959</v>
      </c>
      <c r="K784" t="s">
        <v>74</v>
      </c>
      <c r="L784" t="s">
        <v>74</v>
      </c>
      <c r="M784" t="s">
        <v>78</v>
      </c>
      <c r="N784" t="s">
        <v>79</v>
      </c>
      <c r="O784" t="s">
        <v>74</v>
      </c>
      <c r="P784" t="s">
        <v>74</v>
      </c>
      <c r="Q784" t="s">
        <v>74</v>
      </c>
      <c r="R784" t="s">
        <v>74</v>
      </c>
      <c r="S784" t="s">
        <v>74</v>
      </c>
      <c r="T784" t="s">
        <v>13960</v>
      </c>
      <c r="U784" t="s">
        <v>13961</v>
      </c>
      <c r="V784" t="s">
        <v>13962</v>
      </c>
      <c r="W784" t="s">
        <v>13963</v>
      </c>
      <c r="X784" t="s">
        <v>13964</v>
      </c>
      <c r="Y784" t="s">
        <v>13965</v>
      </c>
      <c r="Z784" t="s">
        <v>13966</v>
      </c>
      <c r="AA784" t="s">
        <v>74</v>
      </c>
      <c r="AB784" t="s">
        <v>13967</v>
      </c>
      <c r="AC784" t="s">
        <v>74</v>
      </c>
      <c r="AD784" t="s">
        <v>74</v>
      </c>
      <c r="AE784" t="s">
        <v>74</v>
      </c>
      <c r="AF784" t="s">
        <v>74</v>
      </c>
      <c r="AG784">
        <v>72</v>
      </c>
      <c r="AH784">
        <v>206</v>
      </c>
      <c r="AI784">
        <v>245</v>
      </c>
      <c r="AJ784">
        <v>7</v>
      </c>
      <c r="AK784">
        <v>107</v>
      </c>
      <c r="AL784" t="s">
        <v>464</v>
      </c>
      <c r="AM784" t="s">
        <v>576</v>
      </c>
      <c r="AN784" t="s">
        <v>577</v>
      </c>
      <c r="AO784" t="s">
        <v>13968</v>
      </c>
      <c r="AP784" t="s">
        <v>13969</v>
      </c>
      <c r="AQ784" t="s">
        <v>74</v>
      </c>
      <c r="AR784" t="s">
        <v>13970</v>
      </c>
      <c r="AS784" t="s">
        <v>13971</v>
      </c>
      <c r="AT784" t="s">
        <v>12931</v>
      </c>
      <c r="AU784">
        <v>2010</v>
      </c>
      <c r="AV784">
        <v>66</v>
      </c>
      <c r="AW784">
        <v>3</v>
      </c>
      <c r="AX784" t="s">
        <v>74</v>
      </c>
      <c r="AY784" t="s">
        <v>74</v>
      </c>
      <c r="AZ784" t="s">
        <v>74</v>
      </c>
      <c r="BA784" t="s">
        <v>74</v>
      </c>
      <c r="BB784">
        <v>389</v>
      </c>
      <c r="BC784">
        <v>403</v>
      </c>
      <c r="BD784" t="s">
        <v>74</v>
      </c>
      <c r="BE784" t="s">
        <v>13972</v>
      </c>
      <c r="BF784" t="str">
        <f>HYPERLINK("http://dx.doi.org/10.1007/s10872-010-0034-8","http://dx.doi.org/10.1007/s10872-010-0034-8")</f>
        <v>http://dx.doi.org/10.1007/s10872-010-0034-8</v>
      </c>
      <c r="BG784" t="s">
        <v>74</v>
      </c>
      <c r="BH784" t="s">
        <v>74</v>
      </c>
      <c r="BI784">
        <v>15</v>
      </c>
      <c r="BJ784" t="s">
        <v>1531</v>
      </c>
      <c r="BK784" t="s">
        <v>100</v>
      </c>
      <c r="BL784" t="s">
        <v>1531</v>
      </c>
      <c r="BM784" t="s">
        <v>13973</v>
      </c>
      <c r="BN784" t="s">
        <v>74</v>
      </c>
      <c r="BO784" t="s">
        <v>74</v>
      </c>
      <c r="BP784" t="s">
        <v>74</v>
      </c>
      <c r="BQ784" t="s">
        <v>74</v>
      </c>
      <c r="BR784" t="s">
        <v>104</v>
      </c>
      <c r="BS784" t="s">
        <v>13974</v>
      </c>
      <c r="BT784" t="str">
        <f>HYPERLINK("https%3A%2F%2Fwww.webofscience.com%2Fwos%2Fwoscc%2Ffull-record%2FWOS:000277025300008","View Full Record in Web of Science")</f>
        <v>View Full Record in Web of Science</v>
      </c>
    </row>
    <row r="785" spans="1:72" x14ac:dyDescent="0.15">
      <c r="A785" t="s">
        <v>72</v>
      </c>
      <c r="B785" t="s">
        <v>13975</v>
      </c>
      <c r="C785" t="s">
        <v>74</v>
      </c>
      <c r="D785" t="s">
        <v>74</v>
      </c>
      <c r="E785" t="s">
        <v>74</v>
      </c>
      <c r="F785" t="s">
        <v>13976</v>
      </c>
      <c r="G785" t="s">
        <v>74</v>
      </c>
      <c r="H785" t="s">
        <v>74</v>
      </c>
      <c r="I785" t="s">
        <v>13977</v>
      </c>
      <c r="J785" t="s">
        <v>3607</v>
      </c>
      <c r="K785" t="s">
        <v>74</v>
      </c>
      <c r="L785" t="s">
        <v>74</v>
      </c>
      <c r="M785" t="s">
        <v>78</v>
      </c>
      <c r="N785" t="s">
        <v>79</v>
      </c>
      <c r="O785" t="s">
        <v>74</v>
      </c>
      <c r="P785" t="s">
        <v>74</v>
      </c>
      <c r="Q785" t="s">
        <v>74</v>
      </c>
      <c r="R785" t="s">
        <v>74</v>
      </c>
      <c r="S785" t="s">
        <v>74</v>
      </c>
      <c r="T785" t="s">
        <v>13978</v>
      </c>
      <c r="U785" t="s">
        <v>13979</v>
      </c>
      <c r="V785" t="s">
        <v>13980</v>
      </c>
      <c r="W785" t="s">
        <v>13981</v>
      </c>
      <c r="X785" t="s">
        <v>13982</v>
      </c>
      <c r="Y785" t="s">
        <v>13983</v>
      </c>
      <c r="Z785" t="s">
        <v>3765</v>
      </c>
      <c r="AA785" t="s">
        <v>13984</v>
      </c>
      <c r="AB785" t="s">
        <v>13985</v>
      </c>
      <c r="AC785" t="s">
        <v>13986</v>
      </c>
      <c r="AD785" t="s">
        <v>13987</v>
      </c>
      <c r="AE785" t="s">
        <v>13988</v>
      </c>
      <c r="AF785" t="s">
        <v>74</v>
      </c>
      <c r="AG785">
        <v>73</v>
      </c>
      <c r="AH785">
        <v>18</v>
      </c>
      <c r="AI785">
        <v>20</v>
      </c>
      <c r="AJ785">
        <v>1</v>
      </c>
      <c r="AK785">
        <v>24</v>
      </c>
      <c r="AL785" t="s">
        <v>923</v>
      </c>
      <c r="AM785" t="s">
        <v>339</v>
      </c>
      <c r="AN785" t="s">
        <v>340</v>
      </c>
      <c r="AO785" t="s">
        <v>3620</v>
      </c>
      <c r="AP785" t="s">
        <v>3621</v>
      </c>
      <c r="AQ785" t="s">
        <v>74</v>
      </c>
      <c r="AR785" t="s">
        <v>3622</v>
      </c>
      <c r="AS785" t="s">
        <v>3623</v>
      </c>
      <c r="AT785" t="s">
        <v>12931</v>
      </c>
      <c r="AU785">
        <v>2010</v>
      </c>
      <c r="AV785">
        <v>46</v>
      </c>
      <c r="AW785">
        <v>3</v>
      </c>
      <c r="AX785" t="s">
        <v>74</v>
      </c>
      <c r="AY785" t="s">
        <v>74</v>
      </c>
      <c r="AZ785" t="s">
        <v>74</v>
      </c>
      <c r="BA785" t="s">
        <v>74</v>
      </c>
      <c r="BB785">
        <v>466</v>
      </c>
      <c r="BC785">
        <v>476</v>
      </c>
      <c r="BD785" t="s">
        <v>74</v>
      </c>
      <c r="BE785" t="s">
        <v>13989</v>
      </c>
      <c r="BF785" t="str">
        <f>HYPERLINK("http://dx.doi.org/10.1111/j.1529-8817.2010.00831.x","http://dx.doi.org/10.1111/j.1529-8817.2010.00831.x")</f>
        <v>http://dx.doi.org/10.1111/j.1529-8817.2010.00831.x</v>
      </c>
      <c r="BG785" t="s">
        <v>74</v>
      </c>
      <c r="BH785" t="s">
        <v>74</v>
      </c>
      <c r="BI785">
        <v>11</v>
      </c>
      <c r="BJ785" t="s">
        <v>3625</v>
      </c>
      <c r="BK785" t="s">
        <v>100</v>
      </c>
      <c r="BL785" t="s">
        <v>3625</v>
      </c>
      <c r="BM785" t="s">
        <v>13990</v>
      </c>
      <c r="BN785" t="s">
        <v>74</v>
      </c>
      <c r="BO785" t="s">
        <v>74</v>
      </c>
      <c r="BP785" t="s">
        <v>74</v>
      </c>
      <c r="BQ785" t="s">
        <v>74</v>
      </c>
      <c r="BR785" t="s">
        <v>104</v>
      </c>
      <c r="BS785" t="s">
        <v>13991</v>
      </c>
      <c r="BT785" t="str">
        <f>HYPERLINK("https%3A%2F%2Fwww.webofscience.com%2Fwos%2Fwoscc%2Ffull-record%2FWOS:000278820000006","View Full Record in Web of Science")</f>
        <v>View Full Record in Web of Science</v>
      </c>
    </row>
    <row r="786" spans="1:72" x14ac:dyDescent="0.15">
      <c r="A786" t="s">
        <v>72</v>
      </c>
      <c r="B786" t="s">
        <v>13992</v>
      </c>
      <c r="C786" t="s">
        <v>74</v>
      </c>
      <c r="D786" t="s">
        <v>74</v>
      </c>
      <c r="E786" t="s">
        <v>74</v>
      </c>
      <c r="F786" t="s">
        <v>13993</v>
      </c>
      <c r="G786" t="s">
        <v>74</v>
      </c>
      <c r="H786" t="s">
        <v>74</v>
      </c>
      <c r="I786" t="s">
        <v>13994</v>
      </c>
      <c r="J786" t="s">
        <v>3607</v>
      </c>
      <c r="K786" t="s">
        <v>74</v>
      </c>
      <c r="L786" t="s">
        <v>74</v>
      </c>
      <c r="M786" t="s">
        <v>78</v>
      </c>
      <c r="N786" t="s">
        <v>79</v>
      </c>
      <c r="O786" t="s">
        <v>74</v>
      </c>
      <c r="P786" t="s">
        <v>74</v>
      </c>
      <c r="Q786" t="s">
        <v>74</v>
      </c>
      <c r="R786" t="s">
        <v>74</v>
      </c>
      <c r="S786" t="s">
        <v>74</v>
      </c>
      <c r="T786" t="s">
        <v>13995</v>
      </c>
      <c r="U786" t="s">
        <v>13996</v>
      </c>
      <c r="V786" t="s">
        <v>13997</v>
      </c>
      <c r="W786" t="s">
        <v>13998</v>
      </c>
      <c r="X786" t="s">
        <v>13999</v>
      </c>
      <c r="Y786" t="s">
        <v>14000</v>
      </c>
      <c r="Z786" t="s">
        <v>14001</v>
      </c>
      <c r="AA786" t="s">
        <v>74</v>
      </c>
      <c r="AB786" t="s">
        <v>14002</v>
      </c>
      <c r="AC786" t="s">
        <v>74</v>
      </c>
      <c r="AD786" t="s">
        <v>74</v>
      </c>
      <c r="AE786" t="s">
        <v>74</v>
      </c>
      <c r="AF786" t="s">
        <v>74</v>
      </c>
      <c r="AG786">
        <v>47</v>
      </c>
      <c r="AH786">
        <v>16</v>
      </c>
      <c r="AI786">
        <v>21</v>
      </c>
      <c r="AJ786">
        <v>5</v>
      </c>
      <c r="AK786">
        <v>41</v>
      </c>
      <c r="AL786" t="s">
        <v>923</v>
      </c>
      <c r="AM786" t="s">
        <v>339</v>
      </c>
      <c r="AN786" t="s">
        <v>340</v>
      </c>
      <c r="AO786" t="s">
        <v>3620</v>
      </c>
      <c r="AP786" t="s">
        <v>3621</v>
      </c>
      <c r="AQ786" t="s">
        <v>74</v>
      </c>
      <c r="AR786" t="s">
        <v>3622</v>
      </c>
      <c r="AS786" t="s">
        <v>3623</v>
      </c>
      <c r="AT786" t="s">
        <v>12931</v>
      </c>
      <c r="AU786">
        <v>2010</v>
      </c>
      <c r="AV786">
        <v>46</v>
      </c>
      <c r="AW786">
        <v>3</v>
      </c>
      <c r="AX786" t="s">
        <v>74</v>
      </c>
      <c r="AY786" t="s">
        <v>74</v>
      </c>
      <c r="AZ786" t="s">
        <v>74</v>
      </c>
      <c r="BA786" t="s">
        <v>74</v>
      </c>
      <c r="BB786">
        <v>497</v>
      </c>
      <c r="BC786">
        <v>506</v>
      </c>
      <c r="BD786" t="s">
        <v>74</v>
      </c>
      <c r="BE786" t="s">
        <v>14003</v>
      </c>
      <c r="BF786" t="str">
        <f>HYPERLINK("http://dx.doi.org/10.1111/j.1529-8817.2010.00827.x","http://dx.doi.org/10.1111/j.1529-8817.2010.00827.x")</f>
        <v>http://dx.doi.org/10.1111/j.1529-8817.2010.00827.x</v>
      </c>
      <c r="BG786" t="s">
        <v>74</v>
      </c>
      <c r="BH786" t="s">
        <v>74</v>
      </c>
      <c r="BI786">
        <v>10</v>
      </c>
      <c r="BJ786" t="s">
        <v>3625</v>
      </c>
      <c r="BK786" t="s">
        <v>100</v>
      </c>
      <c r="BL786" t="s">
        <v>3625</v>
      </c>
      <c r="BM786" t="s">
        <v>13990</v>
      </c>
      <c r="BN786" t="s">
        <v>74</v>
      </c>
      <c r="BO786" t="s">
        <v>74</v>
      </c>
      <c r="BP786" t="s">
        <v>74</v>
      </c>
      <c r="BQ786" t="s">
        <v>74</v>
      </c>
      <c r="BR786" t="s">
        <v>104</v>
      </c>
      <c r="BS786" t="s">
        <v>14004</v>
      </c>
      <c r="BT786" t="str">
        <f>HYPERLINK("https%3A%2F%2Fwww.webofscience.com%2Fwos%2Fwoscc%2Ffull-record%2FWOS:000278820000009","View Full Record in Web of Science")</f>
        <v>View Full Record in Web of Science</v>
      </c>
    </row>
    <row r="787" spans="1:72" x14ac:dyDescent="0.15">
      <c r="A787" t="s">
        <v>72</v>
      </c>
      <c r="B787" t="s">
        <v>14005</v>
      </c>
      <c r="C787" t="s">
        <v>74</v>
      </c>
      <c r="D787" t="s">
        <v>74</v>
      </c>
      <c r="E787" t="s">
        <v>74</v>
      </c>
      <c r="F787" t="s">
        <v>14006</v>
      </c>
      <c r="G787" t="s">
        <v>74</v>
      </c>
      <c r="H787" t="s">
        <v>74</v>
      </c>
      <c r="I787" t="s">
        <v>14007</v>
      </c>
      <c r="J787" t="s">
        <v>3631</v>
      </c>
      <c r="K787" t="s">
        <v>74</v>
      </c>
      <c r="L787" t="s">
        <v>74</v>
      </c>
      <c r="M787" t="s">
        <v>78</v>
      </c>
      <c r="N787" t="s">
        <v>79</v>
      </c>
      <c r="O787" t="s">
        <v>74</v>
      </c>
      <c r="P787" t="s">
        <v>74</v>
      </c>
      <c r="Q787" t="s">
        <v>74</v>
      </c>
      <c r="R787" t="s">
        <v>74</v>
      </c>
      <c r="S787" t="s">
        <v>74</v>
      </c>
      <c r="T787" t="s">
        <v>74</v>
      </c>
      <c r="U787" t="s">
        <v>14008</v>
      </c>
      <c r="V787" t="s">
        <v>14009</v>
      </c>
      <c r="W787" t="s">
        <v>14010</v>
      </c>
      <c r="X787" t="s">
        <v>11462</v>
      </c>
      <c r="Y787" t="s">
        <v>14011</v>
      </c>
      <c r="Z787" t="s">
        <v>14012</v>
      </c>
      <c r="AA787" t="s">
        <v>74</v>
      </c>
      <c r="AB787" t="s">
        <v>74</v>
      </c>
      <c r="AC787" t="s">
        <v>14013</v>
      </c>
      <c r="AD787" t="s">
        <v>14014</v>
      </c>
      <c r="AE787" t="s">
        <v>14015</v>
      </c>
      <c r="AF787" t="s">
        <v>74</v>
      </c>
      <c r="AG787">
        <v>43</v>
      </c>
      <c r="AH787">
        <v>87</v>
      </c>
      <c r="AI787">
        <v>95</v>
      </c>
      <c r="AJ787">
        <v>2</v>
      </c>
      <c r="AK787">
        <v>9</v>
      </c>
      <c r="AL787" t="s">
        <v>3432</v>
      </c>
      <c r="AM787" t="s">
        <v>3433</v>
      </c>
      <c r="AN787" t="s">
        <v>3434</v>
      </c>
      <c r="AO787" t="s">
        <v>3640</v>
      </c>
      <c r="AP787" t="s">
        <v>6350</v>
      </c>
      <c r="AQ787" t="s">
        <v>74</v>
      </c>
      <c r="AR787" t="s">
        <v>3641</v>
      </c>
      <c r="AS787" t="s">
        <v>3642</v>
      </c>
      <c r="AT787" t="s">
        <v>12931</v>
      </c>
      <c r="AU787">
        <v>2010</v>
      </c>
      <c r="AV787">
        <v>40</v>
      </c>
      <c r="AW787">
        <v>6</v>
      </c>
      <c r="AX787" t="s">
        <v>74</v>
      </c>
      <c r="AY787" t="s">
        <v>74</v>
      </c>
      <c r="AZ787" t="s">
        <v>74</v>
      </c>
      <c r="BA787" t="s">
        <v>74</v>
      </c>
      <c r="BB787">
        <v>1201</v>
      </c>
      <c r="BC787">
        <v>1221</v>
      </c>
      <c r="BD787" t="s">
        <v>74</v>
      </c>
      <c r="BE787" t="s">
        <v>14016</v>
      </c>
      <c r="BF787" t="str">
        <f>HYPERLINK("http://dx.doi.org/10.1175/2009JPO4043.1","http://dx.doi.org/10.1175/2009JPO4043.1")</f>
        <v>http://dx.doi.org/10.1175/2009JPO4043.1</v>
      </c>
      <c r="BG787" t="s">
        <v>74</v>
      </c>
      <c r="BH787" t="s">
        <v>74</v>
      </c>
      <c r="BI787">
        <v>21</v>
      </c>
      <c r="BJ787" t="s">
        <v>1531</v>
      </c>
      <c r="BK787" t="s">
        <v>100</v>
      </c>
      <c r="BL787" t="s">
        <v>1531</v>
      </c>
      <c r="BM787" t="s">
        <v>14017</v>
      </c>
      <c r="BN787" t="s">
        <v>74</v>
      </c>
      <c r="BO787" t="s">
        <v>14018</v>
      </c>
      <c r="BP787" t="s">
        <v>74</v>
      </c>
      <c r="BQ787" t="s">
        <v>74</v>
      </c>
      <c r="BR787" t="s">
        <v>104</v>
      </c>
      <c r="BS787" t="s">
        <v>14019</v>
      </c>
      <c r="BT787" t="str">
        <f>HYPERLINK("https%3A%2F%2Fwww.webofscience.com%2Fwos%2Fwoscc%2Ffull-record%2FWOS:000278784600004","View Full Record in Web of Science")</f>
        <v>View Full Record in Web of Science</v>
      </c>
    </row>
    <row r="788" spans="1:72" x14ac:dyDescent="0.15">
      <c r="A788" t="s">
        <v>72</v>
      </c>
      <c r="B788" t="s">
        <v>14020</v>
      </c>
      <c r="C788" t="s">
        <v>74</v>
      </c>
      <c r="D788" t="s">
        <v>74</v>
      </c>
      <c r="E788" t="s">
        <v>74</v>
      </c>
      <c r="F788" t="s">
        <v>14021</v>
      </c>
      <c r="G788" t="s">
        <v>74</v>
      </c>
      <c r="H788" t="s">
        <v>74</v>
      </c>
      <c r="I788" t="s">
        <v>14022</v>
      </c>
      <c r="J788" t="s">
        <v>3631</v>
      </c>
      <c r="K788" t="s">
        <v>74</v>
      </c>
      <c r="L788" t="s">
        <v>74</v>
      </c>
      <c r="M788" t="s">
        <v>78</v>
      </c>
      <c r="N788" t="s">
        <v>79</v>
      </c>
      <c r="O788" t="s">
        <v>74</v>
      </c>
      <c r="P788" t="s">
        <v>74</v>
      </c>
      <c r="Q788" t="s">
        <v>74</v>
      </c>
      <c r="R788" t="s">
        <v>74</v>
      </c>
      <c r="S788" t="s">
        <v>74</v>
      </c>
      <c r="T788" t="s">
        <v>74</v>
      </c>
      <c r="U788" t="s">
        <v>14023</v>
      </c>
      <c r="V788" t="s">
        <v>14024</v>
      </c>
      <c r="W788" t="s">
        <v>14025</v>
      </c>
      <c r="X788" t="s">
        <v>14026</v>
      </c>
      <c r="Y788" t="s">
        <v>14027</v>
      </c>
      <c r="Z788" t="s">
        <v>14028</v>
      </c>
      <c r="AA788" t="s">
        <v>14029</v>
      </c>
      <c r="AB788" t="s">
        <v>14030</v>
      </c>
      <c r="AC788" t="s">
        <v>14031</v>
      </c>
      <c r="AD788" t="s">
        <v>14032</v>
      </c>
      <c r="AE788" t="s">
        <v>14033</v>
      </c>
      <c r="AF788" t="s">
        <v>74</v>
      </c>
      <c r="AG788">
        <v>20</v>
      </c>
      <c r="AH788">
        <v>110</v>
      </c>
      <c r="AI788">
        <v>129</v>
      </c>
      <c r="AJ788">
        <v>0</v>
      </c>
      <c r="AK788">
        <v>30</v>
      </c>
      <c r="AL788" t="s">
        <v>3432</v>
      </c>
      <c r="AM788" t="s">
        <v>3433</v>
      </c>
      <c r="AN788" t="s">
        <v>3434</v>
      </c>
      <c r="AO788" t="s">
        <v>3640</v>
      </c>
      <c r="AP788" t="s">
        <v>74</v>
      </c>
      <c r="AQ788" t="s">
        <v>74</v>
      </c>
      <c r="AR788" t="s">
        <v>3641</v>
      </c>
      <c r="AS788" t="s">
        <v>3642</v>
      </c>
      <c r="AT788" t="s">
        <v>12931</v>
      </c>
      <c r="AU788">
        <v>2010</v>
      </c>
      <c r="AV788">
        <v>40</v>
      </c>
      <c r="AW788">
        <v>6</v>
      </c>
      <c r="AX788" t="s">
        <v>74</v>
      </c>
      <c r="AY788" t="s">
        <v>74</v>
      </c>
      <c r="AZ788" t="s">
        <v>74</v>
      </c>
      <c r="BA788" t="s">
        <v>74</v>
      </c>
      <c r="BB788">
        <v>1427</v>
      </c>
      <c r="BC788">
        <v>1434</v>
      </c>
      <c r="BD788" t="s">
        <v>74</v>
      </c>
      <c r="BE788" t="s">
        <v>14034</v>
      </c>
      <c r="BF788" t="str">
        <f>HYPERLINK("http://dx.doi.org/10.1175/2010JPO4431.1","http://dx.doi.org/10.1175/2010JPO4431.1")</f>
        <v>http://dx.doi.org/10.1175/2010JPO4431.1</v>
      </c>
      <c r="BG788" t="s">
        <v>74</v>
      </c>
      <c r="BH788" t="s">
        <v>74</v>
      </c>
      <c r="BI788">
        <v>8</v>
      </c>
      <c r="BJ788" t="s">
        <v>1531</v>
      </c>
      <c r="BK788" t="s">
        <v>100</v>
      </c>
      <c r="BL788" t="s">
        <v>1531</v>
      </c>
      <c r="BM788" t="s">
        <v>14017</v>
      </c>
      <c r="BN788" t="s">
        <v>74</v>
      </c>
      <c r="BO788" t="s">
        <v>1000</v>
      </c>
      <c r="BP788" t="s">
        <v>74</v>
      </c>
      <c r="BQ788" t="s">
        <v>74</v>
      </c>
      <c r="BR788" t="s">
        <v>104</v>
      </c>
      <c r="BS788" t="s">
        <v>14035</v>
      </c>
      <c r="BT788" t="str">
        <f>HYPERLINK("https%3A%2F%2Fwww.webofscience.com%2Fwos%2Fwoscc%2Ffull-record%2FWOS:000278784600017","View Full Record in Web of Science")</f>
        <v>View Full Record in Web of Science</v>
      </c>
    </row>
    <row r="789" spans="1:72" x14ac:dyDescent="0.15">
      <c r="A789" t="s">
        <v>72</v>
      </c>
      <c r="B789" t="s">
        <v>14036</v>
      </c>
      <c r="C789" t="s">
        <v>74</v>
      </c>
      <c r="D789" t="s">
        <v>74</v>
      </c>
      <c r="E789" t="s">
        <v>74</v>
      </c>
      <c r="F789" t="s">
        <v>14037</v>
      </c>
      <c r="G789" t="s">
        <v>74</v>
      </c>
      <c r="H789" t="s">
        <v>74</v>
      </c>
      <c r="I789" t="s">
        <v>14038</v>
      </c>
      <c r="J789" t="s">
        <v>3649</v>
      </c>
      <c r="K789" t="s">
        <v>74</v>
      </c>
      <c r="L789" t="s">
        <v>74</v>
      </c>
      <c r="M789" t="s">
        <v>78</v>
      </c>
      <c r="N789" t="s">
        <v>79</v>
      </c>
      <c r="O789" t="s">
        <v>74</v>
      </c>
      <c r="P789" t="s">
        <v>74</v>
      </c>
      <c r="Q789" t="s">
        <v>74</v>
      </c>
      <c r="R789" t="s">
        <v>74</v>
      </c>
      <c r="S789" t="s">
        <v>74</v>
      </c>
      <c r="T789" t="s">
        <v>14039</v>
      </c>
      <c r="U789" t="s">
        <v>14040</v>
      </c>
      <c r="V789" t="s">
        <v>14041</v>
      </c>
      <c r="W789" t="s">
        <v>14042</v>
      </c>
      <c r="X789" t="s">
        <v>14043</v>
      </c>
      <c r="Y789" t="s">
        <v>14044</v>
      </c>
      <c r="Z789" t="s">
        <v>14045</v>
      </c>
      <c r="AA789" t="s">
        <v>74</v>
      </c>
      <c r="AB789" t="s">
        <v>74</v>
      </c>
      <c r="AC789" t="s">
        <v>14046</v>
      </c>
      <c r="AD789" t="s">
        <v>14047</v>
      </c>
      <c r="AE789" t="s">
        <v>14048</v>
      </c>
      <c r="AF789" t="s">
        <v>74</v>
      </c>
      <c r="AG789">
        <v>99</v>
      </c>
      <c r="AH789">
        <v>8</v>
      </c>
      <c r="AI789">
        <v>8</v>
      </c>
      <c r="AJ789">
        <v>0</v>
      </c>
      <c r="AK789">
        <v>6</v>
      </c>
      <c r="AL789" t="s">
        <v>648</v>
      </c>
      <c r="AM789" t="s">
        <v>265</v>
      </c>
      <c r="AN789" t="s">
        <v>649</v>
      </c>
      <c r="AO789" t="s">
        <v>3662</v>
      </c>
      <c r="AP789" t="s">
        <v>3663</v>
      </c>
      <c r="AQ789" t="s">
        <v>74</v>
      </c>
      <c r="AR789" t="s">
        <v>3664</v>
      </c>
      <c r="AS789" t="s">
        <v>3665</v>
      </c>
      <c r="AT789" t="s">
        <v>12931</v>
      </c>
      <c r="AU789">
        <v>2010</v>
      </c>
      <c r="AV789">
        <v>32</v>
      </c>
      <c r="AW789">
        <v>6</v>
      </c>
      <c r="AX789" t="s">
        <v>74</v>
      </c>
      <c r="AY789" t="s">
        <v>74</v>
      </c>
      <c r="AZ789" t="s">
        <v>74</v>
      </c>
      <c r="BA789" t="s">
        <v>74</v>
      </c>
      <c r="BB789">
        <v>739</v>
      </c>
      <c r="BC789">
        <v>760</v>
      </c>
      <c r="BD789" t="s">
        <v>74</v>
      </c>
      <c r="BE789" t="s">
        <v>14049</v>
      </c>
      <c r="BF789" t="str">
        <f>HYPERLINK("http://dx.doi.org/10.1093/plankt/fbq028","http://dx.doi.org/10.1093/plankt/fbq028")</f>
        <v>http://dx.doi.org/10.1093/plankt/fbq028</v>
      </c>
      <c r="BG789" t="s">
        <v>74</v>
      </c>
      <c r="BH789" t="s">
        <v>74</v>
      </c>
      <c r="BI789">
        <v>22</v>
      </c>
      <c r="BJ789" t="s">
        <v>930</v>
      </c>
      <c r="BK789" t="s">
        <v>100</v>
      </c>
      <c r="BL789" t="s">
        <v>930</v>
      </c>
      <c r="BM789" t="s">
        <v>14050</v>
      </c>
      <c r="BN789" t="s">
        <v>74</v>
      </c>
      <c r="BO789" t="s">
        <v>394</v>
      </c>
      <c r="BP789" t="s">
        <v>74</v>
      </c>
      <c r="BQ789" t="s">
        <v>74</v>
      </c>
      <c r="BR789" t="s">
        <v>104</v>
      </c>
      <c r="BS789" t="s">
        <v>14051</v>
      </c>
      <c r="BT789" t="str">
        <f>HYPERLINK("https%3A%2F%2Fwww.webofscience.com%2Fwos%2Fwoscc%2Ffull-record%2FWOS:000277448800001","View Full Record in Web of Science")</f>
        <v>View Full Record in Web of Science</v>
      </c>
    </row>
    <row r="790" spans="1:72" x14ac:dyDescent="0.15">
      <c r="A790" t="s">
        <v>72</v>
      </c>
      <c r="B790" t="s">
        <v>14052</v>
      </c>
      <c r="C790" t="s">
        <v>74</v>
      </c>
      <c r="D790" t="s">
        <v>74</v>
      </c>
      <c r="E790" t="s">
        <v>74</v>
      </c>
      <c r="F790" t="s">
        <v>14053</v>
      </c>
      <c r="G790" t="s">
        <v>74</v>
      </c>
      <c r="H790" t="s">
        <v>74</v>
      </c>
      <c r="I790" t="s">
        <v>14054</v>
      </c>
      <c r="J790" t="s">
        <v>887</v>
      </c>
      <c r="K790" t="s">
        <v>74</v>
      </c>
      <c r="L790" t="s">
        <v>74</v>
      </c>
      <c r="M790" t="s">
        <v>78</v>
      </c>
      <c r="N790" t="s">
        <v>79</v>
      </c>
      <c r="O790" t="s">
        <v>74</v>
      </c>
      <c r="P790" t="s">
        <v>74</v>
      </c>
      <c r="Q790" t="s">
        <v>74</v>
      </c>
      <c r="R790" t="s">
        <v>74</v>
      </c>
      <c r="S790" t="s">
        <v>74</v>
      </c>
      <c r="T790" t="s">
        <v>14055</v>
      </c>
      <c r="U790" t="s">
        <v>14056</v>
      </c>
      <c r="V790" t="s">
        <v>14057</v>
      </c>
      <c r="W790" t="s">
        <v>14058</v>
      </c>
      <c r="X790" t="s">
        <v>14059</v>
      </c>
      <c r="Y790" t="s">
        <v>14060</v>
      </c>
      <c r="Z790" t="s">
        <v>14061</v>
      </c>
      <c r="AA790" t="s">
        <v>4172</v>
      </c>
      <c r="AB790" t="s">
        <v>74</v>
      </c>
      <c r="AC790" t="s">
        <v>14062</v>
      </c>
      <c r="AD790" t="s">
        <v>14063</v>
      </c>
      <c r="AE790" t="s">
        <v>14064</v>
      </c>
      <c r="AF790" t="s">
        <v>74</v>
      </c>
      <c r="AG790">
        <v>44</v>
      </c>
      <c r="AH790">
        <v>34</v>
      </c>
      <c r="AI790">
        <v>37</v>
      </c>
      <c r="AJ790">
        <v>0</v>
      </c>
      <c r="AK790">
        <v>24</v>
      </c>
      <c r="AL790" t="s">
        <v>898</v>
      </c>
      <c r="AM790" t="s">
        <v>899</v>
      </c>
      <c r="AN790" t="s">
        <v>900</v>
      </c>
      <c r="AO790" t="s">
        <v>901</v>
      </c>
      <c r="AP790" t="s">
        <v>902</v>
      </c>
      <c r="AQ790" t="s">
        <v>74</v>
      </c>
      <c r="AR790" t="s">
        <v>903</v>
      </c>
      <c r="AS790" t="s">
        <v>904</v>
      </c>
      <c r="AT790" t="s">
        <v>12931</v>
      </c>
      <c r="AU790">
        <v>2010</v>
      </c>
      <c r="AV790">
        <v>127</v>
      </c>
      <c r="AW790">
        <v>6</v>
      </c>
      <c r="AX790" t="s">
        <v>74</v>
      </c>
      <c r="AY790" t="s">
        <v>74</v>
      </c>
      <c r="AZ790" t="s">
        <v>74</v>
      </c>
      <c r="BA790" t="s">
        <v>74</v>
      </c>
      <c r="BB790">
        <v>3800</v>
      </c>
      <c r="BC790">
        <v>3808</v>
      </c>
      <c r="BD790" t="s">
        <v>74</v>
      </c>
      <c r="BE790" t="s">
        <v>14065</v>
      </c>
      <c r="BF790" t="str">
        <f>HYPERLINK("http://dx.doi.org/10.1121/1.3409479","http://dx.doi.org/10.1121/1.3409479")</f>
        <v>http://dx.doi.org/10.1121/1.3409479</v>
      </c>
      <c r="BG790" t="s">
        <v>74</v>
      </c>
      <c r="BH790" t="s">
        <v>74</v>
      </c>
      <c r="BI790">
        <v>9</v>
      </c>
      <c r="BJ790" t="s">
        <v>906</v>
      </c>
      <c r="BK790" t="s">
        <v>100</v>
      </c>
      <c r="BL790" t="s">
        <v>906</v>
      </c>
      <c r="BM790" t="s">
        <v>14066</v>
      </c>
      <c r="BN790">
        <v>20550278</v>
      </c>
      <c r="BO790" t="s">
        <v>394</v>
      </c>
      <c r="BP790" t="s">
        <v>74</v>
      </c>
      <c r="BQ790" t="s">
        <v>74</v>
      </c>
      <c r="BR790" t="s">
        <v>104</v>
      </c>
      <c r="BS790" t="s">
        <v>14067</v>
      </c>
      <c r="BT790" t="str">
        <f>HYPERLINK("https%3A%2F%2Fwww.webofscience.com%2Fwos%2Fwoscc%2Ffull-record%2FWOS:000278626500054","View Full Record in Web of Science")</f>
        <v>View Full Record in Web of Science</v>
      </c>
    </row>
    <row r="791" spans="1:72" x14ac:dyDescent="0.15">
      <c r="A791" t="s">
        <v>72</v>
      </c>
      <c r="B791" t="s">
        <v>14068</v>
      </c>
      <c r="C791" t="s">
        <v>74</v>
      </c>
      <c r="D791" t="s">
        <v>74</v>
      </c>
      <c r="E791" t="s">
        <v>74</v>
      </c>
      <c r="F791" t="s">
        <v>14069</v>
      </c>
      <c r="G791" t="s">
        <v>74</v>
      </c>
      <c r="H791" t="s">
        <v>74</v>
      </c>
      <c r="I791" t="s">
        <v>14070</v>
      </c>
      <c r="J791" t="s">
        <v>14071</v>
      </c>
      <c r="K791" t="s">
        <v>74</v>
      </c>
      <c r="L791" t="s">
        <v>74</v>
      </c>
      <c r="M791" t="s">
        <v>78</v>
      </c>
      <c r="N791" t="s">
        <v>79</v>
      </c>
      <c r="O791" t="s">
        <v>74</v>
      </c>
      <c r="P791" t="s">
        <v>74</v>
      </c>
      <c r="Q791" t="s">
        <v>74</v>
      </c>
      <c r="R791" t="s">
        <v>74</v>
      </c>
      <c r="S791" t="s">
        <v>74</v>
      </c>
      <c r="T791" t="s">
        <v>74</v>
      </c>
      <c r="U791" t="s">
        <v>14072</v>
      </c>
      <c r="V791" t="s">
        <v>14073</v>
      </c>
      <c r="W791" t="s">
        <v>14074</v>
      </c>
      <c r="X791" t="s">
        <v>14075</v>
      </c>
      <c r="Y791" t="s">
        <v>14076</v>
      </c>
      <c r="Z791" t="s">
        <v>14077</v>
      </c>
      <c r="AA791" t="s">
        <v>14078</v>
      </c>
      <c r="AB791" t="s">
        <v>74</v>
      </c>
      <c r="AC791" t="s">
        <v>14079</v>
      </c>
      <c r="AD791" t="s">
        <v>14080</v>
      </c>
      <c r="AE791" t="s">
        <v>14081</v>
      </c>
      <c r="AF791" t="s">
        <v>74</v>
      </c>
      <c r="AG791">
        <v>46</v>
      </c>
      <c r="AH791">
        <v>3</v>
      </c>
      <c r="AI791">
        <v>4</v>
      </c>
      <c r="AJ791">
        <v>0</v>
      </c>
      <c r="AK791">
        <v>4</v>
      </c>
      <c r="AL791" t="s">
        <v>3432</v>
      </c>
      <c r="AM791" t="s">
        <v>3433</v>
      </c>
      <c r="AN791" t="s">
        <v>3434</v>
      </c>
      <c r="AO791" t="s">
        <v>14082</v>
      </c>
      <c r="AP791" t="s">
        <v>14083</v>
      </c>
      <c r="AQ791" t="s">
        <v>74</v>
      </c>
      <c r="AR791" t="s">
        <v>14084</v>
      </c>
      <c r="AS791" t="s">
        <v>14085</v>
      </c>
      <c r="AT791" t="s">
        <v>12931</v>
      </c>
      <c r="AU791">
        <v>2010</v>
      </c>
      <c r="AV791">
        <v>67</v>
      </c>
      <c r="AW791">
        <v>6</v>
      </c>
      <c r="AX791" t="s">
        <v>74</v>
      </c>
      <c r="AY791" t="s">
        <v>74</v>
      </c>
      <c r="AZ791" t="s">
        <v>74</v>
      </c>
      <c r="BA791" t="s">
        <v>74</v>
      </c>
      <c r="BB791">
        <v>2018</v>
      </c>
      <c r="BC791">
        <v>2038</v>
      </c>
      <c r="BD791" t="s">
        <v>74</v>
      </c>
      <c r="BE791" t="s">
        <v>14086</v>
      </c>
      <c r="BF791" t="str">
        <f>HYPERLINK("http://dx.doi.org/10.1175/2010JAS3267.1","http://dx.doi.org/10.1175/2010JAS3267.1")</f>
        <v>http://dx.doi.org/10.1175/2010JAS3267.1</v>
      </c>
      <c r="BG791" t="s">
        <v>74</v>
      </c>
      <c r="BH791" t="s">
        <v>74</v>
      </c>
      <c r="BI791">
        <v>21</v>
      </c>
      <c r="BJ791" t="s">
        <v>319</v>
      </c>
      <c r="BK791" t="s">
        <v>100</v>
      </c>
      <c r="BL791" t="s">
        <v>319</v>
      </c>
      <c r="BM791" t="s">
        <v>14087</v>
      </c>
      <c r="BN791" t="s">
        <v>74</v>
      </c>
      <c r="BO791" t="s">
        <v>1935</v>
      </c>
      <c r="BP791" t="s">
        <v>74</v>
      </c>
      <c r="BQ791" t="s">
        <v>74</v>
      </c>
      <c r="BR791" t="s">
        <v>104</v>
      </c>
      <c r="BS791" t="s">
        <v>14088</v>
      </c>
      <c r="BT791" t="str">
        <f>HYPERLINK("https%3A%2F%2Fwww.webofscience.com%2Fwos%2Fwoscc%2Ffull-record%2FWOS:000279368200020","View Full Record in Web of Science")</f>
        <v>View Full Record in Web of Science</v>
      </c>
    </row>
    <row r="792" spans="1:72" x14ac:dyDescent="0.15">
      <c r="A792" t="s">
        <v>72</v>
      </c>
      <c r="B792" t="s">
        <v>14089</v>
      </c>
      <c r="C792" t="s">
        <v>74</v>
      </c>
      <c r="D792" t="s">
        <v>74</v>
      </c>
      <c r="E792" t="s">
        <v>74</v>
      </c>
      <c r="F792" t="s">
        <v>14090</v>
      </c>
      <c r="G792" t="s">
        <v>74</v>
      </c>
      <c r="H792" t="s">
        <v>74</v>
      </c>
      <c r="I792" t="s">
        <v>14091</v>
      </c>
      <c r="J792" t="s">
        <v>14071</v>
      </c>
      <c r="K792" t="s">
        <v>74</v>
      </c>
      <c r="L792" t="s">
        <v>74</v>
      </c>
      <c r="M792" t="s">
        <v>78</v>
      </c>
      <c r="N792" t="s">
        <v>79</v>
      </c>
      <c r="O792" t="s">
        <v>74</v>
      </c>
      <c r="P792" t="s">
        <v>74</v>
      </c>
      <c r="Q792" t="s">
        <v>74</v>
      </c>
      <c r="R792" t="s">
        <v>74</v>
      </c>
      <c r="S792" t="s">
        <v>74</v>
      </c>
      <c r="T792" t="s">
        <v>74</v>
      </c>
      <c r="U792" t="s">
        <v>14092</v>
      </c>
      <c r="V792" t="s">
        <v>14093</v>
      </c>
      <c r="W792" t="s">
        <v>14094</v>
      </c>
      <c r="X792" t="s">
        <v>14095</v>
      </c>
      <c r="Y792" t="s">
        <v>14096</v>
      </c>
      <c r="Z792" t="s">
        <v>14097</v>
      </c>
      <c r="AA792" t="s">
        <v>14098</v>
      </c>
      <c r="AB792" t="s">
        <v>14099</v>
      </c>
      <c r="AC792" t="s">
        <v>14100</v>
      </c>
      <c r="AD792" t="s">
        <v>14101</v>
      </c>
      <c r="AE792" t="s">
        <v>14102</v>
      </c>
      <c r="AF792" t="s">
        <v>74</v>
      </c>
      <c r="AG792">
        <v>35</v>
      </c>
      <c r="AH792">
        <v>31</v>
      </c>
      <c r="AI792">
        <v>36</v>
      </c>
      <c r="AJ792">
        <v>0</v>
      </c>
      <c r="AK792">
        <v>10</v>
      </c>
      <c r="AL792" t="s">
        <v>3432</v>
      </c>
      <c r="AM792" t="s">
        <v>3433</v>
      </c>
      <c r="AN792" t="s">
        <v>3434</v>
      </c>
      <c r="AO792" t="s">
        <v>14082</v>
      </c>
      <c r="AP792" t="s">
        <v>14083</v>
      </c>
      <c r="AQ792" t="s">
        <v>74</v>
      </c>
      <c r="AR792" t="s">
        <v>14084</v>
      </c>
      <c r="AS792" t="s">
        <v>14085</v>
      </c>
      <c r="AT792" t="s">
        <v>12931</v>
      </c>
      <c r="AU792">
        <v>2010</v>
      </c>
      <c r="AV792">
        <v>67</v>
      </c>
      <c r="AW792">
        <v>6</v>
      </c>
      <c r="AX792" t="s">
        <v>74</v>
      </c>
      <c r="AY792" t="s">
        <v>74</v>
      </c>
      <c r="AZ792" t="s">
        <v>74</v>
      </c>
      <c r="BA792" t="s">
        <v>74</v>
      </c>
      <c r="BB792">
        <v>2070</v>
      </c>
      <c r="BC792">
        <v>2085</v>
      </c>
      <c r="BD792" t="s">
        <v>74</v>
      </c>
      <c r="BE792" t="s">
        <v>14103</v>
      </c>
      <c r="BF792" t="str">
        <f>HYPERLINK("http://dx.doi.org/10.1175/2009JAS3286.1","http://dx.doi.org/10.1175/2009JAS3286.1")</f>
        <v>http://dx.doi.org/10.1175/2009JAS3286.1</v>
      </c>
      <c r="BG792" t="s">
        <v>74</v>
      </c>
      <c r="BH792" t="s">
        <v>74</v>
      </c>
      <c r="BI792">
        <v>16</v>
      </c>
      <c r="BJ792" t="s">
        <v>319</v>
      </c>
      <c r="BK792" t="s">
        <v>100</v>
      </c>
      <c r="BL792" t="s">
        <v>319</v>
      </c>
      <c r="BM792" t="s">
        <v>14087</v>
      </c>
      <c r="BN792" t="s">
        <v>74</v>
      </c>
      <c r="BO792" t="s">
        <v>8596</v>
      </c>
      <c r="BP792" t="s">
        <v>74</v>
      </c>
      <c r="BQ792" t="s">
        <v>74</v>
      </c>
      <c r="BR792" t="s">
        <v>104</v>
      </c>
      <c r="BS792" t="s">
        <v>14104</v>
      </c>
      <c r="BT792" t="str">
        <f>HYPERLINK("https%3A%2F%2Fwww.webofscience.com%2Fwos%2Fwoscc%2Ffull-record%2FWOS:000279368200023","View Full Record in Web of Science")</f>
        <v>View Full Record in Web of Science</v>
      </c>
    </row>
    <row r="793" spans="1:72" x14ac:dyDescent="0.15">
      <c r="A793" t="s">
        <v>72</v>
      </c>
      <c r="B793" t="s">
        <v>14105</v>
      </c>
      <c r="C793" t="s">
        <v>74</v>
      </c>
      <c r="D793" t="s">
        <v>74</v>
      </c>
      <c r="E793" t="s">
        <v>74</v>
      </c>
      <c r="F793" t="s">
        <v>14106</v>
      </c>
      <c r="G793" t="s">
        <v>74</v>
      </c>
      <c r="H793" t="s">
        <v>74</v>
      </c>
      <c r="I793" t="s">
        <v>14107</v>
      </c>
      <c r="J793" t="s">
        <v>3709</v>
      </c>
      <c r="K793" t="s">
        <v>74</v>
      </c>
      <c r="L793" t="s">
        <v>74</v>
      </c>
      <c r="M793" t="s">
        <v>78</v>
      </c>
      <c r="N793" t="s">
        <v>79</v>
      </c>
      <c r="O793" t="s">
        <v>74</v>
      </c>
      <c r="P793" t="s">
        <v>74</v>
      </c>
      <c r="Q793" t="s">
        <v>74</v>
      </c>
      <c r="R793" t="s">
        <v>74</v>
      </c>
      <c r="S793" t="s">
        <v>74</v>
      </c>
      <c r="T793" t="s">
        <v>14108</v>
      </c>
      <c r="U793" t="s">
        <v>14109</v>
      </c>
      <c r="V793" t="s">
        <v>14110</v>
      </c>
      <c r="W793" t="s">
        <v>14111</v>
      </c>
      <c r="X793" t="s">
        <v>14112</v>
      </c>
      <c r="Y793" t="s">
        <v>14113</v>
      </c>
      <c r="Z793" t="s">
        <v>74</v>
      </c>
      <c r="AA793" t="s">
        <v>14114</v>
      </c>
      <c r="AB793" t="s">
        <v>74</v>
      </c>
      <c r="AC793" t="s">
        <v>74</v>
      </c>
      <c r="AD793" t="s">
        <v>74</v>
      </c>
      <c r="AE793" t="s">
        <v>74</v>
      </c>
      <c r="AF793" t="s">
        <v>74</v>
      </c>
      <c r="AG793">
        <v>65</v>
      </c>
      <c r="AH793">
        <v>14</v>
      </c>
      <c r="AI793">
        <v>17</v>
      </c>
      <c r="AJ793">
        <v>0</v>
      </c>
      <c r="AK793">
        <v>13</v>
      </c>
      <c r="AL793" t="s">
        <v>851</v>
      </c>
      <c r="AM793" t="s">
        <v>310</v>
      </c>
      <c r="AN793" t="s">
        <v>852</v>
      </c>
      <c r="AO793" t="s">
        <v>3722</v>
      </c>
      <c r="AP793" t="s">
        <v>3723</v>
      </c>
      <c r="AQ793" t="s">
        <v>74</v>
      </c>
      <c r="AR793" t="s">
        <v>3724</v>
      </c>
      <c r="AS793" t="s">
        <v>3725</v>
      </c>
      <c r="AT793" t="s">
        <v>12931</v>
      </c>
      <c r="AU793">
        <v>2010</v>
      </c>
      <c r="AV793">
        <v>90</v>
      </c>
      <c r="AW793">
        <v>4</v>
      </c>
      <c r="AX793" t="s">
        <v>74</v>
      </c>
      <c r="AY793" t="s">
        <v>74</v>
      </c>
      <c r="AZ793" t="s">
        <v>74</v>
      </c>
      <c r="BA793" t="s">
        <v>74</v>
      </c>
      <c r="BB793">
        <v>755</v>
      </c>
      <c r="BC793">
        <v>767</v>
      </c>
      <c r="BD793" t="s">
        <v>74</v>
      </c>
      <c r="BE793" t="s">
        <v>14115</v>
      </c>
      <c r="BF793" t="str">
        <f>HYPERLINK("http://dx.doi.org/10.1017/S0025315409991445","http://dx.doi.org/10.1017/S0025315409991445")</f>
        <v>http://dx.doi.org/10.1017/S0025315409991445</v>
      </c>
      <c r="BG793" t="s">
        <v>74</v>
      </c>
      <c r="BH793" t="s">
        <v>74</v>
      </c>
      <c r="BI793">
        <v>13</v>
      </c>
      <c r="BJ793" t="s">
        <v>515</v>
      </c>
      <c r="BK793" t="s">
        <v>100</v>
      </c>
      <c r="BL793" t="s">
        <v>515</v>
      </c>
      <c r="BM793" t="s">
        <v>14116</v>
      </c>
      <c r="BN793" t="s">
        <v>74</v>
      </c>
      <c r="BO793" t="s">
        <v>74</v>
      </c>
      <c r="BP793" t="s">
        <v>74</v>
      </c>
      <c r="BQ793" t="s">
        <v>74</v>
      </c>
      <c r="BR793" t="s">
        <v>104</v>
      </c>
      <c r="BS793" t="s">
        <v>14117</v>
      </c>
      <c r="BT793" t="str">
        <f>HYPERLINK("https%3A%2F%2Fwww.webofscience.com%2Fwos%2Fwoscc%2Ffull-record%2FWOS:000279511000013","View Full Record in Web of Science")</f>
        <v>View Full Record in Web of Science</v>
      </c>
    </row>
    <row r="794" spans="1:72" x14ac:dyDescent="0.15">
      <c r="A794" t="s">
        <v>72</v>
      </c>
      <c r="B794" t="s">
        <v>14118</v>
      </c>
      <c r="C794" t="s">
        <v>74</v>
      </c>
      <c r="D794" t="s">
        <v>74</v>
      </c>
      <c r="E794" t="s">
        <v>74</v>
      </c>
      <c r="F794" t="s">
        <v>14119</v>
      </c>
      <c r="G794" t="s">
        <v>74</v>
      </c>
      <c r="H794" t="s">
        <v>74</v>
      </c>
      <c r="I794" t="s">
        <v>14120</v>
      </c>
      <c r="J794" t="s">
        <v>8895</v>
      </c>
      <c r="K794" t="s">
        <v>74</v>
      </c>
      <c r="L794" t="s">
        <v>74</v>
      </c>
      <c r="M794" t="s">
        <v>78</v>
      </c>
      <c r="N794" t="s">
        <v>79</v>
      </c>
      <c r="O794" t="s">
        <v>74</v>
      </c>
      <c r="P794" t="s">
        <v>74</v>
      </c>
      <c r="Q794" t="s">
        <v>74</v>
      </c>
      <c r="R794" t="s">
        <v>74</v>
      </c>
      <c r="S794" t="s">
        <v>74</v>
      </c>
      <c r="T794" t="s">
        <v>14121</v>
      </c>
      <c r="U794" t="s">
        <v>14122</v>
      </c>
      <c r="V794" t="s">
        <v>14123</v>
      </c>
      <c r="W794" t="s">
        <v>14124</v>
      </c>
      <c r="X794" t="s">
        <v>14125</v>
      </c>
      <c r="Y794" t="s">
        <v>14126</v>
      </c>
      <c r="Z794" t="s">
        <v>14127</v>
      </c>
      <c r="AA794" t="s">
        <v>14128</v>
      </c>
      <c r="AB794" t="s">
        <v>14129</v>
      </c>
      <c r="AC794" t="s">
        <v>14130</v>
      </c>
      <c r="AD794" t="s">
        <v>14130</v>
      </c>
      <c r="AE794" t="s">
        <v>14131</v>
      </c>
      <c r="AF794" t="s">
        <v>74</v>
      </c>
      <c r="AG794">
        <v>38</v>
      </c>
      <c r="AH794">
        <v>9</v>
      </c>
      <c r="AI794">
        <v>11</v>
      </c>
      <c r="AJ794">
        <v>0</v>
      </c>
      <c r="AK794">
        <v>2</v>
      </c>
      <c r="AL794" t="s">
        <v>2438</v>
      </c>
      <c r="AM794" t="s">
        <v>265</v>
      </c>
      <c r="AN794" t="s">
        <v>2439</v>
      </c>
      <c r="AO794" t="s">
        <v>8908</v>
      </c>
      <c r="AP794" t="s">
        <v>74</v>
      </c>
      <c r="AQ794" t="s">
        <v>74</v>
      </c>
      <c r="AR794" t="s">
        <v>8910</v>
      </c>
      <c r="AS794" t="s">
        <v>8911</v>
      </c>
      <c r="AT794" t="s">
        <v>12931</v>
      </c>
      <c r="AU794">
        <v>2010</v>
      </c>
      <c r="AV794">
        <v>27</v>
      </c>
      <c r="AW794">
        <v>6</v>
      </c>
      <c r="AX794" t="s">
        <v>74</v>
      </c>
      <c r="AY794" t="s">
        <v>74</v>
      </c>
      <c r="AZ794" t="s">
        <v>74</v>
      </c>
      <c r="BA794" t="s">
        <v>74</v>
      </c>
      <c r="BB794">
        <v>1166</v>
      </c>
      <c r="BC794">
        <v>1174</v>
      </c>
      <c r="BD794" t="s">
        <v>74</v>
      </c>
      <c r="BE794" t="s">
        <v>14132</v>
      </c>
      <c r="BF794" t="str">
        <f>HYPERLINK("http://dx.doi.org/10.1016/j.marpetgeo.2010.02.002","http://dx.doi.org/10.1016/j.marpetgeo.2010.02.002")</f>
        <v>http://dx.doi.org/10.1016/j.marpetgeo.2010.02.002</v>
      </c>
      <c r="BG794" t="s">
        <v>74</v>
      </c>
      <c r="BH794" t="s">
        <v>74</v>
      </c>
      <c r="BI794">
        <v>9</v>
      </c>
      <c r="BJ794" t="s">
        <v>1194</v>
      </c>
      <c r="BK794" t="s">
        <v>100</v>
      </c>
      <c r="BL794" t="s">
        <v>807</v>
      </c>
      <c r="BM794" t="s">
        <v>14133</v>
      </c>
      <c r="BN794" t="s">
        <v>74</v>
      </c>
      <c r="BO794" t="s">
        <v>74</v>
      </c>
      <c r="BP794" t="s">
        <v>74</v>
      </c>
      <c r="BQ794" t="s">
        <v>74</v>
      </c>
      <c r="BR794" t="s">
        <v>104</v>
      </c>
      <c r="BS794" t="s">
        <v>14134</v>
      </c>
      <c r="BT794" t="str">
        <f>HYPERLINK("https%3A%2F%2Fwww.webofscience.com%2Fwos%2Fwoscc%2Ffull-record%2FWOS:000278791900002","View Full Record in Web of Science")</f>
        <v>View Full Record in Web of Science</v>
      </c>
    </row>
    <row r="795" spans="1:72" x14ac:dyDescent="0.15">
      <c r="A795" t="s">
        <v>72</v>
      </c>
      <c r="B795" t="s">
        <v>14135</v>
      </c>
      <c r="C795" t="s">
        <v>74</v>
      </c>
      <c r="D795" t="s">
        <v>74</v>
      </c>
      <c r="E795" t="s">
        <v>74</v>
      </c>
      <c r="F795" t="s">
        <v>14136</v>
      </c>
      <c r="G795" t="s">
        <v>74</v>
      </c>
      <c r="H795" t="s">
        <v>74</v>
      </c>
      <c r="I795" t="s">
        <v>14137</v>
      </c>
      <c r="J795" t="s">
        <v>936</v>
      </c>
      <c r="K795" t="s">
        <v>74</v>
      </c>
      <c r="L795" t="s">
        <v>74</v>
      </c>
      <c r="M795" t="s">
        <v>78</v>
      </c>
      <c r="N795" t="s">
        <v>79</v>
      </c>
      <c r="O795" t="s">
        <v>74</v>
      </c>
      <c r="P795" t="s">
        <v>74</v>
      </c>
      <c r="Q795" t="s">
        <v>74</v>
      </c>
      <c r="R795" t="s">
        <v>74</v>
      </c>
      <c r="S795" t="s">
        <v>74</v>
      </c>
      <c r="T795" t="s">
        <v>74</v>
      </c>
      <c r="U795" t="s">
        <v>14138</v>
      </c>
      <c r="V795" t="s">
        <v>14139</v>
      </c>
      <c r="W795" t="s">
        <v>14140</v>
      </c>
      <c r="X795" t="s">
        <v>14141</v>
      </c>
      <c r="Y795" t="s">
        <v>1327</v>
      </c>
      <c r="Z795" t="s">
        <v>1328</v>
      </c>
      <c r="AA795" t="s">
        <v>14142</v>
      </c>
      <c r="AB795" t="s">
        <v>14143</v>
      </c>
      <c r="AC795" t="s">
        <v>14144</v>
      </c>
      <c r="AD795" t="s">
        <v>14145</v>
      </c>
      <c r="AE795" t="s">
        <v>14146</v>
      </c>
      <c r="AF795" t="s">
        <v>74</v>
      </c>
      <c r="AG795">
        <v>56</v>
      </c>
      <c r="AH795">
        <v>51</v>
      </c>
      <c r="AI795">
        <v>55</v>
      </c>
      <c r="AJ795">
        <v>1</v>
      </c>
      <c r="AK795">
        <v>39</v>
      </c>
      <c r="AL795" t="s">
        <v>945</v>
      </c>
      <c r="AM795" t="s">
        <v>946</v>
      </c>
      <c r="AN795" t="s">
        <v>947</v>
      </c>
      <c r="AO795" t="s">
        <v>948</v>
      </c>
      <c r="AP795" t="s">
        <v>949</v>
      </c>
      <c r="AQ795" t="s">
        <v>74</v>
      </c>
      <c r="AR795" t="s">
        <v>950</v>
      </c>
      <c r="AS795" t="s">
        <v>951</v>
      </c>
      <c r="AT795" t="s">
        <v>12931</v>
      </c>
      <c r="AU795">
        <v>2010</v>
      </c>
      <c r="AV795">
        <v>157</v>
      </c>
      <c r="AW795">
        <v>6</v>
      </c>
      <c r="AX795" t="s">
        <v>74</v>
      </c>
      <c r="AY795" t="s">
        <v>74</v>
      </c>
      <c r="AZ795" t="s">
        <v>74</v>
      </c>
      <c r="BA795" t="s">
        <v>74</v>
      </c>
      <c r="BB795">
        <v>1345</v>
      </c>
      <c r="BC795">
        <v>1356</v>
      </c>
      <c r="BD795" t="s">
        <v>74</v>
      </c>
      <c r="BE795" t="s">
        <v>14147</v>
      </c>
      <c r="BF795" t="str">
        <f>HYPERLINK("http://dx.doi.org/10.1007/s00227-010-1414-8","http://dx.doi.org/10.1007/s00227-010-1414-8")</f>
        <v>http://dx.doi.org/10.1007/s00227-010-1414-8</v>
      </c>
      <c r="BG795" t="s">
        <v>74</v>
      </c>
      <c r="BH795" t="s">
        <v>74</v>
      </c>
      <c r="BI795">
        <v>12</v>
      </c>
      <c r="BJ795" t="s">
        <v>515</v>
      </c>
      <c r="BK795" t="s">
        <v>100</v>
      </c>
      <c r="BL795" t="s">
        <v>515</v>
      </c>
      <c r="BM795" t="s">
        <v>14148</v>
      </c>
      <c r="BN795" t="s">
        <v>74</v>
      </c>
      <c r="BO795" t="s">
        <v>74</v>
      </c>
      <c r="BP795" t="s">
        <v>74</v>
      </c>
      <c r="BQ795" t="s">
        <v>74</v>
      </c>
      <c r="BR795" t="s">
        <v>104</v>
      </c>
      <c r="BS795" t="s">
        <v>14149</v>
      </c>
      <c r="BT795" t="str">
        <f>HYPERLINK("https%3A%2F%2Fwww.webofscience.com%2Fwos%2Fwoscc%2Ffull-record%2FWOS:000277643100018","View Full Record in Web of Science")</f>
        <v>View Full Record in Web of Science</v>
      </c>
    </row>
    <row r="796" spans="1:72" x14ac:dyDescent="0.15">
      <c r="A796" t="s">
        <v>72</v>
      </c>
      <c r="B796" t="s">
        <v>14150</v>
      </c>
      <c r="C796" t="s">
        <v>74</v>
      </c>
      <c r="D796" t="s">
        <v>74</v>
      </c>
      <c r="E796" t="s">
        <v>74</v>
      </c>
      <c r="F796" t="s">
        <v>14151</v>
      </c>
      <c r="G796" t="s">
        <v>74</v>
      </c>
      <c r="H796" t="s">
        <v>74</v>
      </c>
      <c r="I796" t="s">
        <v>14152</v>
      </c>
      <c r="J796" t="s">
        <v>14153</v>
      </c>
      <c r="K796" t="s">
        <v>74</v>
      </c>
      <c r="L796" t="s">
        <v>74</v>
      </c>
      <c r="M796" t="s">
        <v>78</v>
      </c>
      <c r="N796" t="s">
        <v>326</v>
      </c>
      <c r="O796" t="s">
        <v>74</v>
      </c>
      <c r="P796" t="s">
        <v>74</v>
      </c>
      <c r="Q796" t="s">
        <v>74</v>
      </c>
      <c r="R796" t="s">
        <v>74</v>
      </c>
      <c r="S796" t="s">
        <v>74</v>
      </c>
      <c r="T796" t="s">
        <v>14154</v>
      </c>
      <c r="U796" t="s">
        <v>14155</v>
      </c>
      <c r="V796" t="s">
        <v>14156</v>
      </c>
      <c r="W796" t="s">
        <v>14157</v>
      </c>
      <c r="X796" t="s">
        <v>14158</v>
      </c>
      <c r="Y796" t="s">
        <v>14159</v>
      </c>
      <c r="Z796" t="s">
        <v>14160</v>
      </c>
      <c r="AA796" t="s">
        <v>74</v>
      </c>
      <c r="AB796" t="s">
        <v>14161</v>
      </c>
      <c r="AC796" t="s">
        <v>74</v>
      </c>
      <c r="AD796" t="s">
        <v>74</v>
      </c>
      <c r="AE796" t="s">
        <v>74</v>
      </c>
      <c r="AF796" t="s">
        <v>74</v>
      </c>
      <c r="AG796">
        <v>81</v>
      </c>
      <c r="AH796">
        <v>256</v>
      </c>
      <c r="AI796">
        <v>289</v>
      </c>
      <c r="AJ796">
        <v>8</v>
      </c>
      <c r="AK796">
        <v>146</v>
      </c>
      <c r="AL796" t="s">
        <v>14162</v>
      </c>
      <c r="AM796" t="s">
        <v>14163</v>
      </c>
      <c r="AN796" t="s">
        <v>14164</v>
      </c>
      <c r="AO796" t="s">
        <v>14165</v>
      </c>
      <c r="AP796" t="s">
        <v>74</v>
      </c>
      <c r="AQ796" t="s">
        <v>74</v>
      </c>
      <c r="AR796" t="s">
        <v>14166</v>
      </c>
      <c r="AS796" t="s">
        <v>14167</v>
      </c>
      <c r="AT796" t="s">
        <v>12931</v>
      </c>
      <c r="AU796">
        <v>2010</v>
      </c>
      <c r="AV796">
        <v>8</v>
      </c>
      <c r="AW796">
        <v>6</v>
      </c>
      <c r="AX796" t="s">
        <v>74</v>
      </c>
      <c r="AY796" t="s">
        <v>74</v>
      </c>
      <c r="AZ796" t="s">
        <v>74</v>
      </c>
      <c r="BA796" t="s">
        <v>74</v>
      </c>
      <c r="BB796">
        <v>1779</v>
      </c>
      <c r="BC796">
        <v>1802</v>
      </c>
      <c r="BD796" t="s">
        <v>74</v>
      </c>
      <c r="BE796" t="s">
        <v>14168</v>
      </c>
      <c r="BF796" t="str">
        <f>HYPERLINK("http://dx.doi.org/10.3390/md8061779","http://dx.doi.org/10.3390/md8061779")</f>
        <v>http://dx.doi.org/10.3390/md8061779</v>
      </c>
      <c r="BG796" t="s">
        <v>74</v>
      </c>
      <c r="BH796" t="s">
        <v>74</v>
      </c>
      <c r="BI796">
        <v>24</v>
      </c>
      <c r="BJ796" t="s">
        <v>14169</v>
      </c>
      <c r="BK796" t="s">
        <v>100</v>
      </c>
      <c r="BL796" t="s">
        <v>14170</v>
      </c>
      <c r="BM796" t="s">
        <v>14171</v>
      </c>
      <c r="BN796">
        <v>20631870</v>
      </c>
      <c r="BO796" t="s">
        <v>7311</v>
      </c>
      <c r="BP796" t="s">
        <v>74</v>
      </c>
      <c r="BQ796" t="s">
        <v>74</v>
      </c>
      <c r="BR796" t="s">
        <v>104</v>
      </c>
      <c r="BS796" t="s">
        <v>14172</v>
      </c>
      <c r="BT796" t="str">
        <f>HYPERLINK("https%3A%2F%2Fwww.webofscience.com%2Fwos%2Fwoscc%2Ffull-record%2FWOS:000280347000006","View Full Record in Web of Science")</f>
        <v>View Full Record in Web of Science</v>
      </c>
    </row>
    <row r="797" spans="1:72" x14ac:dyDescent="0.15">
      <c r="A797" t="s">
        <v>72</v>
      </c>
      <c r="B797" t="s">
        <v>14173</v>
      </c>
      <c r="C797" t="s">
        <v>74</v>
      </c>
      <c r="D797" t="s">
        <v>74</v>
      </c>
      <c r="E797" t="s">
        <v>74</v>
      </c>
      <c r="F797" t="s">
        <v>14174</v>
      </c>
      <c r="G797" t="s">
        <v>74</v>
      </c>
      <c r="H797" t="s">
        <v>74</v>
      </c>
      <c r="I797" t="s">
        <v>14175</v>
      </c>
      <c r="J797" t="s">
        <v>2234</v>
      </c>
      <c r="K797" t="s">
        <v>74</v>
      </c>
      <c r="L797" t="s">
        <v>74</v>
      </c>
      <c r="M797" t="s">
        <v>78</v>
      </c>
      <c r="N797" t="s">
        <v>79</v>
      </c>
      <c r="O797" t="s">
        <v>74</v>
      </c>
      <c r="P797" t="s">
        <v>74</v>
      </c>
      <c r="Q797" t="s">
        <v>74</v>
      </c>
      <c r="R797" t="s">
        <v>74</v>
      </c>
      <c r="S797" t="s">
        <v>74</v>
      </c>
      <c r="T797" t="s">
        <v>74</v>
      </c>
      <c r="U797" t="s">
        <v>14176</v>
      </c>
      <c r="V797" t="s">
        <v>14177</v>
      </c>
      <c r="W797" t="s">
        <v>14178</v>
      </c>
      <c r="X797" t="s">
        <v>14179</v>
      </c>
      <c r="Y797" t="s">
        <v>14180</v>
      </c>
      <c r="Z797" t="s">
        <v>14181</v>
      </c>
      <c r="AA797" t="s">
        <v>14182</v>
      </c>
      <c r="AB797" t="s">
        <v>14183</v>
      </c>
      <c r="AC797" t="s">
        <v>14184</v>
      </c>
      <c r="AD797" t="s">
        <v>14185</v>
      </c>
      <c r="AE797" t="s">
        <v>14186</v>
      </c>
      <c r="AF797" t="s">
        <v>74</v>
      </c>
      <c r="AG797">
        <v>139</v>
      </c>
      <c r="AH797">
        <v>52</v>
      </c>
      <c r="AI797">
        <v>58</v>
      </c>
      <c r="AJ797">
        <v>3</v>
      </c>
      <c r="AK797">
        <v>26</v>
      </c>
      <c r="AL797" t="s">
        <v>923</v>
      </c>
      <c r="AM797" t="s">
        <v>339</v>
      </c>
      <c r="AN797" t="s">
        <v>340</v>
      </c>
      <c r="AO797" t="s">
        <v>2246</v>
      </c>
      <c r="AP797" t="s">
        <v>3908</v>
      </c>
      <c r="AQ797" t="s">
        <v>74</v>
      </c>
      <c r="AR797" t="s">
        <v>2247</v>
      </c>
      <c r="AS797" t="s">
        <v>2248</v>
      </c>
      <c r="AT797" t="s">
        <v>12931</v>
      </c>
      <c r="AU797">
        <v>2010</v>
      </c>
      <c r="AV797">
        <v>45</v>
      </c>
      <c r="AW797">
        <v>6</v>
      </c>
      <c r="AX797" t="s">
        <v>74</v>
      </c>
      <c r="AY797" t="s">
        <v>74</v>
      </c>
      <c r="AZ797" t="s">
        <v>74</v>
      </c>
      <c r="BA797" t="s">
        <v>74</v>
      </c>
      <c r="BB797">
        <v>917</v>
      </c>
      <c r="BC797">
        <v>946</v>
      </c>
      <c r="BD797" t="s">
        <v>74</v>
      </c>
      <c r="BE797" t="s">
        <v>14187</v>
      </c>
      <c r="BF797" t="str">
        <f>HYPERLINK("http://dx.doi.org/10.1111/j.1945-5100.2010.01067.x","http://dx.doi.org/10.1111/j.1945-5100.2010.01067.x")</f>
        <v>http://dx.doi.org/10.1111/j.1945-5100.2010.01067.x</v>
      </c>
      <c r="BG797" t="s">
        <v>74</v>
      </c>
      <c r="BH797" t="s">
        <v>74</v>
      </c>
      <c r="BI797">
        <v>30</v>
      </c>
      <c r="BJ797" t="s">
        <v>558</v>
      </c>
      <c r="BK797" t="s">
        <v>100</v>
      </c>
      <c r="BL797" t="s">
        <v>558</v>
      </c>
      <c r="BM797" t="s">
        <v>14188</v>
      </c>
      <c r="BN797" t="s">
        <v>74</v>
      </c>
      <c r="BO797" t="s">
        <v>1025</v>
      </c>
      <c r="BP797" t="s">
        <v>74</v>
      </c>
      <c r="BQ797" t="s">
        <v>74</v>
      </c>
      <c r="BR797" t="s">
        <v>104</v>
      </c>
      <c r="BS797" t="s">
        <v>14189</v>
      </c>
      <c r="BT797" t="str">
        <f>HYPERLINK("https%3A%2F%2Fwww.webofscience.com%2Fwos%2Fwoscc%2Ffull-record%2FWOS:000282374100001","View Full Record in Web of Science")</f>
        <v>View Full Record in Web of Science</v>
      </c>
    </row>
    <row r="798" spans="1:72" x14ac:dyDescent="0.15">
      <c r="A798" t="s">
        <v>72</v>
      </c>
      <c r="B798" t="s">
        <v>14190</v>
      </c>
      <c r="C798" t="s">
        <v>74</v>
      </c>
      <c r="D798" t="s">
        <v>74</v>
      </c>
      <c r="E798" t="s">
        <v>74</v>
      </c>
      <c r="F798" t="s">
        <v>14191</v>
      </c>
      <c r="G798" t="s">
        <v>74</v>
      </c>
      <c r="H798" t="s">
        <v>74</v>
      </c>
      <c r="I798" t="s">
        <v>14192</v>
      </c>
      <c r="J798" t="s">
        <v>14193</v>
      </c>
      <c r="K798" t="s">
        <v>74</v>
      </c>
      <c r="L798" t="s">
        <v>74</v>
      </c>
      <c r="M798" t="s">
        <v>78</v>
      </c>
      <c r="N798" t="s">
        <v>79</v>
      </c>
      <c r="O798" t="s">
        <v>74</v>
      </c>
      <c r="P798" t="s">
        <v>74</v>
      </c>
      <c r="Q798" t="s">
        <v>74</v>
      </c>
      <c r="R798" t="s">
        <v>74</v>
      </c>
      <c r="S798" t="s">
        <v>74</v>
      </c>
      <c r="T798" t="s">
        <v>14194</v>
      </c>
      <c r="U798" t="s">
        <v>14195</v>
      </c>
      <c r="V798" t="s">
        <v>14196</v>
      </c>
      <c r="W798" t="s">
        <v>14197</v>
      </c>
      <c r="X798" t="s">
        <v>4047</v>
      </c>
      <c r="Y798" t="s">
        <v>14198</v>
      </c>
      <c r="Z798" t="s">
        <v>14199</v>
      </c>
      <c r="AA798" t="s">
        <v>74</v>
      </c>
      <c r="AB798" t="s">
        <v>14200</v>
      </c>
      <c r="AC798" t="s">
        <v>14201</v>
      </c>
      <c r="AD798" t="s">
        <v>1402</v>
      </c>
      <c r="AE798" t="s">
        <v>14202</v>
      </c>
      <c r="AF798" t="s">
        <v>74</v>
      </c>
      <c r="AG798">
        <v>45</v>
      </c>
      <c r="AH798">
        <v>48</v>
      </c>
      <c r="AI798">
        <v>53</v>
      </c>
      <c r="AJ798">
        <v>1</v>
      </c>
      <c r="AK798">
        <v>18</v>
      </c>
      <c r="AL798" t="s">
        <v>648</v>
      </c>
      <c r="AM798" t="s">
        <v>265</v>
      </c>
      <c r="AN798" t="s">
        <v>649</v>
      </c>
      <c r="AO798" t="s">
        <v>14203</v>
      </c>
      <c r="AP798" t="s">
        <v>14204</v>
      </c>
      <c r="AQ798" t="s">
        <v>74</v>
      </c>
      <c r="AR798" t="s">
        <v>14205</v>
      </c>
      <c r="AS798" t="s">
        <v>14206</v>
      </c>
      <c r="AT798" t="s">
        <v>12931</v>
      </c>
      <c r="AU798">
        <v>2010</v>
      </c>
      <c r="AV798">
        <v>27</v>
      </c>
      <c r="AW798">
        <v>6</v>
      </c>
      <c r="AX798" t="s">
        <v>74</v>
      </c>
      <c r="AY798" t="s">
        <v>74</v>
      </c>
      <c r="AZ798" t="s">
        <v>74</v>
      </c>
      <c r="BA798" t="s">
        <v>74</v>
      </c>
      <c r="BB798">
        <v>1391</v>
      </c>
      <c r="BC798">
        <v>1403</v>
      </c>
      <c r="BD798" t="s">
        <v>74</v>
      </c>
      <c r="BE798" t="s">
        <v>14207</v>
      </c>
      <c r="BF798" t="str">
        <f>HYPERLINK("http://dx.doi.org/10.1093/molbev/msq026","http://dx.doi.org/10.1093/molbev/msq026")</f>
        <v>http://dx.doi.org/10.1093/molbev/msq026</v>
      </c>
      <c r="BG798" t="s">
        <v>74</v>
      </c>
      <c r="BH798" t="s">
        <v>74</v>
      </c>
      <c r="BI798">
        <v>13</v>
      </c>
      <c r="BJ798" t="s">
        <v>1144</v>
      </c>
      <c r="BK798" t="s">
        <v>100</v>
      </c>
      <c r="BL798" t="s">
        <v>1144</v>
      </c>
      <c r="BM798" t="s">
        <v>14208</v>
      </c>
      <c r="BN798">
        <v>20106908</v>
      </c>
      <c r="BO798" t="s">
        <v>103</v>
      </c>
      <c r="BP798" t="s">
        <v>74</v>
      </c>
      <c r="BQ798" t="s">
        <v>74</v>
      </c>
      <c r="BR798" t="s">
        <v>104</v>
      </c>
      <c r="BS798" t="s">
        <v>14209</v>
      </c>
      <c r="BT798" t="str">
        <f>HYPERLINK("https%3A%2F%2Fwww.webofscience.com%2Fwos%2Fwoscc%2Ffull-record%2FWOS:000277991900016","View Full Record in Web of Science")</f>
        <v>View Full Record in Web of Science</v>
      </c>
    </row>
    <row r="799" spans="1:72" x14ac:dyDescent="0.15">
      <c r="A799" t="s">
        <v>72</v>
      </c>
      <c r="B799" t="s">
        <v>14210</v>
      </c>
      <c r="C799" t="s">
        <v>74</v>
      </c>
      <c r="D799" t="s">
        <v>74</v>
      </c>
      <c r="E799" t="s">
        <v>74</v>
      </c>
      <c r="F799" t="s">
        <v>14211</v>
      </c>
      <c r="G799" t="s">
        <v>74</v>
      </c>
      <c r="H799" t="s">
        <v>74</v>
      </c>
      <c r="I799" t="s">
        <v>14212</v>
      </c>
      <c r="J799" t="s">
        <v>1125</v>
      </c>
      <c r="K799" t="s">
        <v>74</v>
      </c>
      <c r="L799" t="s">
        <v>74</v>
      </c>
      <c r="M799" t="s">
        <v>78</v>
      </c>
      <c r="N799" t="s">
        <v>79</v>
      </c>
      <c r="O799" t="s">
        <v>74</v>
      </c>
      <c r="P799" t="s">
        <v>74</v>
      </c>
      <c r="Q799" t="s">
        <v>74</v>
      </c>
      <c r="R799" t="s">
        <v>74</v>
      </c>
      <c r="S799" t="s">
        <v>74</v>
      </c>
      <c r="T799" t="s">
        <v>14213</v>
      </c>
      <c r="U799" t="s">
        <v>14214</v>
      </c>
      <c r="V799" t="s">
        <v>14215</v>
      </c>
      <c r="W799" t="s">
        <v>14216</v>
      </c>
      <c r="X799" t="s">
        <v>14217</v>
      </c>
      <c r="Y799" t="s">
        <v>14218</v>
      </c>
      <c r="Z799" t="s">
        <v>14219</v>
      </c>
      <c r="AA799" t="s">
        <v>14220</v>
      </c>
      <c r="AB799" t="s">
        <v>74</v>
      </c>
      <c r="AC799" t="s">
        <v>14221</v>
      </c>
      <c r="AD799" t="s">
        <v>14222</v>
      </c>
      <c r="AE799" t="s">
        <v>14223</v>
      </c>
      <c r="AF799" t="s">
        <v>74</v>
      </c>
      <c r="AG799">
        <v>87</v>
      </c>
      <c r="AH799">
        <v>39</v>
      </c>
      <c r="AI799">
        <v>39</v>
      </c>
      <c r="AJ799">
        <v>0</v>
      </c>
      <c r="AK799">
        <v>13</v>
      </c>
      <c r="AL799" t="s">
        <v>1136</v>
      </c>
      <c r="AM799" t="s">
        <v>1137</v>
      </c>
      <c r="AN799" t="s">
        <v>1138</v>
      </c>
      <c r="AO799" t="s">
        <v>1139</v>
      </c>
      <c r="AP799" t="s">
        <v>1140</v>
      </c>
      <c r="AQ799" t="s">
        <v>74</v>
      </c>
      <c r="AR799" t="s">
        <v>1141</v>
      </c>
      <c r="AS799" t="s">
        <v>1142</v>
      </c>
      <c r="AT799" t="s">
        <v>12931</v>
      </c>
      <c r="AU799">
        <v>2010</v>
      </c>
      <c r="AV799">
        <v>55</v>
      </c>
      <c r="AW799">
        <v>3</v>
      </c>
      <c r="AX799" t="s">
        <v>74</v>
      </c>
      <c r="AY799" t="s">
        <v>74</v>
      </c>
      <c r="AZ799" t="s">
        <v>74</v>
      </c>
      <c r="BA799" t="s">
        <v>74</v>
      </c>
      <c r="BB799">
        <v>996</v>
      </c>
      <c r="BC799">
        <v>1007</v>
      </c>
      <c r="BD799" t="s">
        <v>74</v>
      </c>
      <c r="BE799" t="s">
        <v>14224</v>
      </c>
      <c r="BF799" t="str">
        <f>HYPERLINK("http://dx.doi.org/10.1016/j.ympev.2009.11.027","http://dx.doi.org/10.1016/j.ympev.2009.11.027")</f>
        <v>http://dx.doi.org/10.1016/j.ympev.2009.11.027</v>
      </c>
      <c r="BG799" t="s">
        <v>74</v>
      </c>
      <c r="BH799" t="s">
        <v>74</v>
      </c>
      <c r="BI799">
        <v>12</v>
      </c>
      <c r="BJ799" t="s">
        <v>1144</v>
      </c>
      <c r="BK799" t="s">
        <v>100</v>
      </c>
      <c r="BL799" t="s">
        <v>1144</v>
      </c>
      <c r="BM799" t="s">
        <v>14225</v>
      </c>
      <c r="BN799">
        <v>19995612</v>
      </c>
      <c r="BO799" t="s">
        <v>74</v>
      </c>
      <c r="BP799" t="s">
        <v>74</v>
      </c>
      <c r="BQ799" t="s">
        <v>74</v>
      </c>
      <c r="BR799" t="s">
        <v>104</v>
      </c>
      <c r="BS799" t="s">
        <v>14226</v>
      </c>
      <c r="BT799" t="str">
        <f>HYPERLINK("https%3A%2F%2Fwww.webofscience.com%2Fwos%2Fwoscc%2Ffull-record%2FWOS:000277721800019","View Full Record in Web of Science")</f>
        <v>View Full Record in Web of Science</v>
      </c>
    </row>
    <row r="800" spans="1:72" x14ac:dyDescent="0.15">
      <c r="A800" t="s">
        <v>72</v>
      </c>
      <c r="B800" t="s">
        <v>14227</v>
      </c>
      <c r="C800" t="s">
        <v>74</v>
      </c>
      <c r="D800" t="s">
        <v>74</v>
      </c>
      <c r="E800" t="s">
        <v>74</v>
      </c>
      <c r="F800" t="s">
        <v>14228</v>
      </c>
      <c r="G800" t="s">
        <v>74</v>
      </c>
      <c r="H800" t="s">
        <v>74</v>
      </c>
      <c r="I800" t="s">
        <v>14229</v>
      </c>
      <c r="J800" t="s">
        <v>1125</v>
      </c>
      <c r="K800" t="s">
        <v>74</v>
      </c>
      <c r="L800" t="s">
        <v>74</v>
      </c>
      <c r="M800" t="s">
        <v>78</v>
      </c>
      <c r="N800" t="s">
        <v>79</v>
      </c>
      <c r="O800" t="s">
        <v>74</v>
      </c>
      <c r="P800" t="s">
        <v>74</v>
      </c>
      <c r="Q800" t="s">
        <v>74</v>
      </c>
      <c r="R800" t="s">
        <v>74</v>
      </c>
      <c r="S800" t="s">
        <v>74</v>
      </c>
      <c r="T800" t="s">
        <v>14230</v>
      </c>
      <c r="U800" t="s">
        <v>14231</v>
      </c>
      <c r="V800" t="s">
        <v>14232</v>
      </c>
      <c r="W800" t="s">
        <v>14233</v>
      </c>
      <c r="X800" t="s">
        <v>14234</v>
      </c>
      <c r="Y800" t="s">
        <v>14235</v>
      </c>
      <c r="Z800" t="s">
        <v>14236</v>
      </c>
      <c r="AA800" t="s">
        <v>14237</v>
      </c>
      <c r="AB800" t="s">
        <v>14238</v>
      </c>
      <c r="AC800" t="s">
        <v>74</v>
      </c>
      <c r="AD800" t="s">
        <v>74</v>
      </c>
      <c r="AE800" t="s">
        <v>74</v>
      </c>
      <c r="AF800" t="s">
        <v>74</v>
      </c>
      <c r="AG800">
        <v>79</v>
      </c>
      <c r="AH800">
        <v>57</v>
      </c>
      <c r="AI800">
        <v>62</v>
      </c>
      <c r="AJ800">
        <v>0</v>
      </c>
      <c r="AK800">
        <v>16</v>
      </c>
      <c r="AL800" t="s">
        <v>1136</v>
      </c>
      <c r="AM800" t="s">
        <v>1137</v>
      </c>
      <c r="AN800" t="s">
        <v>1138</v>
      </c>
      <c r="AO800" t="s">
        <v>1139</v>
      </c>
      <c r="AP800" t="s">
        <v>1140</v>
      </c>
      <c r="AQ800" t="s">
        <v>74</v>
      </c>
      <c r="AR800" t="s">
        <v>1141</v>
      </c>
      <c r="AS800" t="s">
        <v>1142</v>
      </c>
      <c r="AT800" t="s">
        <v>12931</v>
      </c>
      <c r="AU800">
        <v>2010</v>
      </c>
      <c r="AV800">
        <v>55</v>
      </c>
      <c r="AW800">
        <v>3</v>
      </c>
      <c r="AX800" t="s">
        <v>74</v>
      </c>
      <c r="AY800" t="s">
        <v>74</v>
      </c>
      <c r="AZ800" t="s">
        <v>74</v>
      </c>
      <c r="BA800" t="s">
        <v>74</v>
      </c>
      <c r="BB800">
        <v>1055</v>
      </c>
      <c r="BC800">
        <v>1069</v>
      </c>
      <c r="BD800" t="s">
        <v>74</v>
      </c>
      <c r="BE800" t="s">
        <v>14239</v>
      </c>
      <c r="BF800" t="str">
        <f>HYPERLINK("http://dx.doi.org/10.1016/j.ympev.2010.01.014","http://dx.doi.org/10.1016/j.ympev.2010.01.014")</f>
        <v>http://dx.doi.org/10.1016/j.ympev.2010.01.014</v>
      </c>
      <c r="BG800" t="s">
        <v>74</v>
      </c>
      <c r="BH800" t="s">
        <v>74</v>
      </c>
      <c r="BI800">
        <v>15</v>
      </c>
      <c r="BJ800" t="s">
        <v>1144</v>
      </c>
      <c r="BK800" t="s">
        <v>100</v>
      </c>
      <c r="BL800" t="s">
        <v>1144</v>
      </c>
      <c r="BM800" t="s">
        <v>14225</v>
      </c>
      <c r="BN800">
        <v>20085821</v>
      </c>
      <c r="BO800" t="s">
        <v>74</v>
      </c>
      <c r="BP800" t="s">
        <v>74</v>
      </c>
      <c r="BQ800" t="s">
        <v>74</v>
      </c>
      <c r="BR800" t="s">
        <v>104</v>
      </c>
      <c r="BS800" t="s">
        <v>14240</v>
      </c>
      <c r="BT800" t="str">
        <f>HYPERLINK("https%3A%2F%2Fwww.webofscience.com%2Fwos%2Fwoscc%2Ffull-record%2FWOS:000277721800024","View Full Record in Web of Science")</f>
        <v>View Full Record in Web of Science</v>
      </c>
    </row>
    <row r="801" spans="1:72" x14ac:dyDescent="0.15">
      <c r="A801" t="s">
        <v>72</v>
      </c>
      <c r="B801" t="s">
        <v>14241</v>
      </c>
      <c r="C801" t="s">
        <v>74</v>
      </c>
      <c r="D801" t="s">
        <v>74</v>
      </c>
      <c r="E801" t="s">
        <v>74</v>
      </c>
      <c r="F801" t="s">
        <v>14242</v>
      </c>
      <c r="G801" t="s">
        <v>74</v>
      </c>
      <c r="H801" t="s">
        <v>74</v>
      </c>
      <c r="I801" t="s">
        <v>14243</v>
      </c>
      <c r="J801" t="s">
        <v>1125</v>
      </c>
      <c r="K801" t="s">
        <v>74</v>
      </c>
      <c r="L801" t="s">
        <v>74</v>
      </c>
      <c r="M801" t="s">
        <v>78</v>
      </c>
      <c r="N801" t="s">
        <v>79</v>
      </c>
      <c r="O801" t="s">
        <v>74</v>
      </c>
      <c r="P801" t="s">
        <v>74</v>
      </c>
      <c r="Q801" t="s">
        <v>74</v>
      </c>
      <c r="R801" t="s">
        <v>74</v>
      </c>
      <c r="S801" t="s">
        <v>74</v>
      </c>
      <c r="T801" t="s">
        <v>14244</v>
      </c>
      <c r="U801" t="s">
        <v>14245</v>
      </c>
      <c r="V801" t="s">
        <v>14246</v>
      </c>
      <c r="W801" t="s">
        <v>14247</v>
      </c>
      <c r="X801" t="s">
        <v>14248</v>
      </c>
      <c r="Y801" t="s">
        <v>5347</v>
      </c>
      <c r="Z801" t="s">
        <v>5348</v>
      </c>
      <c r="AA801" t="s">
        <v>5349</v>
      </c>
      <c r="AB801" t="s">
        <v>14249</v>
      </c>
      <c r="AC801" t="s">
        <v>14250</v>
      </c>
      <c r="AD801" t="s">
        <v>14251</v>
      </c>
      <c r="AE801" t="s">
        <v>14252</v>
      </c>
      <c r="AF801" t="s">
        <v>74</v>
      </c>
      <c r="AG801">
        <v>43</v>
      </c>
      <c r="AH801">
        <v>71</v>
      </c>
      <c r="AI801">
        <v>84</v>
      </c>
      <c r="AJ801">
        <v>3</v>
      </c>
      <c r="AK801">
        <v>37</v>
      </c>
      <c r="AL801" t="s">
        <v>1136</v>
      </c>
      <c r="AM801" t="s">
        <v>1137</v>
      </c>
      <c r="AN801" t="s">
        <v>1138</v>
      </c>
      <c r="AO801" t="s">
        <v>1139</v>
      </c>
      <c r="AP801" t="s">
        <v>1140</v>
      </c>
      <c r="AQ801" t="s">
        <v>74</v>
      </c>
      <c r="AR801" t="s">
        <v>1141</v>
      </c>
      <c r="AS801" t="s">
        <v>1142</v>
      </c>
      <c r="AT801" t="s">
        <v>12931</v>
      </c>
      <c r="AU801">
        <v>2010</v>
      </c>
      <c r="AV801">
        <v>55</v>
      </c>
      <c r="AW801">
        <v>3</v>
      </c>
      <c r="AX801" t="s">
        <v>74</v>
      </c>
      <c r="AY801" t="s">
        <v>74</v>
      </c>
      <c r="AZ801" t="s">
        <v>74</v>
      </c>
      <c r="BA801" t="s">
        <v>74</v>
      </c>
      <c r="BB801">
        <v>1139</v>
      </c>
      <c r="BC801">
        <v>1145</v>
      </c>
      <c r="BD801" t="s">
        <v>74</v>
      </c>
      <c r="BE801" t="s">
        <v>14253</v>
      </c>
      <c r="BF801" t="str">
        <f>HYPERLINK("http://dx.doi.org/10.1016/j.ympev.2010.01.020","http://dx.doi.org/10.1016/j.ympev.2010.01.020")</f>
        <v>http://dx.doi.org/10.1016/j.ympev.2010.01.020</v>
      </c>
      <c r="BG801" t="s">
        <v>74</v>
      </c>
      <c r="BH801" t="s">
        <v>74</v>
      </c>
      <c r="BI801">
        <v>7</v>
      </c>
      <c r="BJ801" t="s">
        <v>1144</v>
      </c>
      <c r="BK801" t="s">
        <v>100</v>
      </c>
      <c r="BL801" t="s">
        <v>1144</v>
      </c>
      <c r="BM801" t="s">
        <v>14225</v>
      </c>
      <c r="BN801">
        <v>20102745</v>
      </c>
      <c r="BO801" t="s">
        <v>74</v>
      </c>
      <c r="BP801" t="s">
        <v>74</v>
      </c>
      <c r="BQ801" t="s">
        <v>74</v>
      </c>
      <c r="BR801" t="s">
        <v>104</v>
      </c>
      <c r="BS801" t="s">
        <v>14254</v>
      </c>
      <c r="BT801" t="str">
        <f>HYPERLINK("https%3A%2F%2Fwww.webofscience.com%2Fwos%2Fwoscc%2Ffull-record%2FWOS:000277721800031","View Full Record in Web of Science")</f>
        <v>View Full Record in Web of Science</v>
      </c>
    </row>
    <row r="802" spans="1:72" x14ac:dyDescent="0.15">
      <c r="A802" t="s">
        <v>72</v>
      </c>
      <c r="B802" t="s">
        <v>14255</v>
      </c>
      <c r="C802" t="s">
        <v>74</v>
      </c>
      <c r="D802" t="s">
        <v>74</v>
      </c>
      <c r="E802" t="s">
        <v>74</v>
      </c>
      <c r="F802" t="s">
        <v>14256</v>
      </c>
      <c r="G802" t="s">
        <v>74</v>
      </c>
      <c r="H802" t="s">
        <v>74</v>
      </c>
      <c r="I802" t="s">
        <v>14257</v>
      </c>
      <c r="J802" t="s">
        <v>14258</v>
      </c>
      <c r="K802" t="s">
        <v>74</v>
      </c>
      <c r="L802" t="s">
        <v>74</v>
      </c>
      <c r="M802" t="s">
        <v>78</v>
      </c>
      <c r="N802" t="s">
        <v>79</v>
      </c>
      <c r="O802" t="s">
        <v>74</v>
      </c>
      <c r="P802" t="s">
        <v>74</v>
      </c>
      <c r="Q802" t="s">
        <v>74</v>
      </c>
      <c r="R802" t="s">
        <v>74</v>
      </c>
      <c r="S802" t="s">
        <v>74</v>
      </c>
      <c r="T802" t="s">
        <v>74</v>
      </c>
      <c r="U802" t="s">
        <v>14259</v>
      </c>
      <c r="V802" t="s">
        <v>14260</v>
      </c>
      <c r="W802" t="s">
        <v>14261</v>
      </c>
      <c r="X802" t="s">
        <v>14262</v>
      </c>
      <c r="Y802" t="s">
        <v>14263</v>
      </c>
      <c r="Z802" t="s">
        <v>14264</v>
      </c>
      <c r="AA802" t="s">
        <v>74</v>
      </c>
      <c r="AB802" t="s">
        <v>74</v>
      </c>
      <c r="AC802" t="s">
        <v>14265</v>
      </c>
      <c r="AD802" t="s">
        <v>14266</v>
      </c>
      <c r="AE802" t="s">
        <v>14267</v>
      </c>
      <c r="AF802" t="s">
        <v>74</v>
      </c>
      <c r="AG802">
        <v>55</v>
      </c>
      <c r="AH802">
        <v>26</v>
      </c>
      <c r="AI802">
        <v>30</v>
      </c>
      <c r="AJ802">
        <v>0</v>
      </c>
      <c r="AK802">
        <v>6</v>
      </c>
      <c r="AL802" t="s">
        <v>3432</v>
      </c>
      <c r="AM802" t="s">
        <v>3433</v>
      </c>
      <c r="AN802" t="s">
        <v>3434</v>
      </c>
      <c r="AO802" t="s">
        <v>14268</v>
      </c>
      <c r="AP802" t="s">
        <v>14269</v>
      </c>
      <c r="AQ802" t="s">
        <v>74</v>
      </c>
      <c r="AR802" t="s">
        <v>14270</v>
      </c>
      <c r="AS802" t="s">
        <v>14271</v>
      </c>
      <c r="AT802" t="s">
        <v>12931</v>
      </c>
      <c r="AU802">
        <v>2010</v>
      </c>
      <c r="AV802">
        <v>138</v>
      </c>
      <c r="AW802">
        <v>6</v>
      </c>
      <c r="AX802" t="s">
        <v>74</v>
      </c>
      <c r="AY802" t="s">
        <v>74</v>
      </c>
      <c r="AZ802" t="s">
        <v>74</v>
      </c>
      <c r="BA802" t="s">
        <v>74</v>
      </c>
      <c r="BB802">
        <v>2229</v>
      </c>
      <c r="BC802">
        <v>2252</v>
      </c>
      <c r="BD802" t="s">
        <v>74</v>
      </c>
      <c r="BE802" t="s">
        <v>14272</v>
      </c>
      <c r="BF802" t="str">
        <f>HYPERLINK("http://dx.doi.org/10.1175/2009MWR3139.1","http://dx.doi.org/10.1175/2009MWR3139.1")</f>
        <v>http://dx.doi.org/10.1175/2009MWR3139.1</v>
      </c>
      <c r="BG802" t="s">
        <v>74</v>
      </c>
      <c r="BH802" t="s">
        <v>74</v>
      </c>
      <c r="BI802">
        <v>24</v>
      </c>
      <c r="BJ802" t="s">
        <v>319</v>
      </c>
      <c r="BK802" t="s">
        <v>100</v>
      </c>
      <c r="BL802" t="s">
        <v>319</v>
      </c>
      <c r="BM802" t="s">
        <v>14273</v>
      </c>
      <c r="BN802" t="s">
        <v>74</v>
      </c>
      <c r="BO802" t="s">
        <v>394</v>
      </c>
      <c r="BP802" t="s">
        <v>74</v>
      </c>
      <c r="BQ802" t="s">
        <v>74</v>
      </c>
      <c r="BR802" t="s">
        <v>104</v>
      </c>
      <c r="BS802" t="s">
        <v>14274</v>
      </c>
      <c r="BT802" t="str">
        <f>HYPERLINK("https%3A%2F%2Fwww.webofscience.com%2Fwos%2Fwoscc%2Ffull-record%2FWOS:000279677500013","View Full Record in Web of Science")</f>
        <v>View Full Record in Web of Science</v>
      </c>
    </row>
    <row r="803" spans="1:72" x14ac:dyDescent="0.15">
      <c r="A803" t="s">
        <v>72</v>
      </c>
      <c r="B803" t="s">
        <v>14275</v>
      </c>
      <c r="C803" t="s">
        <v>74</v>
      </c>
      <c r="D803" t="s">
        <v>74</v>
      </c>
      <c r="E803" t="s">
        <v>74</v>
      </c>
      <c r="F803" t="s">
        <v>14276</v>
      </c>
      <c r="G803" t="s">
        <v>74</v>
      </c>
      <c r="H803" t="s">
        <v>74</v>
      </c>
      <c r="I803" t="s">
        <v>14277</v>
      </c>
      <c r="J803" t="s">
        <v>3932</v>
      </c>
      <c r="K803" t="s">
        <v>74</v>
      </c>
      <c r="L803" t="s">
        <v>74</v>
      </c>
      <c r="M803" t="s">
        <v>78</v>
      </c>
      <c r="N803" t="s">
        <v>79</v>
      </c>
      <c r="O803" t="s">
        <v>74</v>
      </c>
      <c r="P803" t="s">
        <v>74</v>
      </c>
      <c r="Q803" t="s">
        <v>74</v>
      </c>
      <c r="R803" t="s">
        <v>74</v>
      </c>
      <c r="S803" t="s">
        <v>74</v>
      </c>
      <c r="T803" t="s">
        <v>14278</v>
      </c>
      <c r="U803" t="s">
        <v>14279</v>
      </c>
      <c r="V803" t="s">
        <v>14280</v>
      </c>
      <c r="W803" t="s">
        <v>14281</v>
      </c>
      <c r="X803" t="s">
        <v>3936</v>
      </c>
      <c r="Y803" t="s">
        <v>14282</v>
      </c>
      <c r="Z803" t="s">
        <v>14283</v>
      </c>
      <c r="AA803" t="s">
        <v>14284</v>
      </c>
      <c r="AB803" t="s">
        <v>74</v>
      </c>
      <c r="AC803" t="s">
        <v>14285</v>
      </c>
      <c r="AD803" t="s">
        <v>14286</v>
      </c>
      <c r="AE803" t="s">
        <v>14287</v>
      </c>
      <c r="AF803" t="s">
        <v>74</v>
      </c>
      <c r="AG803">
        <v>30</v>
      </c>
      <c r="AH803">
        <v>3</v>
      </c>
      <c r="AI803">
        <v>3</v>
      </c>
      <c r="AJ803">
        <v>0</v>
      </c>
      <c r="AK803">
        <v>0</v>
      </c>
      <c r="AL803" t="s">
        <v>3939</v>
      </c>
      <c r="AM803" t="s">
        <v>3940</v>
      </c>
      <c r="AN803" t="s">
        <v>3941</v>
      </c>
      <c r="AO803" t="s">
        <v>3942</v>
      </c>
      <c r="AP803" t="s">
        <v>3943</v>
      </c>
      <c r="AQ803" t="s">
        <v>74</v>
      </c>
      <c r="AR803" t="s">
        <v>3944</v>
      </c>
      <c r="AS803" t="s">
        <v>3945</v>
      </c>
      <c r="AT803" t="s">
        <v>12931</v>
      </c>
      <c r="AU803">
        <v>2010</v>
      </c>
      <c r="AV803">
        <v>65</v>
      </c>
      <c r="AW803">
        <v>3</v>
      </c>
      <c r="AX803" t="s">
        <v>74</v>
      </c>
      <c r="AY803" t="s">
        <v>74</v>
      </c>
      <c r="AZ803" t="s">
        <v>74</v>
      </c>
      <c r="BA803" t="s">
        <v>74</v>
      </c>
      <c r="BB803">
        <v>194</v>
      </c>
      <c r="BC803">
        <v>202</v>
      </c>
      <c r="BD803" t="s">
        <v>74</v>
      </c>
      <c r="BE803" t="s">
        <v>14288</v>
      </c>
      <c r="BF803" t="str">
        <f>HYPERLINK("http://dx.doi.org/10.3103/S0145875210030051","http://dx.doi.org/10.3103/S0145875210030051")</f>
        <v>http://dx.doi.org/10.3103/S0145875210030051</v>
      </c>
      <c r="BG803" t="s">
        <v>74</v>
      </c>
      <c r="BH803" t="s">
        <v>74</v>
      </c>
      <c r="BI803">
        <v>9</v>
      </c>
      <c r="BJ803" t="s">
        <v>807</v>
      </c>
      <c r="BK803" t="s">
        <v>3947</v>
      </c>
      <c r="BL803" t="s">
        <v>807</v>
      </c>
      <c r="BM803" t="s">
        <v>14289</v>
      </c>
      <c r="BN803" t="s">
        <v>74</v>
      </c>
      <c r="BO803" t="s">
        <v>74</v>
      </c>
      <c r="BP803" t="s">
        <v>74</v>
      </c>
      <c r="BQ803" t="s">
        <v>74</v>
      </c>
      <c r="BR803" t="s">
        <v>104</v>
      </c>
      <c r="BS803" t="s">
        <v>14290</v>
      </c>
      <c r="BT803" t="str">
        <f>HYPERLINK("https%3A%2F%2Fwww.webofscience.com%2Fwos%2Fwoscc%2Ffull-record%2FWOS:000217933000005","View Full Record in Web of Science")</f>
        <v>View Full Record in Web of Science</v>
      </c>
    </row>
    <row r="804" spans="1:72" x14ac:dyDescent="0.15">
      <c r="A804" t="s">
        <v>72</v>
      </c>
      <c r="B804" t="s">
        <v>14291</v>
      </c>
      <c r="C804" t="s">
        <v>74</v>
      </c>
      <c r="D804" t="s">
        <v>74</v>
      </c>
      <c r="E804" t="s">
        <v>74</v>
      </c>
      <c r="F804" t="s">
        <v>14292</v>
      </c>
      <c r="G804" t="s">
        <v>74</v>
      </c>
      <c r="H804" t="s">
        <v>74</v>
      </c>
      <c r="I804" t="s">
        <v>14293</v>
      </c>
      <c r="J804" t="s">
        <v>14294</v>
      </c>
      <c r="K804" t="s">
        <v>74</v>
      </c>
      <c r="L804" t="s">
        <v>74</v>
      </c>
      <c r="M804" t="s">
        <v>78</v>
      </c>
      <c r="N804" t="s">
        <v>79</v>
      </c>
      <c r="O804" t="s">
        <v>74</v>
      </c>
      <c r="P804" t="s">
        <v>74</v>
      </c>
      <c r="Q804" t="s">
        <v>74</v>
      </c>
      <c r="R804" t="s">
        <v>74</v>
      </c>
      <c r="S804" t="s">
        <v>74</v>
      </c>
      <c r="T804" t="s">
        <v>14295</v>
      </c>
      <c r="U804" t="s">
        <v>14296</v>
      </c>
      <c r="V804" t="s">
        <v>14297</v>
      </c>
      <c r="W804" t="s">
        <v>14298</v>
      </c>
      <c r="X804" t="s">
        <v>690</v>
      </c>
      <c r="Y804" t="s">
        <v>14299</v>
      </c>
      <c r="Z804" t="s">
        <v>14300</v>
      </c>
      <c r="AA804" t="s">
        <v>14301</v>
      </c>
      <c r="AB804" t="s">
        <v>74</v>
      </c>
      <c r="AC804" t="s">
        <v>14302</v>
      </c>
      <c r="AD804" t="s">
        <v>4954</v>
      </c>
      <c r="AE804" t="s">
        <v>14303</v>
      </c>
      <c r="AF804" t="s">
        <v>74</v>
      </c>
      <c r="AG804">
        <v>30</v>
      </c>
      <c r="AH804">
        <v>17</v>
      </c>
      <c r="AI804">
        <v>20</v>
      </c>
      <c r="AJ804">
        <v>0</v>
      </c>
      <c r="AK804">
        <v>13</v>
      </c>
      <c r="AL804" t="s">
        <v>464</v>
      </c>
      <c r="AM804" t="s">
        <v>310</v>
      </c>
      <c r="AN804" t="s">
        <v>971</v>
      </c>
      <c r="AO804" t="s">
        <v>14304</v>
      </c>
      <c r="AP804" t="s">
        <v>14305</v>
      </c>
      <c r="AQ804" t="s">
        <v>74</v>
      </c>
      <c r="AR804" t="s">
        <v>14294</v>
      </c>
      <c r="AS804" t="s">
        <v>14306</v>
      </c>
      <c r="AT804" t="s">
        <v>12931</v>
      </c>
      <c r="AU804">
        <v>2010</v>
      </c>
      <c r="AV804">
        <v>20</v>
      </c>
      <c r="AW804">
        <v>5</v>
      </c>
      <c r="AX804" t="s">
        <v>74</v>
      </c>
      <c r="AY804" t="s">
        <v>74</v>
      </c>
      <c r="AZ804" t="s">
        <v>74</v>
      </c>
      <c r="BA804" t="s">
        <v>74</v>
      </c>
      <c r="BB804">
        <v>307</v>
      </c>
      <c r="BC804">
        <v>313</v>
      </c>
      <c r="BD804" t="s">
        <v>74</v>
      </c>
      <c r="BE804" t="s">
        <v>14307</v>
      </c>
      <c r="BF804" t="str">
        <f>HYPERLINK("http://dx.doi.org/10.1007/s00572-009-0283-9","http://dx.doi.org/10.1007/s00572-009-0283-9")</f>
        <v>http://dx.doi.org/10.1007/s00572-009-0283-9</v>
      </c>
      <c r="BG804" t="s">
        <v>74</v>
      </c>
      <c r="BH804" t="s">
        <v>74</v>
      </c>
      <c r="BI804">
        <v>7</v>
      </c>
      <c r="BJ804" t="s">
        <v>11568</v>
      </c>
      <c r="BK804" t="s">
        <v>100</v>
      </c>
      <c r="BL804" t="s">
        <v>11568</v>
      </c>
      <c r="BM804" t="s">
        <v>14308</v>
      </c>
      <c r="BN804">
        <v>19921285</v>
      </c>
      <c r="BO804" t="s">
        <v>74</v>
      </c>
      <c r="BP804" t="s">
        <v>74</v>
      </c>
      <c r="BQ804" t="s">
        <v>74</v>
      </c>
      <c r="BR804" t="s">
        <v>104</v>
      </c>
      <c r="BS804" t="s">
        <v>14309</v>
      </c>
      <c r="BT804" t="str">
        <f>HYPERLINK("https%3A%2F%2Fwww.webofscience.com%2Fwos%2Fwoscc%2Ffull-record%2FWOS:000278120200002","View Full Record in Web of Science")</f>
        <v>View Full Record in Web of Science</v>
      </c>
    </row>
    <row r="805" spans="1:72" x14ac:dyDescent="0.15">
      <c r="A805" t="s">
        <v>72</v>
      </c>
      <c r="B805" t="s">
        <v>14310</v>
      </c>
      <c r="C805" t="s">
        <v>74</v>
      </c>
      <c r="D805" t="s">
        <v>74</v>
      </c>
      <c r="E805" t="s">
        <v>74</v>
      </c>
      <c r="F805" t="s">
        <v>14311</v>
      </c>
      <c r="G805" t="s">
        <v>74</v>
      </c>
      <c r="H805" t="s">
        <v>74</v>
      </c>
      <c r="I805" t="s">
        <v>14312</v>
      </c>
      <c r="J805" t="s">
        <v>6689</v>
      </c>
      <c r="K805" t="s">
        <v>74</v>
      </c>
      <c r="L805" t="s">
        <v>74</v>
      </c>
      <c r="M805" t="s">
        <v>78</v>
      </c>
      <c r="N805" t="s">
        <v>79</v>
      </c>
      <c r="O805" t="s">
        <v>74</v>
      </c>
      <c r="P805" t="s">
        <v>74</v>
      </c>
      <c r="Q805" t="s">
        <v>74</v>
      </c>
      <c r="R805" t="s">
        <v>74</v>
      </c>
      <c r="S805" t="s">
        <v>74</v>
      </c>
      <c r="T805" t="s">
        <v>14313</v>
      </c>
      <c r="U805" t="s">
        <v>14314</v>
      </c>
      <c r="V805" t="s">
        <v>14315</v>
      </c>
      <c r="W805" t="s">
        <v>14316</v>
      </c>
      <c r="X805" t="s">
        <v>14317</v>
      </c>
      <c r="Y805" t="s">
        <v>14318</v>
      </c>
      <c r="Z805" t="s">
        <v>14319</v>
      </c>
      <c r="AA805" t="s">
        <v>14320</v>
      </c>
      <c r="AB805" t="s">
        <v>14321</v>
      </c>
      <c r="AC805" t="s">
        <v>14322</v>
      </c>
      <c r="AD805" t="s">
        <v>11903</v>
      </c>
      <c r="AE805" t="s">
        <v>14323</v>
      </c>
      <c r="AF805" t="s">
        <v>74</v>
      </c>
      <c r="AG805">
        <v>68</v>
      </c>
      <c r="AH805">
        <v>77</v>
      </c>
      <c r="AI805">
        <v>83</v>
      </c>
      <c r="AJ805">
        <v>0</v>
      </c>
      <c r="AK805">
        <v>31</v>
      </c>
      <c r="AL805" t="s">
        <v>464</v>
      </c>
      <c r="AM805" t="s">
        <v>310</v>
      </c>
      <c r="AN805" t="s">
        <v>465</v>
      </c>
      <c r="AO805" t="s">
        <v>6701</v>
      </c>
      <c r="AP805" t="s">
        <v>6702</v>
      </c>
      <c r="AQ805" t="s">
        <v>74</v>
      </c>
      <c r="AR805" t="s">
        <v>6689</v>
      </c>
      <c r="AS805" t="s">
        <v>6703</v>
      </c>
      <c r="AT805" t="s">
        <v>12931</v>
      </c>
      <c r="AU805">
        <v>2010</v>
      </c>
      <c r="AV805">
        <v>97</v>
      </c>
      <c r="AW805">
        <v>6</v>
      </c>
      <c r="AX805" t="s">
        <v>74</v>
      </c>
      <c r="AY805" t="s">
        <v>74</v>
      </c>
      <c r="AZ805" t="s">
        <v>74</v>
      </c>
      <c r="BA805" t="s">
        <v>74</v>
      </c>
      <c r="BB805">
        <v>583</v>
      </c>
      <c r="BC805">
        <v>594</v>
      </c>
      <c r="BD805" t="s">
        <v>74</v>
      </c>
      <c r="BE805" t="s">
        <v>14324</v>
      </c>
      <c r="BF805" t="str">
        <f>HYPERLINK("http://dx.doi.org/10.1007/s00114-010-0674-y","http://dx.doi.org/10.1007/s00114-010-0674-y")</f>
        <v>http://dx.doi.org/10.1007/s00114-010-0674-y</v>
      </c>
      <c r="BG805" t="s">
        <v>74</v>
      </c>
      <c r="BH805" t="s">
        <v>74</v>
      </c>
      <c r="BI805">
        <v>12</v>
      </c>
      <c r="BJ805" t="s">
        <v>444</v>
      </c>
      <c r="BK805" t="s">
        <v>100</v>
      </c>
      <c r="BL805" t="s">
        <v>445</v>
      </c>
      <c r="BM805" t="s">
        <v>14325</v>
      </c>
      <c r="BN805">
        <v>20454771</v>
      </c>
      <c r="BO805" t="s">
        <v>134</v>
      </c>
      <c r="BP805" t="s">
        <v>74</v>
      </c>
      <c r="BQ805" t="s">
        <v>74</v>
      </c>
      <c r="BR805" t="s">
        <v>104</v>
      </c>
      <c r="BS805" t="s">
        <v>14326</v>
      </c>
      <c r="BT805" t="str">
        <f>HYPERLINK("https%3A%2F%2Fwww.webofscience.com%2Fwos%2Fwoscc%2Ffull-record%2FWOS:000277720900006","View Full Record in Web of Science")</f>
        <v>View Full Record in Web of Science</v>
      </c>
    </row>
    <row r="806" spans="1:72" x14ac:dyDescent="0.15">
      <c r="A806" t="s">
        <v>72</v>
      </c>
      <c r="B806" t="s">
        <v>14327</v>
      </c>
      <c r="C806" t="s">
        <v>74</v>
      </c>
      <c r="D806" t="s">
        <v>74</v>
      </c>
      <c r="E806" t="s">
        <v>74</v>
      </c>
      <c r="F806" t="s">
        <v>14328</v>
      </c>
      <c r="G806" t="s">
        <v>74</v>
      </c>
      <c r="H806" t="s">
        <v>74</v>
      </c>
      <c r="I806" t="s">
        <v>14329</v>
      </c>
      <c r="J806" t="s">
        <v>9079</v>
      </c>
      <c r="K806" t="s">
        <v>74</v>
      </c>
      <c r="L806" t="s">
        <v>74</v>
      </c>
      <c r="M806" t="s">
        <v>78</v>
      </c>
      <c r="N806" t="s">
        <v>79</v>
      </c>
      <c r="O806" t="s">
        <v>74</v>
      </c>
      <c r="P806" t="s">
        <v>74</v>
      </c>
      <c r="Q806" t="s">
        <v>74</v>
      </c>
      <c r="R806" t="s">
        <v>74</v>
      </c>
      <c r="S806" t="s">
        <v>74</v>
      </c>
      <c r="T806" t="s">
        <v>14330</v>
      </c>
      <c r="U806" t="s">
        <v>14331</v>
      </c>
      <c r="V806" t="s">
        <v>14332</v>
      </c>
      <c r="W806" t="s">
        <v>14333</v>
      </c>
      <c r="X806" t="s">
        <v>14334</v>
      </c>
      <c r="Y806" t="s">
        <v>14335</v>
      </c>
      <c r="Z806" t="s">
        <v>14336</v>
      </c>
      <c r="AA806" t="s">
        <v>14337</v>
      </c>
      <c r="AB806" t="s">
        <v>14338</v>
      </c>
      <c r="AC806" t="s">
        <v>14339</v>
      </c>
      <c r="AD806" t="s">
        <v>14340</v>
      </c>
      <c r="AE806" t="s">
        <v>14341</v>
      </c>
      <c r="AF806" t="s">
        <v>74</v>
      </c>
      <c r="AG806">
        <v>41</v>
      </c>
      <c r="AH806">
        <v>6</v>
      </c>
      <c r="AI806">
        <v>7</v>
      </c>
      <c r="AJ806">
        <v>1</v>
      </c>
      <c r="AK806">
        <v>23</v>
      </c>
      <c r="AL806" t="s">
        <v>945</v>
      </c>
      <c r="AM806" t="s">
        <v>946</v>
      </c>
      <c r="AN806" t="s">
        <v>947</v>
      </c>
      <c r="AO806" t="s">
        <v>9092</v>
      </c>
      <c r="AP806" t="s">
        <v>9093</v>
      </c>
      <c r="AQ806" t="s">
        <v>74</v>
      </c>
      <c r="AR806" t="s">
        <v>9094</v>
      </c>
      <c r="AS806" t="s">
        <v>9095</v>
      </c>
      <c r="AT806" t="s">
        <v>12931</v>
      </c>
      <c r="AU806">
        <v>2010</v>
      </c>
      <c r="AV806">
        <v>60</v>
      </c>
      <c r="AW806">
        <v>3</v>
      </c>
      <c r="AX806" t="s">
        <v>74</v>
      </c>
      <c r="AY806" t="s">
        <v>74</v>
      </c>
      <c r="AZ806" t="s">
        <v>582</v>
      </c>
      <c r="BA806" t="s">
        <v>74</v>
      </c>
      <c r="BB806">
        <v>479</v>
      </c>
      <c r="BC806">
        <v>489</v>
      </c>
      <c r="BD806" t="s">
        <v>74</v>
      </c>
      <c r="BE806" t="s">
        <v>14342</v>
      </c>
      <c r="BF806" t="str">
        <f>HYPERLINK("http://dx.doi.org/10.1007/s10236-010-0262-x","http://dx.doi.org/10.1007/s10236-010-0262-x")</f>
        <v>http://dx.doi.org/10.1007/s10236-010-0262-x</v>
      </c>
      <c r="BG806" t="s">
        <v>74</v>
      </c>
      <c r="BH806" t="s">
        <v>74</v>
      </c>
      <c r="BI806">
        <v>11</v>
      </c>
      <c r="BJ806" t="s">
        <v>1531</v>
      </c>
      <c r="BK806" t="s">
        <v>100</v>
      </c>
      <c r="BL806" t="s">
        <v>1531</v>
      </c>
      <c r="BM806" t="s">
        <v>14343</v>
      </c>
      <c r="BN806" t="s">
        <v>74</v>
      </c>
      <c r="BO806" t="s">
        <v>134</v>
      </c>
      <c r="BP806" t="s">
        <v>74</v>
      </c>
      <c r="BQ806" t="s">
        <v>74</v>
      </c>
      <c r="BR806" t="s">
        <v>104</v>
      </c>
      <c r="BS806" t="s">
        <v>14344</v>
      </c>
      <c r="BT806" t="str">
        <f>HYPERLINK("https%3A%2F%2Fwww.webofscience.com%2Fwos%2Fwoscc%2Ffull-record%2FWOS:000279217200001","View Full Record in Web of Science")</f>
        <v>View Full Record in Web of Science</v>
      </c>
    </row>
    <row r="807" spans="1:72" x14ac:dyDescent="0.15">
      <c r="A807" t="s">
        <v>72</v>
      </c>
      <c r="B807" t="s">
        <v>14345</v>
      </c>
      <c r="C807" t="s">
        <v>74</v>
      </c>
      <c r="D807" t="s">
        <v>74</v>
      </c>
      <c r="E807" t="s">
        <v>74</v>
      </c>
      <c r="F807" t="s">
        <v>14346</v>
      </c>
      <c r="G807" t="s">
        <v>74</v>
      </c>
      <c r="H807" t="s">
        <v>74</v>
      </c>
      <c r="I807" t="s">
        <v>14347</v>
      </c>
      <c r="J807" t="s">
        <v>9079</v>
      </c>
      <c r="K807" t="s">
        <v>74</v>
      </c>
      <c r="L807" t="s">
        <v>74</v>
      </c>
      <c r="M807" t="s">
        <v>78</v>
      </c>
      <c r="N807" t="s">
        <v>79</v>
      </c>
      <c r="O807" t="s">
        <v>74</v>
      </c>
      <c r="P807" t="s">
        <v>74</v>
      </c>
      <c r="Q807" t="s">
        <v>74</v>
      </c>
      <c r="R807" t="s">
        <v>74</v>
      </c>
      <c r="S807" t="s">
        <v>74</v>
      </c>
      <c r="T807" t="s">
        <v>14348</v>
      </c>
      <c r="U807" t="s">
        <v>14349</v>
      </c>
      <c r="V807" t="s">
        <v>14350</v>
      </c>
      <c r="W807" t="s">
        <v>14351</v>
      </c>
      <c r="X807" t="s">
        <v>14352</v>
      </c>
      <c r="Y807" t="s">
        <v>14353</v>
      </c>
      <c r="Z807" t="s">
        <v>14354</v>
      </c>
      <c r="AA807" t="s">
        <v>14355</v>
      </c>
      <c r="AB807" t="s">
        <v>14356</v>
      </c>
      <c r="AC807" t="s">
        <v>74</v>
      </c>
      <c r="AD807" t="s">
        <v>74</v>
      </c>
      <c r="AE807" t="s">
        <v>74</v>
      </c>
      <c r="AF807" t="s">
        <v>74</v>
      </c>
      <c r="AG807">
        <v>68</v>
      </c>
      <c r="AH807">
        <v>35</v>
      </c>
      <c r="AI807">
        <v>38</v>
      </c>
      <c r="AJ807">
        <v>0</v>
      </c>
      <c r="AK807">
        <v>25</v>
      </c>
      <c r="AL807" t="s">
        <v>945</v>
      </c>
      <c r="AM807" t="s">
        <v>946</v>
      </c>
      <c r="AN807" t="s">
        <v>947</v>
      </c>
      <c r="AO807" t="s">
        <v>9092</v>
      </c>
      <c r="AP807" t="s">
        <v>9093</v>
      </c>
      <c r="AQ807" t="s">
        <v>74</v>
      </c>
      <c r="AR807" t="s">
        <v>9094</v>
      </c>
      <c r="AS807" t="s">
        <v>9095</v>
      </c>
      <c r="AT807" t="s">
        <v>12931</v>
      </c>
      <c r="AU807">
        <v>2010</v>
      </c>
      <c r="AV807">
        <v>60</v>
      </c>
      <c r="AW807">
        <v>3</v>
      </c>
      <c r="AX807" t="s">
        <v>74</v>
      </c>
      <c r="AY807" t="s">
        <v>74</v>
      </c>
      <c r="AZ807" t="s">
        <v>582</v>
      </c>
      <c r="BA807" t="s">
        <v>74</v>
      </c>
      <c r="BB807">
        <v>563</v>
      </c>
      <c r="BC807">
        <v>583</v>
      </c>
      <c r="BD807" t="s">
        <v>74</v>
      </c>
      <c r="BE807" t="s">
        <v>14357</v>
      </c>
      <c r="BF807" t="str">
        <f>HYPERLINK("http://dx.doi.org/10.1007/s10236-010-0276-4","http://dx.doi.org/10.1007/s10236-010-0276-4")</f>
        <v>http://dx.doi.org/10.1007/s10236-010-0276-4</v>
      </c>
      <c r="BG807" t="s">
        <v>74</v>
      </c>
      <c r="BH807" t="s">
        <v>74</v>
      </c>
      <c r="BI807">
        <v>21</v>
      </c>
      <c r="BJ807" t="s">
        <v>1531</v>
      </c>
      <c r="BK807" t="s">
        <v>100</v>
      </c>
      <c r="BL807" t="s">
        <v>1531</v>
      </c>
      <c r="BM807" t="s">
        <v>14343</v>
      </c>
      <c r="BN807" t="s">
        <v>74</v>
      </c>
      <c r="BO807" t="s">
        <v>74</v>
      </c>
      <c r="BP807" t="s">
        <v>74</v>
      </c>
      <c r="BQ807" t="s">
        <v>74</v>
      </c>
      <c r="BR807" t="s">
        <v>104</v>
      </c>
      <c r="BS807" t="s">
        <v>14358</v>
      </c>
      <c r="BT807" t="str">
        <f>HYPERLINK("https%3A%2F%2Fwww.webofscience.com%2Fwos%2Fwoscc%2Ffull-record%2FWOS:000279217200007","View Full Record in Web of Science")</f>
        <v>View Full Record in Web of Science</v>
      </c>
    </row>
    <row r="808" spans="1:72" x14ac:dyDescent="0.15">
      <c r="A808" t="s">
        <v>72</v>
      </c>
      <c r="B808" t="s">
        <v>14359</v>
      </c>
      <c r="C808" t="s">
        <v>74</v>
      </c>
      <c r="D808" t="s">
        <v>74</v>
      </c>
      <c r="E808" t="s">
        <v>74</v>
      </c>
      <c r="F808" t="s">
        <v>14360</v>
      </c>
      <c r="G808" t="s">
        <v>74</v>
      </c>
      <c r="H808" t="s">
        <v>74</v>
      </c>
      <c r="I808" t="s">
        <v>14361</v>
      </c>
      <c r="J808" t="s">
        <v>9079</v>
      </c>
      <c r="K808" t="s">
        <v>74</v>
      </c>
      <c r="L808" t="s">
        <v>74</v>
      </c>
      <c r="M808" t="s">
        <v>78</v>
      </c>
      <c r="N808" t="s">
        <v>79</v>
      </c>
      <c r="O808" t="s">
        <v>74</v>
      </c>
      <c r="P808" t="s">
        <v>74</v>
      </c>
      <c r="Q808" t="s">
        <v>74</v>
      </c>
      <c r="R808" t="s">
        <v>74</v>
      </c>
      <c r="S808" t="s">
        <v>74</v>
      </c>
      <c r="T808" t="s">
        <v>14362</v>
      </c>
      <c r="U808" t="s">
        <v>14363</v>
      </c>
      <c r="V808" t="s">
        <v>14364</v>
      </c>
      <c r="W808" t="s">
        <v>14365</v>
      </c>
      <c r="X808" t="s">
        <v>14366</v>
      </c>
      <c r="Y808" t="s">
        <v>14367</v>
      </c>
      <c r="Z808" t="s">
        <v>14368</v>
      </c>
      <c r="AA808" t="s">
        <v>14369</v>
      </c>
      <c r="AB808" t="s">
        <v>14370</v>
      </c>
      <c r="AC808" t="s">
        <v>14371</v>
      </c>
      <c r="AD808" t="s">
        <v>14372</v>
      </c>
      <c r="AE808" t="s">
        <v>14373</v>
      </c>
      <c r="AF808" t="s">
        <v>74</v>
      </c>
      <c r="AG808">
        <v>49</v>
      </c>
      <c r="AH808">
        <v>13</v>
      </c>
      <c r="AI808">
        <v>16</v>
      </c>
      <c r="AJ808">
        <v>1</v>
      </c>
      <c r="AK808">
        <v>11</v>
      </c>
      <c r="AL808" t="s">
        <v>945</v>
      </c>
      <c r="AM808" t="s">
        <v>946</v>
      </c>
      <c r="AN808" t="s">
        <v>947</v>
      </c>
      <c r="AO808" t="s">
        <v>9092</v>
      </c>
      <c r="AP808" t="s">
        <v>9093</v>
      </c>
      <c r="AQ808" t="s">
        <v>74</v>
      </c>
      <c r="AR808" t="s">
        <v>9094</v>
      </c>
      <c r="AS808" t="s">
        <v>9095</v>
      </c>
      <c r="AT808" t="s">
        <v>12931</v>
      </c>
      <c r="AU808">
        <v>2010</v>
      </c>
      <c r="AV808">
        <v>60</v>
      </c>
      <c r="AW808">
        <v>3</v>
      </c>
      <c r="AX808" t="s">
        <v>74</v>
      </c>
      <c r="AY808" t="s">
        <v>74</v>
      </c>
      <c r="AZ808" t="s">
        <v>582</v>
      </c>
      <c r="BA808" t="s">
        <v>74</v>
      </c>
      <c r="BB808">
        <v>743</v>
      </c>
      <c r="BC808">
        <v>757</v>
      </c>
      <c r="BD808" t="s">
        <v>74</v>
      </c>
      <c r="BE808" t="s">
        <v>14374</v>
      </c>
      <c r="BF808" t="str">
        <f>HYPERLINK("http://dx.doi.org/10.1007/s10236-009-0261-y","http://dx.doi.org/10.1007/s10236-009-0261-y")</f>
        <v>http://dx.doi.org/10.1007/s10236-009-0261-y</v>
      </c>
      <c r="BG808" t="s">
        <v>74</v>
      </c>
      <c r="BH808" t="s">
        <v>74</v>
      </c>
      <c r="BI808">
        <v>15</v>
      </c>
      <c r="BJ808" t="s">
        <v>1531</v>
      </c>
      <c r="BK808" t="s">
        <v>100</v>
      </c>
      <c r="BL808" t="s">
        <v>1531</v>
      </c>
      <c r="BM808" t="s">
        <v>14343</v>
      </c>
      <c r="BN808" t="s">
        <v>74</v>
      </c>
      <c r="BO808" t="s">
        <v>74</v>
      </c>
      <c r="BP808" t="s">
        <v>74</v>
      </c>
      <c r="BQ808" t="s">
        <v>74</v>
      </c>
      <c r="BR808" t="s">
        <v>104</v>
      </c>
      <c r="BS808" t="s">
        <v>14375</v>
      </c>
      <c r="BT808" t="str">
        <f>HYPERLINK("https%3A%2F%2Fwww.webofscience.com%2Fwos%2Fwoscc%2Ffull-record%2FWOS:000279217200021","View Full Record in Web of Science")</f>
        <v>View Full Record in Web of Science</v>
      </c>
    </row>
    <row r="809" spans="1:72" x14ac:dyDescent="0.15">
      <c r="A809" t="s">
        <v>72</v>
      </c>
      <c r="B809" t="s">
        <v>14376</v>
      </c>
      <c r="C809" t="s">
        <v>74</v>
      </c>
      <c r="D809" t="s">
        <v>74</v>
      </c>
      <c r="E809" t="s">
        <v>74</v>
      </c>
      <c r="F809" t="s">
        <v>14377</v>
      </c>
      <c r="G809" t="s">
        <v>74</v>
      </c>
      <c r="H809" t="s">
        <v>74</v>
      </c>
      <c r="I809" t="s">
        <v>14378</v>
      </c>
      <c r="J809" t="s">
        <v>9102</v>
      </c>
      <c r="K809" t="s">
        <v>74</v>
      </c>
      <c r="L809" t="s">
        <v>74</v>
      </c>
      <c r="M809" t="s">
        <v>78</v>
      </c>
      <c r="N809" t="s">
        <v>79</v>
      </c>
      <c r="O809" t="s">
        <v>74</v>
      </c>
      <c r="P809" t="s">
        <v>74</v>
      </c>
      <c r="Q809" t="s">
        <v>74</v>
      </c>
      <c r="R809" t="s">
        <v>74</v>
      </c>
      <c r="S809" t="s">
        <v>74</v>
      </c>
      <c r="T809" t="s">
        <v>74</v>
      </c>
      <c r="U809" t="s">
        <v>74</v>
      </c>
      <c r="V809" t="s">
        <v>14379</v>
      </c>
      <c r="W809" t="s">
        <v>14380</v>
      </c>
      <c r="X809" t="s">
        <v>14381</v>
      </c>
      <c r="Y809" t="s">
        <v>14382</v>
      </c>
      <c r="Z809" t="s">
        <v>14383</v>
      </c>
      <c r="AA809" t="s">
        <v>14384</v>
      </c>
      <c r="AB809" t="s">
        <v>14385</v>
      </c>
      <c r="AC809" t="s">
        <v>14386</v>
      </c>
      <c r="AD809" t="s">
        <v>4335</v>
      </c>
      <c r="AE809" t="s">
        <v>14387</v>
      </c>
      <c r="AF809" t="s">
        <v>74</v>
      </c>
      <c r="AG809">
        <v>11</v>
      </c>
      <c r="AH809">
        <v>6</v>
      </c>
      <c r="AI809">
        <v>6</v>
      </c>
      <c r="AJ809">
        <v>0</v>
      </c>
      <c r="AK809">
        <v>5</v>
      </c>
      <c r="AL809" t="s">
        <v>6457</v>
      </c>
      <c r="AM809" t="s">
        <v>310</v>
      </c>
      <c r="AN809" t="s">
        <v>14388</v>
      </c>
      <c r="AO809" t="s">
        <v>9114</v>
      </c>
      <c r="AP809" t="s">
        <v>14389</v>
      </c>
      <c r="AQ809" t="s">
        <v>74</v>
      </c>
      <c r="AR809" t="s">
        <v>9115</v>
      </c>
      <c r="AS809" t="s">
        <v>9116</v>
      </c>
      <c r="AT809" t="s">
        <v>12931</v>
      </c>
      <c r="AU809">
        <v>2010</v>
      </c>
      <c r="AV809">
        <v>50</v>
      </c>
      <c r="AW809">
        <v>3</v>
      </c>
      <c r="AX809" t="s">
        <v>74</v>
      </c>
      <c r="AY809" t="s">
        <v>74</v>
      </c>
      <c r="AZ809" t="s">
        <v>74</v>
      </c>
      <c r="BA809" t="s">
        <v>74</v>
      </c>
      <c r="BB809">
        <v>317</v>
      </c>
      <c r="BC809">
        <v>326</v>
      </c>
      <c r="BD809" t="s">
        <v>74</v>
      </c>
      <c r="BE809" t="s">
        <v>14390</v>
      </c>
      <c r="BF809" t="str">
        <f>HYPERLINK("http://dx.doi.org/10.1134/S0001437010030033","http://dx.doi.org/10.1134/S0001437010030033")</f>
        <v>http://dx.doi.org/10.1134/S0001437010030033</v>
      </c>
      <c r="BG809" t="s">
        <v>74</v>
      </c>
      <c r="BH809" t="s">
        <v>74</v>
      </c>
      <c r="BI809">
        <v>10</v>
      </c>
      <c r="BJ809" t="s">
        <v>1531</v>
      </c>
      <c r="BK809" t="s">
        <v>100</v>
      </c>
      <c r="BL809" t="s">
        <v>1531</v>
      </c>
      <c r="BM809" t="s">
        <v>14391</v>
      </c>
      <c r="BN809" t="s">
        <v>74</v>
      </c>
      <c r="BO809" t="s">
        <v>74</v>
      </c>
      <c r="BP809" t="s">
        <v>74</v>
      </c>
      <c r="BQ809" t="s">
        <v>74</v>
      </c>
      <c r="BR809" t="s">
        <v>104</v>
      </c>
      <c r="BS809" t="s">
        <v>14392</v>
      </c>
      <c r="BT809" t="str">
        <f>HYPERLINK("https%3A%2F%2Fwww.webofscience.com%2Fwos%2Fwoscc%2Ffull-record%2FWOS:000279434800003","View Full Record in Web of Science")</f>
        <v>View Full Record in Web of Science</v>
      </c>
    </row>
    <row r="810" spans="1:72" x14ac:dyDescent="0.15">
      <c r="A810" t="s">
        <v>72</v>
      </c>
      <c r="B810" t="s">
        <v>14393</v>
      </c>
      <c r="C810" t="s">
        <v>74</v>
      </c>
      <c r="D810" t="s">
        <v>74</v>
      </c>
      <c r="E810" t="s">
        <v>74</v>
      </c>
      <c r="F810" t="s">
        <v>14394</v>
      </c>
      <c r="G810" t="s">
        <v>74</v>
      </c>
      <c r="H810" t="s">
        <v>74</v>
      </c>
      <c r="I810" t="s">
        <v>14395</v>
      </c>
      <c r="J810" t="s">
        <v>9102</v>
      </c>
      <c r="K810" t="s">
        <v>74</v>
      </c>
      <c r="L810" t="s">
        <v>74</v>
      </c>
      <c r="M810" t="s">
        <v>78</v>
      </c>
      <c r="N810" t="s">
        <v>79</v>
      </c>
      <c r="O810" t="s">
        <v>74</v>
      </c>
      <c r="P810" t="s">
        <v>74</v>
      </c>
      <c r="Q810" t="s">
        <v>74</v>
      </c>
      <c r="R810" t="s">
        <v>74</v>
      </c>
      <c r="S810" t="s">
        <v>74</v>
      </c>
      <c r="T810" t="s">
        <v>74</v>
      </c>
      <c r="U810" t="s">
        <v>14396</v>
      </c>
      <c r="V810" t="s">
        <v>14397</v>
      </c>
      <c r="W810" t="s">
        <v>14398</v>
      </c>
      <c r="X810" t="s">
        <v>9106</v>
      </c>
      <c r="Y810" t="s">
        <v>14399</v>
      </c>
      <c r="Z810" t="s">
        <v>14400</v>
      </c>
      <c r="AA810" t="s">
        <v>14401</v>
      </c>
      <c r="AB810" t="s">
        <v>14402</v>
      </c>
      <c r="AC810" t="s">
        <v>14403</v>
      </c>
      <c r="AD810" t="s">
        <v>14403</v>
      </c>
      <c r="AE810" t="s">
        <v>14404</v>
      </c>
      <c r="AF810" t="s">
        <v>74</v>
      </c>
      <c r="AG810">
        <v>79</v>
      </c>
      <c r="AH810">
        <v>9</v>
      </c>
      <c r="AI810">
        <v>9</v>
      </c>
      <c r="AJ810">
        <v>0</v>
      </c>
      <c r="AK810">
        <v>3</v>
      </c>
      <c r="AL810" t="s">
        <v>3198</v>
      </c>
      <c r="AM810" t="s">
        <v>310</v>
      </c>
      <c r="AN810" t="s">
        <v>3199</v>
      </c>
      <c r="AO810" t="s">
        <v>9114</v>
      </c>
      <c r="AP810" t="s">
        <v>14389</v>
      </c>
      <c r="AQ810" t="s">
        <v>74</v>
      </c>
      <c r="AR810" t="s">
        <v>9115</v>
      </c>
      <c r="AS810" t="s">
        <v>9116</v>
      </c>
      <c r="AT810" t="s">
        <v>12931</v>
      </c>
      <c r="AU810">
        <v>2010</v>
      </c>
      <c r="AV810">
        <v>50</v>
      </c>
      <c r="AW810">
        <v>3</v>
      </c>
      <c r="AX810" t="s">
        <v>74</v>
      </c>
      <c r="AY810" t="s">
        <v>74</v>
      </c>
      <c r="AZ810" t="s">
        <v>74</v>
      </c>
      <c r="BA810" t="s">
        <v>74</v>
      </c>
      <c r="BB810">
        <v>327</v>
      </c>
      <c r="BC810">
        <v>341</v>
      </c>
      <c r="BD810" t="s">
        <v>74</v>
      </c>
      <c r="BE810" t="s">
        <v>14405</v>
      </c>
      <c r="BF810" t="str">
        <f>HYPERLINK("http://dx.doi.org/10.1134/S0001437010030045","http://dx.doi.org/10.1134/S0001437010030045")</f>
        <v>http://dx.doi.org/10.1134/S0001437010030045</v>
      </c>
      <c r="BG810" t="s">
        <v>74</v>
      </c>
      <c r="BH810" t="s">
        <v>74</v>
      </c>
      <c r="BI810">
        <v>15</v>
      </c>
      <c r="BJ810" t="s">
        <v>1531</v>
      </c>
      <c r="BK810" t="s">
        <v>100</v>
      </c>
      <c r="BL810" t="s">
        <v>1531</v>
      </c>
      <c r="BM810" t="s">
        <v>14391</v>
      </c>
      <c r="BN810" t="s">
        <v>74</v>
      </c>
      <c r="BO810" t="s">
        <v>74</v>
      </c>
      <c r="BP810" t="s">
        <v>74</v>
      </c>
      <c r="BQ810" t="s">
        <v>74</v>
      </c>
      <c r="BR810" t="s">
        <v>104</v>
      </c>
      <c r="BS810" t="s">
        <v>14406</v>
      </c>
      <c r="BT810" t="str">
        <f>HYPERLINK("https%3A%2F%2Fwww.webofscience.com%2Fwos%2Fwoscc%2Ffull-record%2FWOS:000279434800004","View Full Record in Web of Science")</f>
        <v>View Full Record in Web of Science</v>
      </c>
    </row>
    <row r="811" spans="1:72" x14ac:dyDescent="0.15">
      <c r="A811" t="s">
        <v>72</v>
      </c>
      <c r="B811" t="s">
        <v>14407</v>
      </c>
      <c r="C811" t="s">
        <v>74</v>
      </c>
      <c r="D811" t="s">
        <v>74</v>
      </c>
      <c r="E811" t="s">
        <v>74</v>
      </c>
      <c r="F811" t="s">
        <v>14408</v>
      </c>
      <c r="G811" t="s">
        <v>74</v>
      </c>
      <c r="H811" t="s">
        <v>74</v>
      </c>
      <c r="I811" t="s">
        <v>14409</v>
      </c>
      <c r="J811" t="s">
        <v>14410</v>
      </c>
      <c r="K811" t="s">
        <v>74</v>
      </c>
      <c r="L811" t="s">
        <v>74</v>
      </c>
      <c r="M811" t="s">
        <v>78</v>
      </c>
      <c r="N811" t="s">
        <v>79</v>
      </c>
      <c r="O811" t="s">
        <v>74</v>
      </c>
      <c r="P811" t="s">
        <v>74</v>
      </c>
      <c r="Q811" t="s">
        <v>74</v>
      </c>
      <c r="R811" t="s">
        <v>74</v>
      </c>
      <c r="S811" t="s">
        <v>74</v>
      </c>
      <c r="T811" t="s">
        <v>74</v>
      </c>
      <c r="U811" t="s">
        <v>14411</v>
      </c>
      <c r="V811" t="s">
        <v>14412</v>
      </c>
      <c r="W811" t="s">
        <v>14413</v>
      </c>
      <c r="X811" t="s">
        <v>14414</v>
      </c>
      <c r="Y811" t="s">
        <v>14415</v>
      </c>
      <c r="Z811" t="s">
        <v>14416</v>
      </c>
      <c r="AA811" t="s">
        <v>14417</v>
      </c>
      <c r="AB811" t="s">
        <v>14418</v>
      </c>
      <c r="AC811" t="s">
        <v>14419</v>
      </c>
      <c r="AD811" t="s">
        <v>14420</v>
      </c>
      <c r="AE811" t="s">
        <v>14421</v>
      </c>
      <c r="AF811" t="s">
        <v>74</v>
      </c>
      <c r="AG811">
        <v>60</v>
      </c>
      <c r="AH811">
        <v>11</v>
      </c>
      <c r="AI811">
        <v>13</v>
      </c>
      <c r="AJ811">
        <v>0</v>
      </c>
      <c r="AK811">
        <v>32</v>
      </c>
      <c r="AL811" t="s">
        <v>923</v>
      </c>
      <c r="AM811" t="s">
        <v>339</v>
      </c>
      <c r="AN811" t="s">
        <v>340</v>
      </c>
      <c r="AO811" t="s">
        <v>14422</v>
      </c>
      <c r="AP811" t="s">
        <v>14423</v>
      </c>
      <c r="AQ811" t="s">
        <v>74</v>
      </c>
      <c r="AR811" t="s">
        <v>14410</v>
      </c>
      <c r="AS811" t="s">
        <v>14424</v>
      </c>
      <c r="AT811" t="s">
        <v>12931</v>
      </c>
      <c r="AU811">
        <v>2010</v>
      </c>
      <c r="AV811">
        <v>119</v>
      </c>
      <c r="AW811">
        <v>6</v>
      </c>
      <c r="AX811" t="s">
        <v>74</v>
      </c>
      <c r="AY811" t="s">
        <v>74</v>
      </c>
      <c r="AZ811" t="s">
        <v>74</v>
      </c>
      <c r="BA811" t="s">
        <v>74</v>
      </c>
      <c r="BB811">
        <v>935</v>
      </c>
      <c r="BC811">
        <v>945</v>
      </c>
      <c r="BD811" t="s">
        <v>74</v>
      </c>
      <c r="BE811" t="s">
        <v>14425</v>
      </c>
      <c r="BF811" t="str">
        <f>HYPERLINK("http://dx.doi.org/10.1111/j.1600-0706.2009.17915.x","http://dx.doi.org/10.1111/j.1600-0706.2009.17915.x")</f>
        <v>http://dx.doi.org/10.1111/j.1600-0706.2009.17915.x</v>
      </c>
      <c r="BG811" t="s">
        <v>74</v>
      </c>
      <c r="BH811" t="s">
        <v>74</v>
      </c>
      <c r="BI811">
        <v>11</v>
      </c>
      <c r="BJ811" t="s">
        <v>3127</v>
      </c>
      <c r="BK811" t="s">
        <v>100</v>
      </c>
      <c r="BL811" t="s">
        <v>2797</v>
      </c>
      <c r="BM811" t="s">
        <v>14426</v>
      </c>
      <c r="BN811" t="s">
        <v>74</v>
      </c>
      <c r="BO811" t="s">
        <v>134</v>
      </c>
      <c r="BP811" t="s">
        <v>74</v>
      </c>
      <c r="BQ811" t="s">
        <v>74</v>
      </c>
      <c r="BR811" t="s">
        <v>104</v>
      </c>
      <c r="BS811" t="s">
        <v>14427</v>
      </c>
      <c r="BT811" t="str">
        <f>HYPERLINK("https%3A%2F%2Fwww.webofscience.com%2Fwos%2Fwoscc%2Ffull-record%2FWOS:000278036500005","View Full Record in Web of Science")</f>
        <v>View Full Record in Web of Science</v>
      </c>
    </row>
    <row r="812" spans="1:72" x14ac:dyDescent="0.15">
      <c r="A812" t="s">
        <v>72</v>
      </c>
      <c r="B812" t="s">
        <v>14428</v>
      </c>
      <c r="C812" t="s">
        <v>74</v>
      </c>
      <c r="D812" t="s">
        <v>74</v>
      </c>
      <c r="E812" t="s">
        <v>74</v>
      </c>
      <c r="F812" t="s">
        <v>14429</v>
      </c>
      <c r="G812" t="s">
        <v>74</v>
      </c>
      <c r="H812" t="s">
        <v>74</v>
      </c>
      <c r="I812" t="s">
        <v>14430</v>
      </c>
      <c r="J812" t="s">
        <v>1226</v>
      </c>
      <c r="K812" t="s">
        <v>74</v>
      </c>
      <c r="L812" t="s">
        <v>74</v>
      </c>
      <c r="M812" t="s">
        <v>78</v>
      </c>
      <c r="N812" t="s">
        <v>79</v>
      </c>
      <c r="O812" t="s">
        <v>74</v>
      </c>
      <c r="P812" t="s">
        <v>74</v>
      </c>
      <c r="Q812" t="s">
        <v>74</v>
      </c>
      <c r="R812" t="s">
        <v>74</v>
      </c>
      <c r="S812" t="s">
        <v>74</v>
      </c>
      <c r="T812" t="s">
        <v>14431</v>
      </c>
      <c r="U812" t="s">
        <v>14432</v>
      </c>
      <c r="V812" t="s">
        <v>14433</v>
      </c>
      <c r="W812" t="s">
        <v>14434</v>
      </c>
      <c r="X812" t="s">
        <v>14435</v>
      </c>
      <c r="Y812" t="s">
        <v>14436</v>
      </c>
      <c r="Z812" t="s">
        <v>74</v>
      </c>
      <c r="AA812" t="s">
        <v>74</v>
      </c>
      <c r="AB812" t="s">
        <v>74</v>
      </c>
      <c r="AC812" t="s">
        <v>14437</v>
      </c>
      <c r="AD812" t="s">
        <v>14438</v>
      </c>
      <c r="AE812" t="s">
        <v>14439</v>
      </c>
      <c r="AF812" t="s">
        <v>74</v>
      </c>
      <c r="AG812">
        <v>87</v>
      </c>
      <c r="AH812">
        <v>6</v>
      </c>
      <c r="AI812">
        <v>7</v>
      </c>
      <c r="AJ812">
        <v>1</v>
      </c>
      <c r="AK812">
        <v>17</v>
      </c>
      <c r="AL812" t="s">
        <v>1038</v>
      </c>
      <c r="AM812" t="s">
        <v>550</v>
      </c>
      <c r="AN812" t="s">
        <v>1039</v>
      </c>
      <c r="AO812" t="s">
        <v>1236</v>
      </c>
      <c r="AP812" t="s">
        <v>1237</v>
      </c>
      <c r="AQ812" t="s">
        <v>74</v>
      </c>
      <c r="AR812" t="s">
        <v>1238</v>
      </c>
      <c r="AS812" t="s">
        <v>1239</v>
      </c>
      <c r="AT812" t="s">
        <v>13192</v>
      </c>
      <c r="AU812">
        <v>2010</v>
      </c>
      <c r="AV812">
        <v>292</v>
      </c>
      <c r="AW812" t="s">
        <v>4513</v>
      </c>
      <c r="AX812" t="s">
        <v>74</v>
      </c>
      <c r="AY812" t="s">
        <v>74</v>
      </c>
      <c r="AZ812" t="s">
        <v>74</v>
      </c>
      <c r="BA812" t="s">
        <v>74</v>
      </c>
      <c r="BB812">
        <v>1</v>
      </c>
      <c r="BC812">
        <v>11</v>
      </c>
      <c r="BD812" t="s">
        <v>74</v>
      </c>
      <c r="BE812" t="s">
        <v>14440</v>
      </c>
      <c r="BF812" t="str">
        <f>HYPERLINK("http://dx.doi.org/10.1016/j.palaeo.2010.03.021","http://dx.doi.org/10.1016/j.palaeo.2010.03.021")</f>
        <v>http://dx.doi.org/10.1016/j.palaeo.2010.03.021</v>
      </c>
      <c r="BG812" t="s">
        <v>74</v>
      </c>
      <c r="BH812" t="s">
        <v>74</v>
      </c>
      <c r="BI812">
        <v>11</v>
      </c>
      <c r="BJ812" t="s">
        <v>1241</v>
      </c>
      <c r="BK812" t="s">
        <v>100</v>
      </c>
      <c r="BL812" t="s">
        <v>1242</v>
      </c>
      <c r="BM812" t="s">
        <v>14441</v>
      </c>
      <c r="BN812" t="s">
        <v>74</v>
      </c>
      <c r="BO812" t="s">
        <v>74</v>
      </c>
      <c r="BP812" t="s">
        <v>74</v>
      </c>
      <c r="BQ812" t="s">
        <v>74</v>
      </c>
      <c r="BR812" t="s">
        <v>104</v>
      </c>
      <c r="BS812" t="s">
        <v>14442</v>
      </c>
      <c r="BT812" t="str">
        <f>HYPERLINK("https%3A%2F%2Fwww.webofscience.com%2Fwos%2Fwoscc%2Ffull-record%2FWOS:000279489200001","View Full Record in Web of Science")</f>
        <v>View Full Record in Web of Science</v>
      </c>
    </row>
    <row r="813" spans="1:72" x14ac:dyDescent="0.15">
      <c r="A813" t="s">
        <v>72</v>
      </c>
      <c r="B813" t="s">
        <v>14443</v>
      </c>
      <c r="C813" t="s">
        <v>74</v>
      </c>
      <c r="D813" t="s">
        <v>74</v>
      </c>
      <c r="E813" t="s">
        <v>74</v>
      </c>
      <c r="F813" t="s">
        <v>14444</v>
      </c>
      <c r="G813" t="s">
        <v>74</v>
      </c>
      <c r="H813" t="s">
        <v>74</v>
      </c>
      <c r="I813" t="s">
        <v>14445</v>
      </c>
      <c r="J813" t="s">
        <v>1226</v>
      </c>
      <c r="K813" t="s">
        <v>74</v>
      </c>
      <c r="L813" t="s">
        <v>74</v>
      </c>
      <c r="M813" t="s">
        <v>78</v>
      </c>
      <c r="N813" t="s">
        <v>79</v>
      </c>
      <c r="O813" t="s">
        <v>74</v>
      </c>
      <c r="P813" t="s">
        <v>74</v>
      </c>
      <c r="Q813" t="s">
        <v>74</v>
      </c>
      <c r="R813" t="s">
        <v>74</v>
      </c>
      <c r="S813" t="s">
        <v>74</v>
      </c>
      <c r="T813" t="s">
        <v>14446</v>
      </c>
      <c r="U813" t="s">
        <v>14447</v>
      </c>
      <c r="V813" t="s">
        <v>14448</v>
      </c>
      <c r="W813" t="s">
        <v>14449</v>
      </c>
      <c r="X813" t="s">
        <v>14450</v>
      </c>
      <c r="Y813" t="s">
        <v>14451</v>
      </c>
      <c r="Z813" t="s">
        <v>74</v>
      </c>
      <c r="AA813" t="s">
        <v>14452</v>
      </c>
      <c r="AB813" t="s">
        <v>14453</v>
      </c>
      <c r="AC813" t="s">
        <v>14454</v>
      </c>
      <c r="AD813" t="s">
        <v>14455</v>
      </c>
      <c r="AE813" t="s">
        <v>14456</v>
      </c>
      <c r="AF813" t="s">
        <v>74</v>
      </c>
      <c r="AG813">
        <v>85</v>
      </c>
      <c r="AH813">
        <v>80</v>
      </c>
      <c r="AI813">
        <v>83</v>
      </c>
      <c r="AJ813">
        <v>1</v>
      </c>
      <c r="AK813">
        <v>15</v>
      </c>
      <c r="AL813" t="s">
        <v>1038</v>
      </c>
      <c r="AM813" t="s">
        <v>550</v>
      </c>
      <c r="AN813" t="s">
        <v>1039</v>
      </c>
      <c r="AO813" t="s">
        <v>1236</v>
      </c>
      <c r="AP813" t="s">
        <v>1237</v>
      </c>
      <c r="AQ813" t="s">
        <v>74</v>
      </c>
      <c r="AR813" t="s">
        <v>1238</v>
      </c>
      <c r="AS813" t="s">
        <v>1239</v>
      </c>
      <c r="AT813" t="s">
        <v>13192</v>
      </c>
      <c r="AU813">
        <v>2010</v>
      </c>
      <c r="AV813">
        <v>292</v>
      </c>
      <c r="AW813" t="s">
        <v>4513</v>
      </c>
      <c r="AX813" t="s">
        <v>74</v>
      </c>
      <c r="AY813" t="s">
        <v>74</v>
      </c>
      <c r="AZ813" t="s">
        <v>74</v>
      </c>
      <c r="BA813" t="s">
        <v>74</v>
      </c>
      <c r="BB813">
        <v>82</v>
      </c>
      <c r="BC813">
        <v>95</v>
      </c>
      <c r="BD813" t="s">
        <v>74</v>
      </c>
      <c r="BE813" t="s">
        <v>14457</v>
      </c>
      <c r="BF813" t="str">
        <f>HYPERLINK("http://dx.doi.org/10.1016/j.palaeo.2010.03.029","http://dx.doi.org/10.1016/j.palaeo.2010.03.029")</f>
        <v>http://dx.doi.org/10.1016/j.palaeo.2010.03.029</v>
      </c>
      <c r="BG813" t="s">
        <v>74</v>
      </c>
      <c r="BH813" t="s">
        <v>74</v>
      </c>
      <c r="BI813">
        <v>14</v>
      </c>
      <c r="BJ813" t="s">
        <v>1241</v>
      </c>
      <c r="BK813" t="s">
        <v>100</v>
      </c>
      <c r="BL813" t="s">
        <v>1242</v>
      </c>
      <c r="BM813" t="s">
        <v>14441</v>
      </c>
      <c r="BN813" t="s">
        <v>74</v>
      </c>
      <c r="BO813" t="s">
        <v>1025</v>
      </c>
      <c r="BP813" t="s">
        <v>74</v>
      </c>
      <c r="BQ813" t="s">
        <v>74</v>
      </c>
      <c r="BR813" t="s">
        <v>104</v>
      </c>
      <c r="BS813" t="s">
        <v>14458</v>
      </c>
      <c r="BT813" t="str">
        <f>HYPERLINK("https%3A%2F%2Fwww.webofscience.com%2Fwos%2Fwoscc%2Ffull-record%2FWOS:000279489200007","View Full Record in Web of Science")</f>
        <v>View Full Record in Web of Science</v>
      </c>
    </row>
    <row r="814" spans="1:72" x14ac:dyDescent="0.15">
      <c r="A814" t="s">
        <v>72</v>
      </c>
      <c r="B814" t="s">
        <v>14459</v>
      </c>
      <c r="C814" t="s">
        <v>74</v>
      </c>
      <c r="D814" t="s">
        <v>74</v>
      </c>
      <c r="E814" t="s">
        <v>74</v>
      </c>
      <c r="F814" t="s">
        <v>14460</v>
      </c>
      <c r="G814" t="s">
        <v>74</v>
      </c>
      <c r="H814" t="s">
        <v>74</v>
      </c>
      <c r="I814" t="s">
        <v>14461</v>
      </c>
      <c r="J814" t="s">
        <v>1226</v>
      </c>
      <c r="K814" t="s">
        <v>74</v>
      </c>
      <c r="L814" t="s">
        <v>74</v>
      </c>
      <c r="M814" t="s">
        <v>78</v>
      </c>
      <c r="N814" t="s">
        <v>79</v>
      </c>
      <c r="O814" t="s">
        <v>74</v>
      </c>
      <c r="P814" t="s">
        <v>74</v>
      </c>
      <c r="Q814" t="s">
        <v>74</v>
      </c>
      <c r="R814" t="s">
        <v>74</v>
      </c>
      <c r="S814" t="s">
        <v>74</v>
      </c>
      <c r="T814" t="s">
        <v>14462</v>
      </c>
      <c r="U814" t="s">
        <v>14463</v>
      </c>
      <c r="V814" t="s">
        <v>14464</v>
      </c>
      <c r="W814" t="s">
        <v>14465</v>
      </c>
      <c r="X814" t="s">
        <v>14466</v>
      </c>
      <c r="Y814" t="s">
        <v>14467</v>
      </c>
      <c r="Z814" t="s">
        <v>74</v>
      </c>
      <c r="AA814" t="s">
        <v>14468</v>
      </c>
      <c r="AB814" t="s">
        <v>14469</v>
      </c>
      <c r="AC814" t="s">
        <v>14470</v>
      </c>
      <c r="AD814" t="s">
        <v>14471</v>
      </c>
      <c r="AE814" t="s">
        <v>14472</v>
      </c>
      <c r="AF814" t="s">
        <v>74</v>
      </c>
      <c r="AG814">
        <v>61</v>
      </c>
      <c r="AH814">
        <v>25</v>
      </c>
      <c r="AI814">
        <v>27</v>
      </c>
      <c r="AJ814">
        <v>0</v>
      </c>
      <c r="AK814">
        <v>12</v>
      </c>
      <c r="AL814" t="s">
        <v>1038</v>
      </c>
      <c r="AM814" t="s">
        <v>550</v>
      </c>
      <c r="AN814" t="s">
        <v>1039</v>
      </c>
      <c r="AO814" t="s">
        <v>1236</v>
      </c>
      <c r="AP814" t="s">
        <v>1237</v>
      </c>
      <c r="AQ814" t="s">
        <v>74</v>
      </c>
      <c r="AR814" t="s">
        <v>1238</v>
      </c>
      <c r="AS814" t="s">
        <v>1239</v>
      </c>
      <c r="AT814" t="s">
        <v>13192</v>
      </c>
      <c r="AU814">
        <v>2010</v>
      </c>
      <c r="AV814">
        <v>292</v>
      </c>
      <c r="AW814" t="s">
        <v>4513</v>
      </c>
      <c r="AX814" t="s">
        <v>74</v>
      </c>
      <c r="AY814" t="s">
        <v>74</v>
      </c>
      <c r="AZ814" t="s">
        <v>74</v>
      </c>
      <c r="BA814" t="s">
        <v>74</v>
      </c>
      <c r="BB814">
        <v>306</v>
      </c>
      <c r="BC814">
        <v>318</v>
      </c>
      <c r="BD814" t="s">
        <v>74</v>
      </c>
      <c r="BE814" t="s">
        <v>14473</v>
      </c>
      <c r="BF814" t="str">
        <f>HYPERLINK("http://dx.doi.org/10.1016/j.palaeo.2010.04.003","http://dx.doi.org/10.1016/j.palaeo.2010.04.003")</f>
        <v>http://dx.doi.org/10.1016/j.palaeo.2010.04.003</v>
      </c>
      <c r="BG814" t="s">
        <v>74</v>
      </c>
      <c r="BH814" t="s">
        <v>74</v>
      </c>
      <c r="BI814">
        <v>13</v>
      </c>
      <c r="BJ814" t="s">
        <v>1241</v>
      </c>
      <c r="BK814" t="s">
        <v>100</v>
      </c>
      <c r="BL814" t="s">
        <v>1242</v>
      </c>
      <c r="BM814" t="s">
        <v>14441</v>
      </c>
      <c r="BN814" t="s">
        <v>74</v>
      </c>
      <c r="BO814" t="s">
        <v>1025</v>
      </c>
      <c r="BP814" t="s">
        <v>74</v>
      </c>
      <c r="BQ814" t="s">
        <v>74</v>
      </c>
      <c r="BR814" t="s">
        <v>104</v>
      </c>
      <c r="BS814" t="s">
        <v>14474</v>
      </c>
      <c r="BT814" t="str">
        <f>HYPERLINK("https%3A%2F%2Fwww.webofscience.com%2Fwos%2Fwoscc%2Ffull-record%2FWOS:000279489200024","View Full Record in Web of Science")</f>
        <v>View Full Record in Web of Science</v>
      </c>
    </row>
    <row r="815" spans="1:72" x14ac:dyDescent="0.15">
      <c r="A815" t="s">
        <v>72</v>
      </c>
      <c r="B815" t="s">
        <v>14475</v>
      </c>
      <c r="C815" t="s">
        <v>74</v>
      </c>
      <c r="D815" t="s">
        <v>74</v>
      </c>
      <c r="E815" t="s">
        <v>74</v>
      </c>
      <c r="F815" t="s">
        <v>14476</v>
      </c>
      <c r="G815" t="s">
        <v>74</v>
      </c>
      <c r="H815" t="s">
        <v>74</v>
      </c>
      <c r="I815" t="s">
        <v>14477</v>
      </c>
      <c r="J815" t="s">
        <v>14478</v>
      </c>
      <c r="K815" t="s">
        <v>74</v>
      </c>
      <c r="L815" t="s">
        <v>74</v>
      </c>
      <c r="M815" t="s">
        <v>78</v>
      </c>
      <c r="N815" t="s">
        <v>79</v>
      </c>
      <c r="O815" t="s">
        <v>74</v>
      </c>
      <c r="P815" t="s">
        <v>74</v>
      </c>
      <c r="Q815" t="s">
        <v>74</v>
      </c>
      <c r="R815" t="s">
        <v>74</v>
      </c>
      <c r="S815" t="s">
        <v>74</v>
      </c>
      <c r="T815" t="s">
        <v>14479</v>
      </c>
      <c r="U815" t="s">
        <v>14480</v>
      </c>
      <c r="V815" t="s">
        <v>14481</v>
      </c>
      <c r="W815" t="s">
        <v>8643</v>
      </c>
      <c r="X815" t="s">
        <v>690</v>
      </c>
      <c r="Y815" t="s">
        <v>14482</v>
      </c>
      <c r="Z815" t="s">
        <v>14483</v>
      </c>
      <c r="AA815" t="s">
        <v>74</v>
      </c>
      <c r="AB815" t="s">
        <v>74</v>
      </c>
      <c r="AC815" t="s">
        <v>693</v>
      </c>
      <c r="AD815" t="s">
        <v>337</v>
      </c>
      <c r="AE815" t="s">
        <v>74</v>
      </c>
      <c r="AF815" t="s">
        <v>74</v>
      </c>
      <c r="AG815">
        <v>29</v>
      </c>
      <c r="AH815">
        <v>17</v>
      </c>
      <c r="AI815">
        <v>17</v>
      </c>
      <c r="AJ815">
        <v>1</v>
      </c>
      <c r="AK815">
        <v>28</v>
      </c>
      <c r="AL815" t="s">
        <v>923</v>
      </c>
      <c r="AM815" t="s">
        <v>339</v>
      </c>
      <c r="AN815" t="s">
        <v>340</v>
      </c>
      <c r="AO815" t="s">
        <v>14484</v>
      </c>
      <c r="AP815" t="s">
        <v>14485</v>
      </c>
      <c r="AQ815" t="s">
        <v>74</v>
      </c>
      <c r="AR815" t="s">
        <v>14486</v>
      </c>
      <c r="AS815" t="s">
        <v>14487</v>
      </c>
      <c r="AT815" t="s">
        <v>12931</v>
      </c>
      <c r="AU815">
        <v>2010</v>
      </c>
      <c r="AV815">
        <v>35</v>
      </c>
      <c r="AW815">
        <v>2</v>
      </c>
      <c r="AX815" t="s">
        <v>74</v>
      </c>
      <c r="AY815" t="s">
        <v>74</v>
      </c>
      <c r="AZ815" t="s">
        <v>74</v>
      </c>
      <c r="BA815" t="s">
        <v>74</v>
      </c>
      <c r="BB815">
        <v>140</v>
      </c>
      <c r="BC815">
        <v>147</v>
      </c>
      <c r="BD815" t="s">
        <v>74</v>
      </c>
      <c r="BE815" t="s">
        <v>14488</v>
      </c>
      <c r="BF815" t="str">
        <f>HYPERLINK("http://dx.doi.org/10.1111/j.1365-3032.2010.00722.x","http://dx.doi.org/10.1111/j.1365-3032.2010.00722.x")</f>
        <v>http://dx.doi.org/10.1111/j.1365-3032.2010.00722.x</v>
      </c>
      <c r="BG815" t="s">
        <v>74</v>
      </c>
      <c r="BH815" t="s">
        <v>74</v>
      </c>
      <c r="BI815">
        <v>8</v>
      </c>
      <c r="BJ815" t="s">
        <v>14489</v>
      </c>
      <c r="BK815" t="s">
        <v>100</v>
      </c>
      <c r="BL815" t="s">
        <v>14489</v>
      </c>
      <c r="BM815" t="s">
        <v>14490</v>
      </c>
      <c r="BN815" t="s">
        <v>74</v>
      </c>
      <c r="BO815" t="s">
        <v>74</v>
      </c>
      <c r="BP815" t="s">
        <v>74</v>
      </c>
      <c r="BQ815" t="s">
        <v>74</v>
      </c>
      <c r="BR815" t="s">
        <v>104</v>
      </c>
      <c r="BS815" t="s">
        <v>14491</v>
      </c>
      <c r="BT815" t="str">
        <f>HYPERLINK("https%3A%2F%2Fwww.webofscience.com%2Fwos%2Fwoscc%2Ffull-record%2FWOS:000277806900005","View Full Record in Web of Science")</f>
        <v>View Full Record in Web of Science</v>
      </c>
    </row>
    <row r="816" spans="1:72" x14ac:dyDescent="0.15">
      <c r="A816" t="s">
        <v>72</v>
      </c>
      <c r="B816" t="s">
        <v>14492</v>
      </c>
      <c r="C816" t="s">
        <v>74</v>
      </c>
      <c r="D816" t="s">
        <v>74</v>
      </c>
      <c r="E816" t="s">
        <v>74</v>
      </c>
      <c r="F816" t="s">
        <v>14493</v>
      </c>
      <c r="G816" t="s">
        <v>74</v>
      </c>
      <c r="H816" t="s">
        <v>74</v>
      </c>
      <c r="I816" t="s">
        <v>14494</v>
      </c>
      <c r="J816" t="s">
        <v>1265</v>
      </c>
      <c r="K816" t="s">
        <v>74</v>
      </c>
      <c r="L816" t="s">
        <v>74</v>
      </c>
      <c r="M816" t="s">
        <v>78</v>
      </c>
      <c r="N816" t="s">
        <v>79</v>
      </c>
      <c r="O816" t="s">
        <v>74</v>
      </c>
      <c r="P816" t="s">
        <v>74</v>
      </c>
      <c r="Q816" t="s">
        <v>74</v>
      </c>
      <c r="R816" t="s">
        <v>74</v>
      </c>
      <c r="S816" t="s">
        <v>74</v>
      </c>
      <c r="T816" t="s">
        <v>14495</v>
      </c>
      <c r="U816" t="s">
        <v>14496</v>
      </c>
      <c r="V816" t="s">
        <v>14497</v>
      </c>
      <c r="W816" t="s">
        <v>14498</v>
      </c>
      <c r="X816" t="s">
        <v>14499</v>
      </c>
      <c r="Y816" t="s">
        <v>14500</v>
      </c>
      <c r="Z816" t="s">
        <v>14501</v>
      </c>
      <c r="AA816" t="s">
        <v>12950</v>
      </c>
      <c r="AB816" t="s">
        <v>12951</v>
      </c>
      <c r="AC816" t="s">
        <v>14502</v>
      </c>
      <c r="AD816" t="s">
        <v>14503</v>
      </c>
      <c r="AE816" t="s">
        <v>14504</v>
      </c>
      <c r="AF816" t="s">
        <v>74</v>
      </c>
      <c r="AG816">
        <v>35</v>
      </c>
      <c r="AH816">
        <v>26</v>
      </c>
      <c r="AI816">
        <v>29</v>
      </c>
      <c r="AJ816">
        <v>0</v>
      </c>
      <c r="AK816">
        <v>7</v>
      </c>
      <c r="AL816" t="s">
        <v>464</v>
      </c>
      <c r="AM816" t="s">
        <v>310</v>
      </c>
      <c r="AN816" t="s">
        <v>971</v>
      </c>
      <c r="AO816" t="s">
        <v>1277</v>
      </c>
      <c r="AP816" t="s">
        <v>1278</v>
      </c>
      <c r="AQ816" t="s">
        <v>74</v>
      </c>
      <c r="AR816" t="s">
        <v>1279</v>
      </c>
      <c r="AS816" t="s">
        <v>1280</v>
      </c>
      <c r="AT816" t="s">
        <v>12931</v>
      </c>
      <c r="AU816">
        <v>2010</v>
      </c>
      <c r="AV816">
        <v>33</v>
      </c>
      <c r="AW816">
        <v>6</v>
      </c>
      <c r="AX816" t="s">
        <v>74</v>
      </c>
      <c r="AY816" t="s">
        <v>74</v>
      </c>
      <c r="AZ816" t="s">
        <v>74</v>
      </c>
      <c r="BA816" t="s">
        <v>74</v>
      </c>
      <c r="BB816">
        <v>747</v>
      </c>
      <c r="BC816">
        <v>759</v>
      </c>
      <c r="BD816" t="s">
        <v>74</v>
      </c>
      <c r="BE816" t="s">
        <v>14505</v>
      </c>
      <c r="BF816" t="str">
        <f>HYPERLINK("http://dx.doi.org/10.1007/s00300-009-0752-9","http://dx.doi.org/10.1007/s00300-009-0752-9")</f>
        <v>http://dx.doi.org/10.1007/s00300-009-0752-9</v>
      </c>
      <c r="BG816" t="s">
        <v>74</v>
      </c>
      <c r="BH816" t="s">
        <v>74</v>
      </c>
      <c r="BI816">
        <v>13</v>
      </c>
      <c r="BJ816" t="s">
        <v>1282</v>
      </c>
      <c r="BK816" t="s">
        <v>100</v>
      </c>
      <c r="BL816" t="s">
        <v>680</v>
      </c>
      <c r="BM816" t="s">
        <v>14506</v>
      </c>
      <c r="BN816" t="s">
        <v>74</v>
      </c>
      <c r="BO816" t="s">
        <v>74</v>
      </c>
      <c r="BP816" t="s">
        <v>74</v>
      </c>
      <c r="BQ816" t="s">
        <v>74</v>
      </c>
      <c r="BR816" t="s">
        <v>104</v>
      </c>
      <c r="BS816" t="s">
        <v>14507</v>
      </c>
      <c r="BT816" t="str">
        <f>HYPERLINK("https%3A%2F%2Fwww.webofscience.com%2Fwos%2Fwoscc%2Ffull-record%2FWOS:000277556400003","View Full Record in Web of Science")</f>
        <v>View Full Record in Web of Science</v>
      </c>
    </row>
    <row r="817" spans="1:72" x14ac:dyDescent="0.15">
      <c r="A817" t="s">
        <v>72</v>
      </c>
      <c r="B817" t="s">
        <v>12850</v>
      </c>
      <c r="C817" t="s">
        <v>74</v>
      </c>
      <c r="D817" t="s">
        <v>74</v>
      </c>
      <c r="E817" t="s">
        <v>74</v>
      </c>
      <c r="F817" t="s">
        <v>12851</v>
      </c>
      <c r="G817" t="s">
        <v>74</v>
      </c>
      <c r="H817" t="s">
        <v>74</v>
      </c>
      <c r="I817" t="s">
        <v>14508</v>
      </c>
      <c r="J817" t="s">
        <v>1265</v>
      </c>
      <c r="K817" t="s">
        <v>74</v>
      </c>
      <c r="L817" t="s">
        <v>74</v>
      </c>
      <c r="M817" t="s">
        <v>78</v>
      </c>
      <c r="N817" t="s">
        <v>79</v>
      </c>
      <c r="O817" t="s">
        <v>74</v>
      </c>
      <c r="P817" t="s">
        <v>74</v>
      </c>
      <c r="Q817" t="s">
        <v>74</v>
      </c>
      <c r="R817" t="s">
        <v>74</v>
      </c>
      <c r="S817" t="s">
        <v>74</v>
      </c>
      <c r="T817" t="s">
        <v>14509</v>
      </c>
      <c r="U817" t="s">
        <v>14510</v>
      </c>
      <c r="V817" t="s">
        <v>14511</v>
      </c>
      <c r="W817" t="s">
        <v>14512</v>
      </c>
      <c r="X817" t="s">
        <v>12857</v>
      </c>
      <c r="Y817" t="s">
        <v>14513</v>
      </c>
      <c r="Z817" t="s">
        <v>12859</v>
      </c>
      <c r="AA817" t="s">
        <v>12860</v>
      </c>
      <c r="AB817" t="s">
        <v>14514</v>
      </c>
      <c r="AC817" t="s">
        <v>14515</v>
      </c>
      <c r="AD817" t="s">
        <v>14516</v>
      </c>
      <c r="AE817" t="s">
        <v>14517</v>
      </c>
      <c r="AF817" t="s">
        <v>74</v>
      </c>
      <c r="AG817">
        <v>28</v>
      </c>
      <c r="AH817">
        <v>17</v>
      </c>
      <c r="AI817">
        <v>17</v>
      </c>
      <c r="AJ817">
        <v>0</v>
      </c>
      <c r="AK817">
        <v>2</v>
      </c>
      <c r="AL817" t="s">
        <v>464</v>
      </c>
      <c r="AM817" t="s">
        <v>310</v>
      </c>
      <c r="AN817" t="s">
        <v>465</v>
      </c>
      <c r="AO817" t="s">
        <v>1277</v>
      </c>
      <c r="AP817" t="s">
        <v>1278</v>
      </c>
      <c r="AQ817" t="s">
        <v>74</v>
      </c>
      <c r="AR817" t="s">
        <v>1279</v>
      </c>
      <c r="AS817" t="s">
        <v>1280</v>
      </c>
      <c r="AT817" t="s">
        <v>12931</v>
      </c>
      <c r="AU817">
        <v>2010</v>
      </c>
      <c r="AV817">
        <v>33</v>
      </c>
      <c r="AW817">
        <v>6</v>
      </c>
      <c r="AX817" t="s">
        <v>74</v>
      </c>
      <c r="AY817" t="s">
        <v>74</v>
      </c>
      <c r="AZ817" t="s">
        <v>74</v>
      </c>
      <c r="BA817" t="s">
        <v>74</v>
      </c>
      <c r="BB817">
        <v>761</v>
      </c>
      <c r="BC817">
        <v>773</v>
      </c>
      <c r="BD817" t="s">
        <v>74</v>
      </c>
      <c r="BE817" t="s">
        <v>14518</v>
      </c>
      <c r="BF817" t="str">
        <f>HYPERLINK("http://dx.doi.org/10.1007/s00300-009-0754-7","http://dx.doi.org/10.1007/s00300-009-0754-7")</f>
        <v>http://dx.doi.org/10.1007/s00300-009-0754-7</v>
      </c>
      <c r="BG817" t="s">
        <v>74</v>
      </c>
      <c r="BH817" t="s">
        <v>74</v>
      </c>
      <c r="BI817">
        <v>13</v>
      </c>
      <c r="BJ817" t="s">
        <v>1282</v>
      </c>
      <c r="BK817" t="s">
        <v>100</v>
      </c>
      <c r="BL817" t="s">
        <v>680</v>
      </c>
      <c r="BM817" t="s">
        <v>14506</v>
      </c>
      <c r="BN817" t="s">
        <v>74</v>
      </c>
      <c r="BO817" t="s">
        <v>74</v>
      </c>
      <c r="BP817" t="s">
        <v>74</v>
      </c>
      <c r="BQ817" t="s">
        <v>74</v>
      </c>
      <c r="BR817" t="s">
        <v>104</v>
      </c>
      <c r="BS817" t="s">
        <v>14519</v>
      </c>
      <c r="BT817" t="str">
        <f>HYPERLINK("https%3A%2F%2Fwww.webofscience.com%2Fwos%2Fwoscc%2Ffull-record%2FWOS:000277556400004","View Full Record in Web of Science")</f>
        <v>View Full Record in Web of Science</v>
      </c>
    </row>
    <row r="818" spans="1:72" x14ac:dyDescent="0.15">
      <c r="A818" t="s">
        <v>72</v>
      </c>
      <c r="B818" t="s">
        <v>14520</v>
      </c>
      <c r="C818" t="s">
        <v>74</v>
      </c>
      <c r="D818" t="s">
        <v>74</v>
      </c>
      <c r="E818" t="s">
        <v>74</v>
      </c>
      <c r="F818" t="s">
        <v>14521</v>
      </c>
      <c r="G818" t="s">
        <v>74</v>
      </c>
      <c r="H818" t="s">
        <v>74</v>
      </c>
      <c r="I818" t="s">
        <v>14522</v>
      </c>
      <c r="J818" t="s">
        <v>1265</v>
      </c>
      <c r="K818" t="s">
        <v>74</v>
      </c>
      <c r="L818" t="s">
        <v>74</v>
      </c>
      <c r="M818" t="s">
        <v>78</v>
      </c>
      <c r="N818" t="s">
        <v>79</v>
      </c>
      <c r="O818" t="s">
        <v>74</v>
      </c>
      <c r="P818" t="s">
        <v>74</v>
      </c>
      <c r="Q818" t="s">
        <v>74</v>
      </c>
      <c r="R818" t="s">
        <v>74</v>
      </c>
      <c r="S818" t="s">
        <v>74</v>
      </c>
      <c r="T818" t="s">
        <v>14523</v>
      </c>
      <c r="U818" t="s">
        <v>14524</v>
      </c>
      <c r="V818" t="s">
        <v>14525</v>
      </c>
      <c r="W818" t="s">
        <v>14526</v>
      </c>
      <c r="X818" t="s">
        <v>14527</v>
      </c>
      <c r="Y818" t="s">
        <v>14528</v>
      </c>
      <c r="Z818" t="s">
        <v>14529</v>
      </c>
      <c r="AA818" t="s">
        <v>74</v>
      </c>
      <c r="AB818" t="s">
        <v>14530</v>
      </c>
      <c r="AC818" t="s">
        <v>74</v>
      </c>
      <c r="AD818" t="s">
        <v>74</v>
      </c>
      <c r="AE818" t="s">
        <v>74</v>
      </c>
      <c r="AF818" t="s">
        <v>74</v>
      </c>
      <c r="AG818">
        <v>57</v>
      </c>
      <c r="AH818">
        <v>16</v>
      </c>
      <c r="AI818">
        <v>17</v>
      </c>
      <c r="AJ818">
        <v>0</v>
      </c>
      <c r="AK818">
        <v>15</v>
      </c>
      <c r="AL818" t="s">
        <v>464</v>
      </c>
      <c r="AM818" t="s">
        <v>310</v>
      </c>
      <c r="AN818" t="s">
        <v>971</v>
      </c>
      <c r="AO818" t="s">
        <v>1277</v>
      </c>
      <c r="AP818" t="s">
        <v>1278</v>
      </c>
      <c r="AQ818" t="s">
        <v>74</v>
      </c>
      <c r="AR818" t="s">
        <v>1279</v>
      </c>
      <c r="AS818" t="s">
        <v>1280</v>
      </c>
      <c r="AT818" t="s">
        <v>12931</v>
      </c>
      <c r="AU818">
        <v>2010</v>
      </c>
      <c r="AV818">
        <v>33</v>
      </c>
      <c r="AW818">
        <v>6</v>
      </c>
      <c r="AX818" t="s">
        <v>74</v>
      </c>
      <c r="AY818" t="s">
        <v>74</v>
      </c>
      <c r="AZ818" t="s">
        <v>74</v>
      </c>
      <c r="BA818" t="s">
        <v>74</v>
      </c>
      <c r="BB818">
        <v>799</v>
      </c>
      <c r="BC818">
        <v>806</v>
      </c>
      <c r="BD818" t="s">
        <v>74</v>
      </c>
      <c r="BE818" t="s">
        <v>14531</v>
      </c>
      <c r="BF818" t="str">
        <f>HYPERLINK("http://dx.doi.org/10.1007/s00300-009-0757-4","http://dx.doi.org/10.1007/s00300-009-0757-4")</f>
        <v>http://dx.doi.org/10.1007/s00300-009-0757-4</v>
      </c>
      <c r="BG818" t="s">
        <v>74</v>
      </c>
      <c r="BH818" t="s">
        <v>74</v>
      </c>
      <c r="BI818">
        <v>8</v>
      </c>
      <c r="BJ818" t="s">
        <v>1282</v>
      </c>
      <c r="BK818" t="s">
        <v>100</v>
      </c>
      <c r="BL818" t="s">
        <v>680</v>
      </c>
      <c r="BM818" t="s">
        <v>14506</v>
      </c>
      <c r="BN818" t="s">
        <v>74</v>
      </c>
      <c r="BO818" t="s">
        <v>631</v>
      </c>
      <c r="BP818" t="s">
        <v>74</v>
      </c>
      <c r="BQ818" t="s">
        <v>74</v>
      </c>
      <c r="BR818" t="s">
        <v>104</v>
      </c>
      <c r="BS818" t="s">
        <v>14532</v>
      </c>
      <c r="BT818" t="str">
        <f>HYPERLINK("https%3A%2F%2Fwww.webofscience.com%2Fwos%2Fwoscc%2Ffull-record%2FWOS:000277556400007","View Full Record in Web of Science")</f>
        <v>View Full Record in Web of Science</v>
      </c>
    </row>
    <row r="819" spans="1:72" x14ac:dyDescent="0.15">
      <c r="A819" t="s">
        <v>72</v>
      </c>
      <c r="B819" t="s">
        <v>14533</v>
      </c>
      <c r="C819" t="s">
        <v>74</v>
      </c>
      <c r="D819" t="s">
        <v>74</v>
      </c>
      <c r="E819" t="s">
        <v>74</v>
      </c>
      <c r="F819" t="s">
        <v>14534</v>
      </c>
      <c r="G819" t="s">
        <v>74</v>
      </c>
      <c r="H819" t="s">
        <v>74</v>
      </c>
      <c r="I819" t="s">
        <v>14535</v>
      </c>
      <c r="J819" t="s">
        <v>1265</v>
      </c>
      <c r="K819" t="s">
        <v>74</v>
      </c>
      <c r="L819" t="s">
        <v>74</v>
      </c>
      <c r="M819" t="s">
        <v>78</v>
      </c>
      <c r="N819" t="s">
        <v>79</v>
      </c>
      <c r="O819" t="s">
        <v>74</v>
      </c>
      <c r="P819" t="s">
        <v>74</v>
      </c>
      <c r="Q819" t="s">
        <v>74</v>
      </c>
      <c r="R819" t="s">
        <v>74</v>
      </c>
      <c r="S819" t="s">
        <v>74</v>
      </c>
      <c r="T819" t="s">
        <v>14536</v>
      </c>
      <c r="U819" t="s">
        <v>14537</v>
      </c>
      <c r="V819" t="s">
        <v>14538</v>
      </c>
      <c r="W819" t="s">
        <v>14539</v>
      </c>
      <c r="X819" t="s">
        <v>14540</v>
      </c>
      <c r="Y819" t="s">
        <v>14541</v>
      </c>
      <c r="Z819" t="s">
        <v>14542</v>
      </c>
      <c r="AA819" t="s">
        <v>14543</v>
      </c>
      <c r="AB819" t="s">
        <v>14544</v>
      </c>
      <c r="AC819" t="s">
        <v>74</v>
      </c>
      <c r="AD819" t="s">
        <v>74</v>
      </c>
      <c r="AE819" t="s">
        <v>74</v>
      </c>
      <c r="AF819" t="s">
        <v>74</v>
      </c>
      <c r="AG819">
        <v>28</v>
      </c>
      <c r="AH819">
        <v>18</v>
      </c>
      <c r="AI819">
        <v>20</v>
      </c>
      <c r="AJ819">
        <v>6</v>
      </c>
      <c r="AK819">
        <v>41</v>
      </c>
      <c r="AL819" t="s">
        <v>464</v>
      </c>
      <c r="AM819" t="s">
        <v>310</v>
      </c>
      <c r="AN819" t="s">
        <v>971</v>
      </c>
      <c r="AO819" t="s">
        <v>1277</v>
      </c>
      <c r="AP819" t="s">
        <v>1278</v>
      </c>
      <c r="AQ819" t="s">
        <v>74</v>
      </c>
      <c r="AR819" t="s">
        <v>1279</v>
      </c>
      <c r="AS819" t="s">
        <v>1280</v>
      </c>
      <c r="AT819" t="s">
        <v>12931</v>
      </c>
      <c r="AU819">
        <v>2010</v>
      </c>
      <c r="AV819">
        <v>33</v>
      </c>
      <c r="AW819">
        <v>6</v>
      </c>
      <c r="AX819" t="s">
        <v>74</v>
      </c>
      <c r="AY819" t="s">
        <v>74</v>
      </c>
      <c r="AZ819" t="s">
        <v>74</v>
      </c>
      <c r="BA819" t="s">
        <v>74</v>
      </c>
      <c r="BB819">
        <v>807</v>
      </c>
      <c r="BC819">
        <v>822</v>
      </c>
      <c r="BD819" t="s">
        <v>74</v>
      </c>
      <c r="BE819" t="s">
        <v>14545</v>
      </c>
      <c r="BF819" t="str">
        <f>HYPERLINK("http://dx.doi.org/10.1007/s00300-009-0759-2","http://dx.doi.org/10.1007/s00300-009-0759-2")</f>
        <v>http://dx.doi.org/10.1007/s00300-009-0759-2</v>
      </c>
      <c r="BG819" t="s">
        <v>74</v>
      </c>
      <c r="BH819" t="s">
        <v>74</v>
      </c>
      <c r="BI819">
        <v>16</v>
      </c>
      <c r="BJ819" t="s">
        <v>1282</v>
      </c>
      <c r="BK819" t="s">
        <v>100</v>
      </c>
      <c r="BL819" t="s">
        <v>680</v>
      </c>
      <c r="BM819" t="s">
        <v>14506</v>
      </c>
      <c r="BN819" t="s">
        <v>74</v>
      </c>
      <c r="BO819" t="s">
        <v>74</v>
      </c>
      <c r="BP819" t="s">
        <v>74</v>
      </c>
      <c r="BQ819" t="s">
        <v>74</v>
      </c>
      <c r="BR819" t="s">
        <v>104</v>
      </c>
      <c r="BS819" t="s">
        <v>14546</v>
      </c>
      <c r="BT819" t="str">
        <f>HYPERLINK("https%3A%2F%2Fwww.webofscience.com%2Fwos%2Fwoscc%2Ffull-record%2FWOS:000277556400008","View Full Record in Web of Science")</f>
        <v>View Full Record in Web of Science</v>
      </c>
    </row>
    <row r="820" spans="1:72" x14ac:dyDescent="0.15">
      <c r="A820" t="s">
        <v>72</v>
      </c>
      <c r="B820" t="s">
        <v>14547</v>
      </c>
      <c r="C820" t="s">
        <v>74</v>
      </c>
      <c r="D820" t="s">
        <v>74</v>
      </c>
      <c r="E820" t="s">
        <v>74</v>
      </c>
      <c r="F820" t="s">
        <v>14548</v>
      </c>
      <c r="G820" t="s">
        <v>74</v>
      </c>
      <c r="H820" t="s">
        <v>74</v>
      </c>
      <c r="I820" t="s">
        <v>14549</v>
      </c>
      <c r="J820" t="s">
        <v>1265</v>
      </c>
      <c r="K820" t="s">
        <v>74</v>
      </c>
      <c r="L820" t="s">
        <v>74</v>
      </c>
      <c r="M820" t="s">
        <v>78</v>
      </c>
      <c r="N820" t="s">
        <v>79</v>
      </c>
      <c r="O820" t="s">
        <v>74</v>
      </c>
      <c r="P820" t="s">
        <v>74</v>
      </c>
      <c r="Q820" t="s">
        <v>74</v>
      </c>
      <c r="R820" t="s">
        <v>74</v>
      </c>
      <c r="S820" t="s">
        <v>74</v>
      </c>
      <c r="T820" t="s">
        <v>14550</v>
      </c>
      <c r="U820" t="s">
        <v>14551</v>
      </c>
      <c r="V820" t="s">
        <v>14552</v>
      </c>
      <c r="W820" t="s">
        <v>14553</v>
      </c>
      <c r="X820" t="s">
        <v>14554</v>
      </c>
      <c r="Y820" t="s">
        <v>14555</v>
      </c>
      <c r="Z820" t="s">
        <v>14556</v>
      </c>
      <c r="AA820" t="s">
        <v>14557</v>
      </c>
      <c r="AB820" t="s">
        <v>14558</v>
      </c>
      <c r="AC820" t="s">
        <v>14559</v>
      </c>
      <c r="AD820" t="s">
        <v>7407</v>
      </c>
      <c r="AE820" t="s">
        <v>14560</v>
      </c>
      <c r="AF820" t="s">
        <v>74</v>
      </c>
      <c r="AG820">
        <v>41</v>
      </c>
      <c r="AH820">
        <v>13</v>
      </c>
      <c r="AI820">
        <v>13</v>
      </c>
      <c r="AJ820">
        <v>0</v>
      </c>
      <c r="AK820">
        <v>8</v>
      </c>
      <c r="AL820" t="s">
        <v>464</v>
      </c>
      <c r="AM820" t="s">
        <v>310</v>
      </c>
      <c r="AN820" t="s">
        <v>971</v>
      </c>
      <c r="AO820" t="s">
        <v>1277</v>
      </c>
      <c r="AP820" t="s">
        <v>1278</v>
      </c>
      <c r="AQ820" t="s">
        <v>74</v>
      </c>
      <c r="AR820" t="s">
        <v>1279</v>
      </c>
      <c r="AS820" t="s">
        <v>1280</v>
      </c>
      <c r="AT820" t="s">
        <v>12931</v>
      </c>
      <c r="AU820">
        <v>2010</v>
      </c>
      <c r="AV820">
        <v>33</v>
      </c>
      <c r="AW820">
        <v>6</v>
      </c>
      <c r="AX820" t="s">
        <v>74</v>
      </c>
      <c r="AY820" t="s">
        <v>74</v>
      </c>
      <c r="AZ820" t="s">
        <v>74</v>
      </c>
      <c r="BA820" t="s">
        <v>74</v>
      </c>
      <c r="BB820">
        <v>823</v>
      </c>
      <c r="BC820">
        <v>831</v>
      </c>
      <c r="BD820" t="s">
        <v>74</v>
      </c>
      <c r="BE820" t="s">
        <v>14561</v>
      </c>
      <c r="BF820" t="str">
        <f>HYPERLINK("http://dx.doi.org/10.1007/s00300-009-0760-9","http://dx.doi.org/10.1007/s00300-009-0760-9")</f>
        <v>http://dx.doi.org/10.1007/s00300-009-0760-9</v>
      </c>
      <c r="BG820" t="s">
        <v>74</v>
      </c>
      <c r="BH820" t="s">
        <v>74</v>
      </c>
      <c r="BI820">
        <v>9</v>
      </c>
      <c r="BJ820" t="s">
        <v>1282</v>
      </c>
      <c r="BK820" t="s">
        <v>100</v>
      </c>
      <c r="BL820" t="s">
        <v>680</v>
      </c>
      <c r="BM820" t="s">
        <v>14506</v>
      </c>
      <c r="BN820" t="s">
        <v>74</v>
      </c>
      <c r="BO820" t="s">
        <v>74</v>
      </c>
      <c r="BP820" t="s">
        <v>74</v>
      </c>
      <c r="BQ820" t="s">
        <v>74</v>
      </c>
      <c r="BR820" t="s">
        <v>104</v>
      </c>
      <c r="BS820" t="s">
        <v>14562</v>
      </c>
      <c r="BT820" t="str">
        <f>HYPERLINK("https%3A%2F%2Fwww.webofscience.com%2Fwos%2Fwoscc%2Ffull-record%2FWOS:000277556400009","View Full Record in Web of Science")</f>
        <v>View Full Record in Web of Science</v>
      </c>
    </row>
    <row r="821" spans="1:72" x14ac:dyDescent="0.15">
      <c r="A821" t="s">
        <v>72</v>
      </c>
      <c r="B821" t="s">
        <v>14563</v>
      </c>
      <c r="C821" t="s">
        <v>74</v>
      </c>
      <c r="D821" t="s">
        <v>74</v>
      </c>
      <c r="E821" t="s">
        <v>74</v>
      </c>
      <c r="F821" t="s">
        <v>14564</v>
      </c>
      <c r="G821" t="s">
        <v>74</v>
      </c>
      <c r="H821" t="s">
        <v>74</v>
      </c>
      <c r="I821" t="s">
        <v>14565</v>
      </c>
      <c r="J821" t="s">
        <v>1265</v>
      </c>
      <c r="K821" t="s">
        <v>74</v>
      </c>
      <c r="L821" t="s">
        <v>74</v>
      </c>
      <c r="M821" t="s">
        <v>78</v>
      </c>
      <c r="N821" t="s">
        <v>79</v>
      </c>
      <c r="O821" t="s">
        <v>74</v>
      </c>
      <c r="P821" t="s">
        <v>74</v>
      </c>
      <c r="Q821" t="s">
        <v>74</v>
      </c>
      <c r="R821" t="s">
        <v>74</v>
      </c>
      <c r="S821" t="s">
        <v>74</v>
      </c>
      <c r="T821" t="s">
        <v>14566</v>
      </c>
      <c r="U821" t="s">
        <v>14567</v>
      </c>
      <c r="V821" t="s">
        <v>14568</v>
      </c>
      <c r="W821" t="s">
        <v>14569</v>
      </c>
      <c r="X821" t="s">
        <v>14570</v>
      </c>
      <c r="Y821" t="s">
        <v>14571</v>
      </c>
      <c r="Z821" t="s">
        <v>14572</v>
      </c>
      <c r="AA821" t="s">
        <v>14573</v>
      </c>
      <c r="AB821" t="s">
        <v>14574</v>
      </c>
      <c r="AC821" t="s">
        <v>14575</v>
      </c>
      <c r="AD821" t="s">
        <v>14576</v>
      </c>
      <c r="AE821" t="s">
        <v>14577</v>
      </c>
      <c r="AF821" t="s">
        <v>74</v>
      </c>
      <c r="AG821">
        <v>36</v>
      </c>
      <c r="AH821">
        <v>15</v>
      </c>
      <c r="AI821">
        <v>17</v>
      </c>
      <c r="AJ821">
        <v>2</v>
      </c>
      <c r="AK821">
        <v>12</v>
      </c>
      <c r="AL821" t="s">
        <v>464</v>
      </c>
      <c r="AM821" t="s">
        <v>310</v>
      </c>
      <c r="AN821" t="s">
        <v>465</v>
      </c>
      <c r="AO821" t="s">
        <v>1277</v>
      </c>
      <c r="AP821" t="s">
        <v>1278</v>
      </c>
      <c r="AQ821" t="s">
        <v>74</v>
      </c>
      <c r="AR821" t="s">
        <v>1279</v>
      </c>
      <c r="AS821" t="s">
        <v>1280</v>
      </c>
      <c r="AT821" t="s">
        <v>12931</v>
      </c>
      <c r="AU821">
        <v>2010</v>
      </c>
      <c r="AV821">
        <v>33</v>
      </c>
      <c r="AW821">
        <v>6</v>
      </c>
      <c r="AX821" t="s">
        <v>74</v>
      </c>
      <c r="AY821" t="s">
        <v>74</v>
      </c>
      <c r="AZ821" t="s">
        <v>74</v>
      </c>
      <c r="BA821" t="s">
        <v>74</v>
      </c>
      <c r="BB821">
        <v>843</v>
      </c>
      <c r="BC821">
        <v>849</v>
      </c>
      <c r="BD821" t="s">
        <v>74</v>
      </c>
      <c r="BE821" t="s">
        <v>14578</v>
      </c>
      <c r="BF821" t="str">
        <f>HYPERLINK("http://dx.doi.org/10.1007/s00300-009-0762-7","http://dx.doi.org/10.1007/s00300-009-0762-7")</f>
        <v>http://dx.doi.org/10.1007/s00300-009-0762-7</v>
      </c>
      <c r="BG821" t="s">
        <v>74</v>
      </c>
      <c r="BH821" t="s">
        <v>74</v>
      </c>
      <c r="BI821">
        <v>7</v>
      </c>
      <c r="BJ821" t="s">
        <v>1282</v>
      </c>
      <c r="BK821" t="s">
        <v>100</v>
      </c>
      <c r="BL821" t="s">
        <v>680</v>
      </c>
      <c r="BM821" t="s">
        <v>14506</v>
      </c>
      <c r="BN821" t="s">
        <v>74</v>
      </c>
      <c r="BO821" t="s">
        <v>74</v>
      </c>
      <c r="BP821" t="s">
        <v>74</v>
      </c>
      <c r="BQ821" t="s">
        <v>74</v>
      </c>
      <c r="BR821" t="s">
        <v>104</v>
      </c>
      <c r="BS821" t="s">
        <v>14579</v>
      </c>
      <c r="BT821" t="str">
        <f>HYPERLINK("https%3A%2F%2Fwww.webofscience.com%2Fwos%2Fwoscc%2Ffull-record%2FWOS:000277556400011","View Full Record in Web of Science")</f>
        <v>View Full Record in Web of Science</v>
      </c>
    </row>
    <row r="822" spans="1:72" x14ac:dyDescent="0.15">
      <c r="A822" t="s">
        <v>72</v>
      </c>
      <c r="B822" t="s">
        <v>14580</v>
      </c>
      <c r="C822" t="s">
        <v>74</v>
      </c>
      <c r="D822" t="s">
        <v>74</v>
      </c>
      <c r="E822" t="s">
        <v>74</v>
      </c>
      <c r="F822" t="s">
        <v>14581</v>
      </c>
      <c r="G822" t="s">
        <v>74</v>
      </c>
      <c r="H822" t="s">
        <v>74</v>
      </c>
      <c r="I822" t="s">
        <v>14582</v>
      </c>
      <c r="J822" t="s">
        <v>1265</v>
      </c>
      <c r="K822" t="s">
        <v>74</v>
      </c>
      <c r="L822" t="s">
        <v>74</v>
      </c>
      <c r="M822" t="s">
        <v>78</v>
      </c>
      <c r="N822" t="s">
        <v>79</v>
      </c>
      <c r="O822" t="s">
        <v>74</v>
      </c>
      <c r="P822" t="s">
        <v>74</v>
      </c>
      <c r="Q822" t="s">
        <v>74</v>
      </c>
      <c r="R822" t="s">
        <v>74</v>
      </c>
      <c r="S822" t="s">
        <v>74</v>
      </c>
      <c r="T822" t="s">
        <v>14583</v>
      </c>
      <c r="U822" t="s">
        <v>14584</v>
      </c>
      <c r="V822" t="s">
        <v>14585</v>
      </c>
      <c r="W822" t="s">
        <v>14586</v>
      </c>
      <c r="X822" t="s">
        <v>723</v>
      </c>
      <c r="Y822" t="s">
        <v>14587</v>
      </c>
      <c r="Z822" t="s">
        <v>14588</v>
      </c>
      <c r="AA822" t="s">
        <v>74</v>
      </c>
      <c r="AB822" t="s">
        <v>74</v>
      </c>
      <c r="AC822" t="s">
        <v>14589</v>
      </c>
      <c r="AD822" t="s">
        <v>14590</v>
      </c>
      <c r="AE822" t="s">
        <v>14591</v>
      </c>
      <c r="AF822" t="s">
        <v>74</v>
      </c>
      <c r="AG822">
        <v>44</v>
      </c>
      <c r="AH822">
        <v>18</v>
      </c>
      <c r="AI822">
        <v>24</v>
      </c>
      <c r="AJ822">
        <v>2</v>
      </c>
      <c r="AK822">
        <v>14</v>
      </c>
      <c r="AL822" t="s">
        <v>464</v>
      </c>
      <c r="AM822" t="s">
        <v>310</v>
      </c>
      <c r="AN822" t="s">
        <v>971</v>
      </c>
      <c r="AO822" t="s">
        <v>1277</v>
      </c>
      <c r="AP822" t="s">
        <v>1278</v>
      </c>
      <c r="AQ822" t="s">
        <v>74</v>
      </c>
      <c r="AR822" t="s">
        <v>1279</v>
      </c>
      <c r="AS822" t="s">
        <v>1280</v>
      </c>
      <c r="AT822" t="s">
        <v>12931</v>
      </c>
      <c r="AU822">
        <v>2010</v>
      </c>
      <c r="AV822">
        <v>33</v>
      </c>
      <c r="AW822">
        <v>6</v>
      </c>
      <c r="AX822" t="s">
        <v>74</v>
      </c>
      <c r="AY822" t="s">
        <v>74</v>
      </c>
      <c r="AZ822" t="s">
        <v>74</v>
      </c>
      <c r="BA822" t="s">
        <v>74</v>
      </c>
      <c r="BB822">
        <v>869</v>
      </c>
      <c r="BC822">
        <v>875</v>
      </c>
      <c r="BD822" t="s">
        <v>74</v>
      </c>
      <c r="BE822" t="s">
        <v>14592</v>
      </c>
      <c r="BF822" t="str">
        <f>HYPERLINK("http://dx.doi.org/10.1007/s00300-009-0758-3","http://dx.doi.org/10.1007/s00300-009-0758-3")</f>
        <v>http://dx.doi.org/10.1007/s00300-009-0758-3</v>
      </c>
      <c r="BG822" t="s">
        <v>74</v>
      </c>
      <c r="BH822" t="s">
        <v>74</v>
      </c>
      <c r="BI822">
        <v>7</v>
      </c>
      <c r="BJ822" t="s">
        <v>1282</v>
      </c>
      <c r="BK822" t="s">
        <v>100</v>
      </c>
      <c r="BL822" t="s">
        <v>680</v>
      </c>
      <c r="BM822" t="s">
        <v>14506</v>
      </c>
      <c r="BN822" t="s">
        <v>74</v>
      </c>
      <c r="BO822" t="s">
        <v>74</v>
      </c>
      <c r="BP822" t="s">
        <v>74</v>
      </c>
      <c r="BQ822" t="s">
        <v>74</v>
      </c>
      <c r="BR822" t="s">
        <v>104</v>
      </c>
      <c r="BS822" t="s">
        <v>14593</v>
      </c>
      <c r="BT822" t="str">
        <f>HYPERLINK("https%3A%2F%2Fwww.webofscience.com%2Fwos%2Fwoscc%2Ffull-record%2FWOS:000277556400013","View Full Record in Web of Science")</f>
        <v>View Full Record in Web of Science</v>
      </c>
    </row>
    <row r="823" spans="1:72" x14ac:dyDescent="0.15">
      <c r="A823" t="s">
        <v>72</v>
      </c>
      <c r="B823" t="s">
        <v>14594</v>
      </c>
      <c r="C823" t="s">
        <v>74</v>
      </c>
      <c r="D823" t="s">
        <v>74</v>
      </c>
      <c r="E823" t="s">
        <v>74</v>
      </c>
      <c r="F823" t="s">
        <v>14595</v>
      </c>
      <c r="G823" t="s">
        <v>74</v>
      </c>
      <c r="H823" t="s">
        <v>74</v>
      </c>
      <c r="I823" t="s">
        <v>14596</v>
      </c>
      <c r="J823" t="s">
        <v>6852</v>
      </c>
      <c r="K823" t="s">
        <v>74</v>
      </c>
      <c r="L823" t="s">
        <v>74</v>
      </c>
      <c r="M823" t="s">
        <v>78</v>
      </c>
      <c r="N823" t="s">
        <v>79</v>
      </c>
      <c r="O823" t="s">
        <v>74</v>
      </c>
      <c r="P823" t="s">
        <v>74</v>
      </c>
      <c r="Q823" t="s">
        <v>74</v>
      </c>
      <c r="R823" t="s">
        <v>74</v>
      </c>
      <c r="S823" t="s">
        <v>74</v>
      </c>
      <c r="T823" t="s">
        <v>14597</v>
      </c>
      <c r="U823" t="s">
        <v>14598</v>
      </c>
      <c r="V823" t="s">
        <v>14599</v>
      </c>
      <c r="W823" t="s">
        <v>14600</v>
      </c>
      <c r="X823" t="s">
        <v>14601</v>
      </c>
      <c r="Y823" t="s">
        <v>14602</v>
      </c>
      <c r="Z823" t="s">
        <v>14603</v>
      </c>
      <c r="AA823" t="s">
        <v>14604</v>
      </c>
      <c r="AB823" t="s">
        <v>14605</v>
      </c>
      <c r="AC823" t="s">
        <v>14606</v>
      </c>
      <c r="AD823" t="s">
        <v>3179</v>
      </c>
      <c r="AE823" t="s">
        <v>14607</v>
      </c>
      <c r="AF823" t="s">
        <v>74</v>
      </c>
      <c r="AG823">
        <v>98</v>
      </c>
      <c r="AH823">
        <v>51</v>
      </c>
      <c r="AI823">
        <v>53</v>
      </c>
      <c r="AJ823">
        <v>0</v>
      </c>
      <c r="AK823">
        <v>18</v>
      </c>
      <c r="AL823" t="s">
        <v>1038</v>
      </c>
      <c r="AM823" t="s">
        <v>550</v>
      </c>
      <c r="AN823" t="s">
        <v>1039</v>
      </c>
      <c r="AO823" t="s">
        <v>6865</v>
      </c>
      <c r="AP823" t="s">
        <v>6866</v>
      </c>
      <c r="AQ823" t="s">
        <v>74</v>
      </c>
      <c r="AR823" t="s">
        <v>6867</v>
      </c>
      <c r="AS823" t="s">
        <v>6868</v>
      </c>
      <c r="AT823" t="s">
        <v>12931</v>
      </c>
      <c r="AU823">
        <v>2010</v>
      </c>
      <c r="AV823">
        <v>180</v>
      </c>
      <c r="AW823" t="s">
        <v>4513</v>
      </c>
      <c r="AX823" t="s">
        <v>74</v>
      </c>
      <c r="AY823" t="s">
        <v>74</v>
      </c>
      <c r="AZ823" t="s">
        <v>74</v>
      </c>
      <c r="BA823" t="s">
        <v>74</v>
      </c>
      <c r="BB823">
        <v>85</v>
      </c>
      <c r="BC823">
        <v>112</v>
      </c>
      <c r="BD823" t="s">
        <v>74</v>
      </c>
      <c r="BE823" t="s">
        <v>14608</v>
      </c>
      <c r="BF823" t="str">
        <f>HYPERLINK("http://dx.doi.org/10.1016/j.precamres.2010.03.005","http://dx.doi.org/10.1016/j.precamres.2010.03.005")</f>
        <v>http://dx.doi.org/10.1016/j.precamres.2010.03.005</v>
      </c>
      <c r="BG823" t="s">
        <v>74</v>
      </c>
      <c r="BH823" t="s">
        <v>74</v>
      </c>
      <c r="BI823">
        <v>28</v>
      </c>
      <c r="BJ823" t="s">
        <v>1194</v>
      </c>
      <c r="BK823" t="s">
        <v>100</v>
      </c>
      <c r="BL823" t="s">
        <v>807</v>
      </c>
      <c r="BM823" t="s">
        <v>14609</v>
      </c>
      <c r="BN823" t="s">
        <v>74</v>
      </c>
      <c r="BO823" t="s">
        <v>74</v>
      </c>
      <c r="BP823" t="s">
        <v>74</v>
      </c>
      <c r="BQ823" t="s">
        <v>74</v>
      </c>
      <c r="BR823" t="s">
        <v>104</v>
      </c>
      <c r="BS823" t="s">
        <v>14610</v>
      </c>
      <c r="BT823" t="str">
        <f>HYPERLINK("https%3A%2F%2Fwww.webofscience.com%2Fwos%2Fwoscc%2Ffull-record%2FWOS:000278613400006","View Full Record in Web of Science")</f>
        <v>View Full Record in Web of Science</v>
      </c>
    </row>
    <row r="824" spans="1:72" x14ac:dyDescent="0.15">
      <c r="A824" t="s">
        <v>72</v>
      </c>
      <c r="B824" t="s">
        <v>14611</v>
      </c>
      <c r="C824" t="s">
        <v>74</v>
      </c>
      <c r="D824" t="s">
        <v>74</v>
      </c>
      <c r="E824" t="s">
        <v>74</v>
      </c>
      <c r="F824" t="s">
        <v>14612</v>
      </c>
      <c r="G824" t="s">
        <v>74</v>
      </c>
      <c r="H824" t="s">
        <v>74</v>
      </c>
      <c r="I824" t="s">
        <v>14613</v>
      </c>
      <c r="J824" t="s">
        <v>14614</v>
      </c>
      <c r="K824" t="s">
        <v>74</v>
      </c>
      <c r="L824" t="s">
        <v>74</v>
      </c>
      <c r="M824" t="s">
        <v>78</v>
      </c>
      <c r="N824" t="s">
        <v>79</v>
      </c>
      <c r="O824" t="s">
        <v>74</v>
      </c>
      <c r="P824" t="s">
        <v>74</v>
      </c>
      <c r="Q824" t="s">
        <v>74</v>
      </c>
      <c r="R824" t="s">
        <v>74</v>
      </c>
      <c r="S824" t="s">
        <v>74</v>
      </c>
      <c r="T824" t="s">
        <v>74</v>
      </c>
      <c r="U824" t="s">
        <v>14615</v>
      </c>
      <c r="V824" t="s">
        <v>14616</v>
      </c>
      <c r="W824" t="s">
        <v>14617</v>
      </c>
      <c r="X824" t="s">
        <v>14618</v>
      </c>
      <c r="Y824" t="s">
        <v>14619</v>
      </c>
      <c r="Z824" t="s">
        <v>74</v>
      </c>
      <c r="AA824" t="s">
        <v>74</v>
      </c>
      <c r="AB824" t="s">
        <v>74</v>
      </c>
      <c r="AC824" t="s">
        <v>74</v>
      </c>
      <c r="AD824" t="s">
        <v>74</v>
      </c>
      <c r="AE824" t="s">
        <v>74</v>
      </c>
      <c r="AF824" t="s">
        <v>74</v>
      </c>
      <c r="AG824">
        <v>52</v>
      </c>
      <c r="AH824">
        <v>10</v>
      </c>
      <c r="AI824">
        <v>11</v>
      </c>
      <c r="AJ824">
        <v>0</v>
      </c>
      <c r="AK824">
        <v>31</v>
      </c>
      <c r="AL824" t="s">
        <v>14620</v>
      </c>
      <c r="AM824" t="s">
        <v>1162</v>
      </c>
      <c r="AN824" t="s">
        <v>14621</v>
      </c>
      <c r="AO824" t="s">
        <v>14622</v>
      </c>
      <c r="AP824" t="s">
        <v>14623</v>
      </c>
      <c r="AQ824" t="s">
        <v>74</v>
      </c>
      <c r="AR824" t="s">
        <v>14624</v>
      </c>
      <c r="AS824" t="s">
        <v>14625</v>
      </c>
      <c r="AT824" t="s">
        <v>12931</v>
      </c>
      <c r="AU824">
        <v>2010</v>
      </c>
      <c r="AV824">
        <v>154</v>
      </c>
      <c r="AW824">
        <v>2</v>
      </c>
      <c r="AX824" t="s">
        <v>74</v>
      </c>
      <c r="AY824" t="s">
        <v>74</v>
      </c>
      <c r="AZ824" t="s">
        <v>74</v>
      </c>
      <c r="BA824" t="s">
        <v>74</v>
      </c>
      <c r="BB824">
        <v>133</v>
      </c>
      <c r="BC824">
        <v>157</v>
      </c>
      <c r="BD824" t="s">
        <v>74</v>
      </c>
      <c r="BE824" t="s">
        <v>74</v>
      </c>
      <c r="BF824" t="s">
        <v>74</v>
      </c>
      <c r="BG824" t="s">
        <v>74</v>
      </c>
      <c r="BH824" t="s">
        <v>74</v>
      </c>
      <c r="BI824">
        <v>25</v>
      </c>
      <c r="BJ824" t="s">
        <v>14626</v>
      </c>
      <c r="BK824" t="s">
        <v>10673</v>
      </c>
      <c r="BL824" t="s">
        <v>14627</v>
      </c>
      <c r="BM824" t="s">
        <v>14628</v>
      </c>
      <c r="BN824">
        <v>21553594</v>
      </c>
      <c r="BO824" t="s">
        <v>74</v>
      </c>
      <c r="BP824" t="s">
        <v>74</v>
      </c>
      <c r="BQ824" t="s">
        <v>74</v>
      </c>
      <c r="BR824" t="s">
        <v>104</v>
      </c>
      <c r="BS824" t="s">
        <v>14629</v>
      </c>
      <c r="BT824" t="str">
        <f>HYPERLINK("https%3A%2F%2Fwww.webofscience.com%2Fwos%2Fwoscc%2Ffull-record%2FWOS:000282201800002","View Full Record in Web of Science")</f>
        <v>View Full Record in Web of Science</v>
      </c>
    </row>
    <row r="825" spans="1:72" x14ac:dyDescent="0.15">
      <c r="A825" t="s">
        <v>72</v>
      </c>
      <c r="B825" t="s">
        <v>14630</v>
      </c>
      <c r="C825" t="s">
        <v>74</v>
      </c>
      <c r="D825" t="s">
        <v>74</v>
      </c>
      <c r="E825" t="s">
        <v>74</v>
      </c>
      <c r="F825" t="s">
        <v>14631</v>
      </c>
      <c r="G825" t="s">
        <v>74</v>
      </c>
      <c r="H825" t="s">
        <v>74</v>
      </c>
      <c r="I825" t="s">
        <v>14632</v>
      </c>
      <c r="J825" t="s">
        <v>14633</v>
      </c>
      <c r="K825" t="s">
        <v>74</v>
      </c>
      <c r="L825" t="s">
        <v>74</v>
      </c>
      <c r="M825" t="s">
        <v>78</v>
      </c>
      <c r="N825" t="s">
        <v>79</v>
      </c>
      <c r="O825" t="s">
        <v>74</v>
      </c>
      <c r="P825" t="s">
        <v>74</v>
      </c>
      <c r="Q825" t="s">
        <v>74</v>
      </c>
      <c r="R825" t="s">
        <v>74</v>
      </c>
      <c r="S825" t="s">
        <v>74</v>
      </c>
      <c r="T825" t="s">
        <v>14634</v>
      </c>
      <c r="U825" t="s">
        <v>14635</v>
      </c>
      <c r="V825" t="s">
        <v>14636</v>
      </c>
      <c r="W825" t="s">
        <v>14637</v>
      </c>
      <c r="X825" t="s">
        <v>14638</v>
      </c>
      <c r="Y825" t="s">
        <v>14639</v>
      </c>
      <c r="Z825" t="s">
        <v>14640</v>
      </c>
      <c r="AA825" t="s">
        <v>14641</v>
      </c>
      <c r="AB825" t="s">
        <v>14642</v>
      </c>
      <c r="AC825" t="s">
        <v>14643</v>
      </c>
      <c r="AD825" t="s">
        <v>2843</v>
      </c>
      <c r="AE825" t="s">
        <v>74</v>
      </c>
      <c r="AF825" t="s">
        <v>74</v>
      </c>
      <c r="AG825">
        <v>201</v>
      </c>
      <c r="AH825">
        <v>18</v>
      </c>
      <c r="AI825">
        <v>20</v>
      </c>
      <c r="AJ825">
        <v>3</v>
      </c>
      <c r="AK825">
        <v>51</v>
      </c>
      <c r="AL825" t="s">
        <v>13622</v>
      </c>
      <c r="AM825" t="s">
        <v>1598</v>
      </c>
      <c r="AN825" t="s">
        <v>13623</v>
      </c>
      <c r="AO825" t="s">
        <v>14644</v>
      </c>
      <c r="AP825" t="s">
        <v>14645</v>
      </c>
      <c r="AQ825" t="s">
        <v>74</v>
      </c>
      <c r="AR825" t="s">
        <v>14646</v>
      </c>
      <c r="AS825" t="s">
        <v>14647</v>
      </c>
      <c r="AT825" t="s">
        <v>12931</v>
      </c>
      <c r="AU825">
        <v>2010</v>
      </c>
      <c r="AV825">
        <v>34</v>
      </c>
      <c r="AW825">
        <v>3</v>
      </c>
      <c r="AX825" t="s">
        <v>74</v>
      </c>
      <c r="AY825" t="s">
        <v>74</v>
      </c>
      <c r="AZ825" t="s">
        <v>74</v>
      </c>
      <c r="BA825" t="s">
        <v>74</v>
      </c>
      <c r="BB825">
        <v>327</v>
      </c>
      <c r="BC825">
        <v>355</v>
      </c>
      <c r="BD825" t="s">
        <v>74</v>
      </c>
      <c r="BE825" t="s">
        <v>14648</v>
      </c>
      <c r="BF825" t="str">
        <f>HYPERLINK("http://dx.doi.org/10.1177/0309133309360631","http://dx.doi.org/10.1177/0309133309360631")</f>
        <v>http://dx.doi.org/10.1177/0309133309360631</v>
      </c>
      <c r="BG825" t="s">
        <v>74</v>
      </c>
      <c r="BH825" t="s">
        <v>74</v>
      </c>
      <c r="BI825">
        <v>29</v>
      </c>
      <c r="BJ825" t="s">
        <v>1409</v>
      </c>
      <c r="BK825" t="s">
        <v>100</v>
      </c>
      <c r="BL825" t="s">
        <v>1410</v>
      </c>
      <c r="BM825" t="s">
        <v>14649</v>
      </c>
      <c r="BN825" t="s">
        <v>74</v>
      </c>
      <c r="BO825" t="s">
        <v>74</v>
      </c>
      <c r="BP825" t="s">
        <v>74</v>
      </c>
      <c r="BQ825" t="s">
        <v>74</v>
      </c>
      <c r="BR825" t="s">
        <v>104</v>
      </c>
      <c r="BS825" t="s">
        <v>14650</v>
      </c>
      <c r="BT825" t="str">
        <f>HYPERLINK("https%3A%2F%2Fwww.webofscience.com%2Fwos%2Fwoscc%2Ffull-record%2FWOS:000278250600004","View Full Record in Web of Science")</f>
        <v>View Full Record in Web of Science</v>
      </c>
    </row>
    <row r="826" spans="1:72" x14ac:dyDescent="0.15">
      <c r="A826" t="s">
        <v>72</v>
      </c>
      <c r="B826" t="s">
        <v>14651</v>
      </c>
      <c r="C826" t="s">
        <v>74</v>
      </c>
      <c r="D826" t="s">
        <v>74</v>
      </c>
      <c r="E826" t="s">
        <v>74</v>
      </c>
      <c r="F826" t="s">
        <v>14652</v>
      </c>
      <c r="G826" t="s">
        <v>74</v>
      </c>
      <c r="H826" t="s">
        <v>74</v>
      </c>
      <c r="I826" t="s">
        <v>14653</v>
      </c>
      <c r="J826" t="s">
        <v>14654</v>
      </c>
      <c r="K826" t="s">
        <v>74</v>
      </c>
      <c r="L826" t="s">
        <v>74</v>
      </c>
      <c r="M826" t="s">
        <v>78</v>
      </c>
      <c r="N826" t="s">
        <v>79</v>
      </c>
      <c r="O826" t="s">
        <v>74</v>
      </c>
      <c r="P826" t="s">
        <v>74</v>
      </c>
      <c r="Q826" t="s">
        <v>74</v>
      </c>
      <c r="R826" t="s">
        <v>74</v>
      </c>
      <c r="S826" t="s">
        <v>74</v>
      </c>
      <c r="T826" t="s">
        <v>74</v>
      </c>
      <c r="U826" t="s">
        <v>14655</v>
      </c>
      <c r="V826" t="s">
        <v>14656</v>
      </c>
      <c r="W826" t="s">
        <v>14657</v>
      </c>
      <c r="X826" t="s">
        <v>14658</v>
      </c>
      <c r="Y826" t="s">
        <v>14659</v>
      </c>
      <c r="Z826" t="s">
        <v>14660</v>
      </c>
      <c r="AA826" t="s">
        <v>14661</v>
      </c>
      <c r="AB826" t="s">
        <v>14662</v>
      </c>
      <c r="AC826" t="s">
        <v>14663</v>
      </c>
      <c r="AD826" t="s">
        <v>14664</v>
      </c>
      <c r="AE826" t="s">
        <v>14665</v>
      </c>
      <c r="AF826" t="s">
        <v>74</v>
      </c>
      <c r="AG826">
        <v>78</v>
      </c>
      <c r="AH826">
        <v>17</v>
      </c>
      <c r="AI826">
        <v>22</v>
      </c>
      <c r="AJ826">
        <v>3</v>
      </c>
      <c r="AK826">
        <v>55</v>
      </c>
      <c r="AL826" t="s">
        <v>264</v>
      </c>
      <c r="AM826" t="s">
        <v>265</v>
      </c>
      <c r="AN826" t="s">
        <v>266</v>
      </c>
      <c r="AO826" t="s">
        <v>14666</v>
      </c>
      <c r="AP826" t="s">
        <v>14667</v>
      </c>
      <c r="AQ826" t="s">
        <v>74</v>
      </c>
      <c r="AR826" t="s">
        <v>14668</v>
      </c>
      <c r="AS826" t="s">
        <v>14669</v>
      </c>
      <c r="AT826" t="s">
        <v>13192</v>
      </c>
      <c r="AU826">
        <v>2010</v>
      </c>
      <c r="AV826">
        <v>219</v>
      </c>
      <c r="AW826" t="s">
        <v>4513</v>
      </c>
      <c r="AX826" t="s">
        <v>74</v>
      </c>
      <c r="AY826" t="s">
        <v>74</v>
      </c>
      <c r="AZ826" t="s">
        <v>74</v>
      </c>
      <c r="BA826" t="s">
        <v>74</v>
      </c>
      <c r="BB826">
        <v>55</v>
      </c>
      <c r="BC826">
        <v>65</v>
      </c>
      <c r="BD826" t="s">
        <v>74</v>
      </c>
      <c r="BE826" t="s">
        <v>14670</v>
      </c>
      <c r="BF826" t="str">
        <f>HYPERLINK("http://dx.doi.org/10.1016/j.quaint.2009.09.029","http://dx.doi.org/10.1016/j.quaint.2009.09.029")</f>
        <v>http://dx.doi.org/10.1016/j.quaint.2009.09.029</v>
      </c>
      <c r="BG826" t="s">
        <v>74</v>
      </c>
      <c r="BH826" t="s">
        <v>74</v>
      </c>
      <c r="BI826">
        <v>11</v>
      </c>
      <c r="BJ826" t="s">
        <v>1409</v>
      </c>
      <c r="BK826" t="s">
        <v>100</v>
      </c>
      <c r="BL826" t="s">
        <v>1410</v>
      </c>
      <c r="BM826" t="s">
        <v>14671</v>
      </c>
      <c r="BN826" t="s">
        <v>74</v>
      </c>
      <c r="BO826" t="s">
        <v>74</v>
      </c>
      <c r="BP826" t="s">
        <v>74</v>
      </c>
      <c r="BQ826" t="s">
        <v>74</v>
      </c>
      <c r="BR826" t="s">
        <v>104</v>
      </c>
      <c r="BS826" t="s">
        <v>14672</v>
      </c>
      <c r="BT826" t="str">
        <f>HYPERLINK("https%3A%2F%2Fwww.webofscience.com%2Fwos%2Fwoscc%2Ffull-record%2FWOS:000278676900007","View Full Record in Web of Science")</f>
        <v>View Full Record in Web of Science</v>
      </c>
    </row>
    <row r="827" spans="1:72" x14ac:dyDescent="0.15">
      <c r="A827" t="s">
        <v>72</v>
      </c>
      <c r="B827" t="s">
        <v>14673</v>
      </c>
      <c r="C827" t="s">
        <v>74</v>
      </c>
      <c r="D827" t="s">
        <v>74</v>
      </c>
      <c r="E827" t="s">
        <v>74</v>
      </c>
      <c r="F827" t="s">
        <v>14674</v>
      </c>
      <c r="G827" t="s">
        <v>74</v>
      </c>
      <c r="H827" t="s">
        <v>74</v>
      </c>
      <c r="I827" t="s">
        <v>14675</v>
      </c>
      <c r="J827" t="s">
        <v>14654</v>
      </c>
      <c r="K827" t="s">
        <v>74</v>
      </c>
      <c r="L827" t="s">
        <v>74</v>
      </c>
      <c r="M827" t="s">
        <v>78</v>
      </c>
      <c r="N827" t="s">
        <v>79</v>
      </c>
      <c r="O827" t="s">
        <v>74</v>
      </c>
      <c r="P827" t="s">
        <v>74</v>
      </c>
      <c r="Q827" t="s">
        <v>74</v>
      </c>
      <c r="R827" t="s">
        <v>74</v>
      </c>
      <c r="S827" t="s">
        <v>74</v>
      </c>
      <c r="T827" t="s">
        <v>74</v>
      </c>
      <c r="U827" t="s">
        <v>14676</v>
      </c>
      <c r="V827" t="s">
        <v>14677</v>
      </c>
      <c r="W827" t="s">
        <v>14678</v>
      </c>
      <c r="X827" t="s">
        <v>14679</v>
      </c>
      <c r="Y827" t="s">
        <v>14680</v>
      </c>
      <c r="Z827" t="s">
        <v>14681</v>
      </c>
      <c r="AA827" t="s">
        <v>14682</v>
      </c>
      <c r="AB827" t="s">
        <v>14683</v>
      </c>
      <c r="AC827" t="s">
        <v>14684</v>
      </c>
      <c r="AD827" t="s">
        <v>14685</v>
      </c>
      <c r="AE827" t="s">
        <v>14686</v>
      </c>
      <c r="AF827" t="s">
        <v>74</v>
      </c>
      <c r="AG827">
        <v>108</v>
      </c>
      <c r="AH827">
        <v>22</v>
      </c>
      <c r="AI827">
        <v>25</v>
      </c>
      <c r="AJ827">
        <v>1</v>
      </c>
      <c r="AK827">
        <v>9</v>
      </c>
      <c r="AL827" t="s">
        <v>264</v>
      </c>
      <c r="AM827" t="s">
        <v>265</v>
      </c>
      <c r="AN827" t="s">
        <v>266</v>
      </c>
      <c r="AO827" t="s">
        <v>14666</v>
      </c>
      <c r="AP827" t="s">
        <v>14667</v>
      </c>
      <c r="AQ827" t="s">
        <v>74</v>
      </c>
      <c r="AR827" t="s">
        <v>14668</v>
      </c>
      <c r="AS827" t="s">
        <v>14669</v>
      </c>
      <c r="AT827" t="s">
        <v>13192</v>
      </c>
      <c r="AU827">
        <v>2010</v>
      </c>
      <c r="AV827">
        <v>219</v>
      </c>
      <c r="AW827" t="s">
        <v>4513</v>
      </c>
      <c r="AX827" t="s">
        <v>74</v>
      </c>
      <c r="AY827" t="s">
        <v>74</v>
      </c>
      <c r="AZ827" t="s">
        <v>74</v>
      </c>
      <c r="BA827" t="s">
        <v>74</v>
      </c>
      <c r="BB827">
        <v>79</v>
      </c>
      <c r="BC827">
        <v>94</v>
      </c>
      <c r="BD827" t="s">
        <v>74</v>
      </c>
      <c r="BE827" t="s">
        <v>14687</v>
      </c>
      <c r="BF827" t="str">
        <f>HYPERLINK("http://dx.doi.org/10.1016/j.quaint.2010.01.012","http://dx.doi.org/10.1016/j.quaint.2010.01.012")</f>
        <v>http://dx.doi.org/10.1016/j.quaint.2010.01.012</v>
      </c>
      <c r="BG827" t="s">
        <v>74</v>
      </c>
      <c r="BH827" t="s">
        <v>74</v>
      </c>
      <c r="BI827">
        <v>16</v>
      </c>
      <c r="BJ827" t="s">
        <v>1409</v>
      </c>
      <c r="BK827" t="s">
        <v>100</v>
      </c>
      <c r="BL827" t="s">
        <v>1410</v>
      </c>
      <c r="BM827" t="s">
        <v>14671</v>
      </c>
      <c r="BN827" t="s">
        <v>74</v>
      </c>
      <c r="BO827" t="s">
        <v>74</v>
      </c>
      <c r="BP827" t="s">
        <v>74</v>
      </c>
      <c r="BQ827" t="s">
        <v>74</v>
      </c>
      <c r="BR827" t="s">
        <v>104</v>
      </c>
      <c r="BS827" t="s">
        <v>14688</v>
      </c>
      <c r="BT827" t="str">
        <f>HYPERLINK("https%3A%2F%2Fwww.webofscience.com%2Fwos%2Fwoscc%2Ffull-record%2FWOS:000278676900009","View Full Record in Web of Science")</f>
        <v>View Full Record in Web of Science</v>
      </c>
    </row>
    <row r="828" spans="1:72" x14ac:dyDescent="0.15">
      <c r="A828" t="s">
        <v>72</v>
      </c>
      <c r="B828" t="s">
        <v>14689</v>
      </c>
      <c r="C828" t="s">
        <v>74</v>
      </c>
      <c r="D828" t="s">
        <v>74</v>
      </c>
      <c r="E828" t="s">
        <v>74</v>
      </c>
      <c r="F828" t="s">
        <v>14690</v>
      </c>
      <c r="G828" t="s">
        <v>74</v>
      </c>
      <c r="H828" t="s">
        <v>74</v>
      </c>
      <c r="I828" t="s">
        <v>14691</v>
      </c>
      <c r="J828" t="s">
        <v>14654</v>
      </c>
      <c r="K828" t="s">
        <v>74</v>
      </c>
      <c r="L828" t="s">
        <v>74</v>
      </c>
      <c r="M828" t="s">
        <v>78</v>
      </c>
      <c r="N828" t="s">
        <v>79</v>
      </c>
      <c r="O828" t="s">
        <v>74</v>
      </c>
      <c r="P828" t="s">
        <v>74</v>
      </c>
      <c r="Q828" t="s">
        <v>74</v>
      </c>
      <c r="R828" t="s">
        <v>74</v>
      </c>
      <c r="S828" t="s">
        <v>74</v>
      </c>
      <c r="T828" t="s">
        <v>74</v>
      </c>
      <c r="U828" t="s">
        <v>74</v>
      </c>
      <c r="V828" t="s">
        <v>74</v>
      </c>
      <c r="W828" t="s">
        <v>14692</v>
      </c>
      <c r="X828" t="s">
        <v>14693</v>
      </c>
      <c r="Y828" t="s">
        <v>14694</v>
      </c>
      <c r="Z828" t="s">
        <v>74</v>
      </c>
      <c r="AA828" t="s">
        <v>74</v>
      </c>
      <c r="AB828" t="s">
        <v>74</v>
      </c>
      <c r="AC828" t="s">
        <v>14695</v>
      </c>
      <c r="AD828" t="s">
        <v>337</v>
      </c>
      <c r="AE828" t="s">
        <v>74</v>
      </c>
      <c r="AF828" t="s">
        <v>74</v>
      </c>
      <c r="AG828">
        <v>3</v>
      </c>
      <c r="AH828">
        <v>1</v>
      </c>
      <c r="AI828">
        <v>1</v>
      </c>
      <c r="AJ828">
        <v>0</v>
      </c>
      <c r="AK828">
        <v>5</v>
      </c>
      <c r="AL828" t="s">
        <v>264</v>
      </c>
      <c r="AM828" t="s">
        <v>265</v>
      </c>
      <c r="AN828" t="s">
        <v>266</v>
      </c>
      <c r="AO828" t="s">
        <v>14666</v>
      </c>
      <c r="AP828" t="s">
        <v>14667</v>
      </c>
      <c r="AQ828" t="s">
        <v>74</v>
      </c>
      <c r="AR828" t="s">
        <v>14668</v>
      </c>
      <c r="AS828" t="s">
        <v>14669</v>
      </c>
      <c r="AT828" t="s">
        <v>13192</v>
      </c>
      <c r="AU828">
        <v>2010</v>
      </c>
      <c r="AV828">
        <v>219</v>
      </c>
      <c r="AW828" t="s">
        <v>4513</v>
      </c>
      <c r="AX828" t="s">
        <v>74</v>
      </c>
      <c r="AY828" t="s">
        <v>74</v>
      </c>
      <c r="AZ828" t="s">
        <v>74</v>
      </c>
      <c r="BA828" t="s">
        <v>74</v>
      </c>
      <c r="BB828">
        <v>177</v>
      </c>
      <c r="BC828">
        <v>177</v>
      </c>
      <c r="BD828" t="s">
        <v>74</v>
      </c>
      <c r="BE828" t="s">
        <v>14696</v>
      </c>
      <c r="BF828" t="str">
        <f>HYPERLINK("http://dx.doi.org/10.1016/j.quaint.2010.02.006","http://dx.doi.org/10.1016/j.quaint.2010.02.006")</f>
        <v>http://dx.doi.org/10.1016/j.quaint.2010.02.006</v>
      </c>
      <c r="BG828" t="s">
        <v>74</v>
      </c>
      <c r="BH828" t="s">
        <v>74</v>
      </c>
      <c r="BI828">
        <v>1</v>
      </c>
      <c r="BJ828" t="s">
        <v>1409</v>
      </c>
      <c r="BK828" t="s">
        <v>100</v>
      </c>
      <c r="BL828" t="s">
        <v>1410</v>
      </c>
      <c r="BM828" t="s">
        <v>14671</v>
      </c>
      <c r="BN828" t="s">
        <v>74</v>
      </c>
      <c r="BO828" t="s">
        <v>74</v>
      </c>
      <c r="BP828" t="s">
        <v>74</v>
      </c>
      <c r="BQ828" t="s">
        <v>74</v>
      </c>
      <c r="BR828" t="s">
        <v>104</v>
      </c>
      <c r="BS828" t="s">
        <v>14697</v>
      </c>
      <c r="BT828" t="str">
        <f>HYPERLINK("https%3A%2F%2Fwww.webofscience.com%2Fwos%2Fwoscc%2Ffull-record%2FWOS:000278676900017","View Full Record in Web of Science")</f>
        <v>View Full Record in Web of Science</v>
      </c>
    </row>
    <row r="829" spans="1:72" x14ac:dyDescent="0.15">
      <c r="A829" t="s">
        <v>72</v>
      </c>
      <c r="B829" t="s">
        <v>14698</v>
      </c>
      <c r="C829" t="s">
        <v>74</v>
      </c>
      <c r="D829" t="s">
        <v>74</v>
      </c>
      <c r="E829" t="s">
        <v>74</v>
      </c>
      <c r="F829" t="s">
        <v>14699</v>
      </c>
      <c r="G829" t="s">
        <v>74</v>
      </c>
      <c r="H829" t="s">
        <v>74</v>
      </c>
      <c r="I829" t="s">
        <v>14700</v>
      </c>
      <c r="J829" t="s">
        <v>1393</v>
      </c>
      <c r="K829" t="s">
        <v>74</v>
      </c>
      <c r="L829" t="s">
        <v>74</v>
      </c>
      <c r="M829" t="s">
        <v>78</v>
      </c>
      <c r="N829" t="s">
        <v>79</v>
      </c>
      <c r="O829" t="s">
        <v>74</v>
      </c>
      <c r="P829" t="s">
        <v>74</v>
      </c>
      <c r="Q829" t="s">
        <v>74</v>
      </c>
      <c r="R829" t="s">
        <v>74</v>
      </c>
      <c r="S829" t="s">
        <v>74</v>
      </c>
      <c r="T829" t="s">
        <v>74</v>
      </c>
      <c r="U829" t="s">
        <v>14701</v>
      </c>
      <c r="V829" t="s">
        <v>14702</v>
      </c>
      <c r="W829" t="s">
        <v>14703</v>
      </c>
      <c r="X829" t="s">
        <v>14704</v>
      </c>
      <c r="Y829" t="s">
        <v>14705</v>
      </c>
      <c r="Z829" t="s">
        <v>14706</v>
      </c>
      <c r="AA829" t="s">
        <v>74</v>
      </c>
      <c r="AB829" t="s">
        <v>14707</v>
      </c>
      <c r="AC829" t="s">
        <v>14708</v>
      </c>
      <c r="AD829" t="s">
        <v>14709</v>
      </c>
      <c r="AE829" t="s">
        <v>14710</v>
      </c>
      <c r="AF829" t="s">
        <v>74</v>
      </c>
      <c r="AG829">
        <v>43</v>
      </c>
      <c r="AH829">
        <v>64</v>
      </c>
      <c r="AI829">
        <v>80</v>
      </c>
      <c r="AJ829">
        <v>0</v>
      </c>
      <c r="AK829">
        <v>20</v>
      </c>
      <c r="AL829" t="s">
        <v>264</v>
      </c>
      <c r="AM829" t="s">
        <v>265</v>
      </c>
      <c r="AN829" t="s">
        <v>266</v>
      </c>
      <c r="AO829" t="s">
        <v>1404</v>
      </c>
      <c r="AP829" t="s">
        <v>74</v>
      </c>
      <c r="AQ829" t="s">
        <v>74</v>
      </c>
      <c r="AR829" t="s">
        <v>1405</v>
      </c>
      <c r="AS829" t="s">
        <v>1406</v>
      </c>
      <c r="AT829" t="s">
        <v>12931</v>
      </c>
      <c r="AU829">
        <v>2010</v>
      </c>
      <c r="AV829">
        <v>29</v>
      </c>
      <c r="AW829" t="s">
        <v>14711</v>
      </c>
      <c r="AX829" t="s">
        <v>74</v>
      </c>
      <c r="AY829" t="s">
        <v>74</v>
      </c>
      <c r="AZ829" t="s">
        <v>74</v>
      </c>
      <c r="BA829" t="s">
        <v>74</v>
      </c>
      <c r="BB829">
        <v>1328</v>
      </c>
      <c r="BC829">
        <v>1341</v>
      </c>
      <c r="BD829" t="s">
        <v>74</v>
      </c>
      <c r="BE829" t="s">
        <v>14712</v>
      </c>
      <c r="BF829" t="str">
        <f>HYPERLINK("http://dx.doi.org/10.1016/j.quascirev.2010.02.001","http://dx.doi.org/10.1016/j.quascirev.2010.02.001")</f>
        <v>http://dx.doi.org/10.1016/j.quascirev.2010.02.001</v>
      </c>
      <c r="BG829" t="s">
        <v>74</v>
      </c>
      <c r="BH829" t="s">
        <v>74</v>
      </c>
      <c r="BI829">
        <v>14</v>
      </c>
      <c r="BJ829" t="s">
        <v>1409</v>
      </c>
      <c r="BK829" t="s">
        <v>100</v>
      </c>
      <c r="BL829" t="s">
        <v>1410</v>
      </c>
      <c r="BM829" t="s">
        <v>14713</v>
      </c>
      <c r="BN829" t="s">
        <v>74</v>
      </c>
      <c r="BO829" t="s">
        <v>74</v>
      </c>
      <c r="BP829" t="s">
        <v>74</v>
      </c>
      <c r="BQ829" t="s">
        <v>74</v>
      </c>
      <c r="BR829" t="s">
        <v>104</v>
      </c>
      <c r="BS829" t="s">
        <v>14714</v>
      </c>
      <c r="BT829" t="str">
        <f>HYPERLINK("https%3A%2F%2Fwww.webofscience.com%2Fwos%2Fwoscc%2Ffull-record%2FWOS:000278720500004","View Full Record in Web of Science")</f>
        <v>View Full Record in Web of Science</v>
      </c>
    </row>
    <row r="830" spans="1:72" x14ac:dyDescent="0.15">
      <c r="A830" t="s">
        <v>72</v>
      </c>
      <c r="B830" t="s">
        <v>14715</v>
      </c>
      <c r="C830" t="s">
        <v>74</v>
      </c>
      <c r="D830" t="s">
        <v>74</v>
      </c>
      <c r="E830" t="s">
        <v>74</v>
      </c>
      <c r="F830" t="s">
        <v>14716</v>
      </c>
      <c r="G830" t="s">
        <v>74</v>
      </c>
      <c r="H830" t="s">
        <v>74</v>
      </c>
      <c r="I830" t="s">
        <v>14717</v>
      </c>
      <c r="J830" t="s">
        <v>1393</v>
      </c>
      <c r="K830" t="s">
        <v>74</v>
      </c>
      <c r="L830" t="s">
        <v>74</v>
      </c>
      <c r="M830" t="s">
        <v>78</v>
      </c>
      <c r="N830" t="s">
        <v>79</v>
      </c>
      <c r="O830" t="s">
        <v>74</v>
      </c>
      <c r="P830" t="s">
        <v>74</v>
      </c>
      <c r="Q830" t="s">
        <v>74</v>
      </c>
      <c r="R830" t="s">
        <v>74</v>
      </c>
      <c r="S830" t="s">
        <v>74</v>
      </c>
      <c r="T830" t="s">
        <v>74</v>
      </c>
      <c r="U830" t="s">
        <v>14718</v>
      </c>
      <c r="V830" t="s">
        <v>14719</v>
      </c>
      <c r="W830" t="s">
        <v>14720</v>
      </c>
      <c r="X830" t="s">
        <v>14721</v>
      </c>
      <c r="Y830" t="s">
        <v>14722</v>
      </c>
      <c r="Z830" t="s">
        <v>14723</v>
      </c>
      <c r="AA830" t="s">
        <v>14724</v>
      </c>
      <c r="AB830" t="s">
        <v>14725</v>
      </c>
      <c r="AC830" t="s">
        <v>14726</v>
      </c>
      <c r="AD830" t="s">
        <v>14727</v>
      </c>
      <c r="AE830" t="s">
        <v>14728</v>
      </c>
      <c r="AF830" t="s">
        <v>74</v>
      </c>
      <c r="AG830">
        <v>75</v>
      </c>
      <c r="AH830">
        <v>35</v>
      </c>
      <c r="AI830">
        <v>39</v>
      </c>
      <c r="AJ830">
        <v>0</v>
      </c>
      <c r="AK830">
        <v>21</v>
      </c>
      <c r="AL830" t="s">
        <v>264</v>
      </c>
      <c r="AM830" t="s">
        <v>265</v>
      </c>
      <c r="AN830" t="s">
        <v>266</v>
      </c>
      <c r="AO830" t="s">
        <v>1404</v>
      </c>
      <c r="AP830" t="s">
        <v>74</v>
      </c>
      <c r="AQ830" t="s">
        <v>74</v>
      </c>
      <c r="AR830" t="s">
        <v>1405</v>
      </c>
      <c r="AS830" t="s">
        <v>1406</v>
      </c>
      <c r="AT830" t="s">
        <v>12931</v>
      </c>
      <c r="AU830">
        <v>2010</v>
      </c>
      <c r="AV830">
        <v>29</v>
      </c>
      <c r="AW830" t="s">
        <v>14711</v>
      </c>
      <c r="AX830" t="s">
        <v>74</v>
      </c>
      <c r="AY830" t="s">
        <v>74</v>
      </c>
      <c r="AZ830" t="s">
        <v>74</v>
      </c>
      <c r="BA830" t="s">
        <v>74</v>
      </c>
      <c r="BB830">
        <v>1464</v>
      </c>
      <c r="BC830">
        <v>1471</v>
      </c>
      <c r="BD830" t="s">
        <v>74</v>
      </c>
      <c r="BE830" t="s">
        <v>14729</v>
      </c>
      <c r="BF830" t="str">
        <f>HYPERLINK("http://dx.doi.org/10.1016/j.quascirev.2010.03.005","http://dx.doi.org/10.1016/j.quascirev.2010.03.005")</f>
        <v>http://dx.doi.org/10.1016/j.quascirev.2010.03.005</v>
      </c>
      <c r="BG830" t="s">
        <v>74</v>
      </c>
      <c r="BH830" t="s">
        <v>74</v>
      </c>
      <c r="BI830">
        <v>8</v>
      </c>
      <c r="BJ830" t="s">
        <v>1409</v>
      </c>
      <c r="BK830" t="s">
        <v>100</v>
      </c>
      <c r="BL830" t="s">
        <v>1410</v>
      </c>
      <c r="BM830" t="s">
        <v>14713</v>
      </c>
      <c r="BN830" t="s">
        <v>74</v>
      </c>
      <c r="BO830" t="s">
        <v>631</v>
      </c>
      <c r="BP830" t="s">
        <v>74</v>
      </c>
      <c r="BQ830" t="s">
        <v>74</v>
      </c>
      <c r="BR830" t="s">
        <v>104</v>
      </c>
      <c r="BS830" t="s">
        <v>14730</v>
      </c>
      <c r="BT830" t="str">
        <f>HYPERLINK("https%3A%2F%2Fwww.webofscience.com%2Fwos%2Fwoscc%2Ffull-record%2FWOS:000278720500013","View Full Record in Web of Science")</f>
        <v>View Full Record in Web of Science</v>
      </c>
    </row>
    <row r="831" spans="1:72" x14ac:dyDescent="0.15">
      <c r="A831" t="s">
        <v>72</v>
      </c>
      <c r="B831" t="s">
        <v>14731</v>
      </c>
      <c r="C831" t="s">
        <v>74</v>
      </c>
      <c r="D831" t="s">
        <v>74</v>
      </c>
      <c r="E831" t="s">
        <v>74</v>
      </c>
      <c r="F831" t="s">
        <v>14732</v>
      </c>
      <c r="G831" t="s">
        <v>74</v>
      </c>
      <c r="H831" t="s">
        <v>74</v>
      </c>
      <c r="I831" t="s">
        <v>14733</v>
      </c>
      <c r="J831" t="s">
        <v>6971</v>
      </c>
      <c r="K831" t="s">
        <v>74</v>
      </c>
      <c r="L831" t="s">
        <v>74</v>
      </c>
      <c r="M831" t="s">
        <v>78</v>
      </c>
      <c r="N831" t="s">
        <v>79</v>
      </c>
      <c r="O831" t="s">
        <v>74</v>
      </c>
      <c r="P831" t="s">
        <v>74</v>
      </c>
      <c r="Q831" t="s">
        <v>74</v>
      </c>
      <c r="R831" t="s">
        <v>74</v>
      </c>
      <c r="S831" t="s">
        <v>74</v>
      </c>
      <c r="T831" t="s">
        <v>14734</v>
      </c>
      <c r="U831" t="s">
        <v>14735</v>
      </c>
      <c r="V831" t="s">
        <v>14736</v>
      </c>
      <c r="W831" t="s">
        <v>14737</v>
      </c>
      <c r="X831" t="s">
        <v>14738</v>
      </c>
      <c r="Y831" t="s">
        <v>14739</v>
      </c>
      <c r="Z831" t="s">
        <v>14740</v>
      </c>
      <c r="AA831" t="s">
        <v>74</v>
      </c>
      <c r="AB831" t="s">
        <v>74</v>
      </c>
      <c r="AC831" t="s">
        <v>14741</v>
      </c>
      <c r="AD831" t="s">
        <v>14742</v>
      </c>
      <c r="AE831" t="s">
        <v>14743</v>
      </c>
      <c r="AF831" t="s">
        <v>74</v>
      </c>
      <c r="AG831">
        <v>24</v>
      </c>
      <c r="AH831">
        <v>3</v>
      </c>
      <c r="AI831">
        <v>3</v>
      </c>
      <c r="AJ831">
        <v>0</v>
      </c>
      <c r="AK831">
        <v>7</v>
      </c>
      <c r="AL831" t="s">
        <v>436</v>
      </c>
      <c r="AM831" t="s">
        <v>437</v>
      </c>
      <c r="AN831" t="s">
        <v>438</v>
      </c>
      <c r="AO831" t="s">
        <v>6981</v>
      </c>
      <c r="AP831" t="s">
        <v>14744</v>
      </c>
      <c r="AQ831" t="s">
        <v>74</v>
      </c>
      <c r="AR831" t="s">
        <v>6982</v>
      </c>
      <c r="AS831" t="s">
        <v>6983</v>
      </c>
      <c r="AT831" t="s">
        <v>12931</v>
      </c>
      <c r="AU831">
        <v>2010</v>
      </c>
      <c r="AV831">
        <v>53</v>
      </c>
      <c r="AW831">
        <v>6</v>
      </c>
      <c r="AX831" t="s">
        <v>74</v>
      </c>
      <c r="AY831" t="s">
        <v>74</v>
      </c>
      <c r="AZ831" t="s">
        <v>74</v>
      </c>
      <c r="BA831" t="s">
        <v>74</v>
      </c>
      <c r="BB831">
        <v>892</v>
      </c>
      <c r="BC831">
        <v>900</v>
      </c>
      <c r="BD831" t="s">
        <v>74</v>
      </c>
      <c r="BE831" t="s">
        <v>14745</v>
      </c>
      <c r="BF831" t="str">
        <f>HYPERLINK("http://dx.doi.org/10.1007/s11430-010-0078-z","http://dx.doi.org/10.1007/s11430-010-0078-z")</f>
        <v>http://dx.doi.org/10.1007/s11430-010-0078-z</v>
      </c>
      <c r="BG831" t="s">
        <v>74</v>
      </c>
      <c r="BH831" t="s">
        <v>74</v>
      </c>
      <c r="BI831">
        <v>9</v>
      </c>
      <c r="BJ831" t="s">
        <v>1194</v>
      </c>
      <c r="BK831" t="s">
        <v>100</v>
      </c>
      <c r="BL831" t="s">
        <v>807</v>
      </c>
      <c r="BM831" t="s">
        <v>14746</v>
      </c>
      <c r="BN831" t="s">
        <v>74</v>
      </c>
      <c r="BO831" t="s">
        <v>74</v>
      </c>
      <c r="BP831" t="s">
        <v>74</v>
      </c>
      <c r="BQ831" t="s">
        <v>74</v>
      </c>
      <c r="BR831" t="s">
        <v>104</v>
      </c>
      <c r="BS831" t="s">
        <v>14747</v>
      </c>
      <c r="BT831" t="str">
        <f>HYPERLINK("https%3A%2F%2Fwww.webofscience.com%2Fwos%2Fwoscc%2Ffull-record%2FWOS:000278363300012","View Full Record in Web of Science")</f>
        <v>View Full Record in Web of Science</v>
      </c>
    </row>
    <row r="832" spans="1:72" x14ac:dyDescent="0.15">
      <c r="A832" t="s">
        <v>72</v>
      </c>
      <c r="B832" t="s">
        <v>14748</v>
      </c>
      <c r="C832" t="s">
        <v>74</v>
      </c>
      <c r="D832" t="s">
        <v>74</v>
      </c>
      <c r="E832" t="s">
        <v>74</v>
      </c>
      <c r="F832" t="s">
        <v>14749</v>
      </c>
      <c r="G832" t="s">
        <v>74</v>
      </c>
      <c r="H832" t="s">
        <v>74</v>
      </c>
      <c r="I832" t="s">
        <v>14750</v>
      </c>
      <c r="J832" t="s">
        <v>6971</v>
      </c>
      <c r="K832" t="s">
        <v>74</v>
      </c>
      <c r="L832" t="s">
        <v>74</v>
      </c>
      <c r="M832" t="s">
        <v>78</v>
      </c>
      <c r="N832" t="s">
        <v>79</v>
      </c>
      <c r="O832" t="s">
        <v>74</v>
      </c>
      <c r="P832" t="s">
        <v>74</v>
      </c>
      <c r="Q832" t="s">
        <v>74</v>
      </c>
      <c r="R832" t="s">
        <v>74</v>
      </c>
      <c r="S832" t="s">
        <v>74</v>
      </c>
      <c r="T832" t="s">
        <v>14751</v>
      </c>
      <c r="U832" t="s">
        <v>74</v>
      </c>
      <c r="V832" t="s">
        <v>14752</v>
      </c>
      <c r="W832" t="s">
        <v>14753</v>
      </c>
      <c r="X832" t="s">
        <v>14754</v>
      </c>
      <c r="Y832" t="s">
        <v>14755</v>
      </c>
      <c r="Z832" t="s">
        <v>14756</v>
      </c>
      <c r="AA832" t="s">
        <v>7155</v>
      </c>
      <c r="AB832" t="s">
        <v>74</v>
      </c>
      <c r="AC832" t="s">
        <v>14757</v>
      </c>
      <c r="AD832" t="s">
        <v>14758</v>
      </c>
      <c r="AE832" t="s">
        <v>14759</v>
      </c>
      <c r="AF832" t="s">
        <v>74</v>
      </c>
      <c r="AG832">
        <v>16</v>
      </c>
      <c r="AH832">
        <v>19</v>
      </c>
      <c r="AI832">
        <v>27</v>
      </c>
      <c r="AJ832">
        <v>2</v>
      </c>
      <c r="AK832">
        <v>11</v>
      </c>
      <c r="AL832" t="s">
        <v>436</v>
      </c>
      <c r="AM832" t="s">
        <v>437</v>
      </c>
      <c r="AN832" t="s">
        <v>438</v>
      </c>
      <c r="AO832" t="s">
        <v>6981</v>
      </c>
      <c r="AP832" t="s">
        <v>14744</v>
      </c>
      <c r="AQ832" t="s">
        <v>74</v>
      </c>
      <c r="AR832" t="s">
        <v>6982</v>
      </c>
      <c r="AS832" t="s">
        <v>6983</v>
      </c>
      <c r="AT832" t="s">
        <v>12931</v>
      </c>
      <c r="AU832">
        <v>2010</v>
      </c>
      <c r="AV832">
        <v>53</v>
      </c>
      <c r="AW832">
        <v>6</v>
      </c>
      <c r="AX832" t="s">
        <v>74</v>
      </c>
      <c r="AY832" t="s">
        <v>74</v>
      </c>
      <c r="AZ832" t="s">
        <v>74</v>
      </c>
      <c r="BA832" t="s">
        <v>74</v>
      </c>
      <c r="BB832">
        <v>911</v>
      </c>
      <c r="BC832">
        <v>918</v>
      </c>
      <c r="BD832" t="s">
        <v>74</v>
      </c>
      <c r="BE832" t="s">
        <v>14760</v>
      </c>
      <c r="BF832" t="str">
        <f>HYPERLINK("http://dx.doi.org/10.1007/s11430-010-0051-x","http://dx.doi.org/10.1007/s11430-010-0051-x")</f>
        <v>http://dx.doi.org/10.1007/s11430-010-0051-x</v>
      </c>
      <c r="BG832" t="s">
        <v>74</v>
      </c>
      <c r="BH832" t="s">
        <v>74</v>
      </c>
      <c r="BI832">
        <v>8</v>
      </c>
      <c r="BJ832" t="s">
        <v>1194</v>
      </c>
      <c r="BK832" t="s">
        <v>100</v>
      </c>
      <c r="BL832" t="s">
        <v>807</v>
      </c>
      <c r="BM832" t="s">
        <v>14746</v>
      </c>
      <c r="BN832" t="s">
        <v>74</v>
      </c>
      <c r="BO832" t="s">
        <v>74</v>
      </c>
      <c r="BP832" t="s">
        <v>74</v>
      </c>
      <c r="BQ832" t="s">
        <v>74</v>
      </c>
      <c r="BR832" t="s">
        <v>104</v>
      </c>
      <c r="BS832" t="s">
        <v>14761</v>
      </c>
      <c r="BT832" t="str">
        <f>HYPERLINK("https%3A%2F%2Fwww.webofscience.com%2Fwos%2Fwoscc%2Ffull-record%2FWOS:000278363300014","View Full Record in Web of Science")</f>
        <v>View Full Record in Web of Science</v>
      </c>
    </row>
    <row r="833" spans="1:72" x14ac:dyDescent="0.15">
      <c r="A833" t="s">
        <v>72</v>
      </c>
      <c r="B833" t="s">
        <v>14762</v>
      </c>
      <c r="C833" t="s">
        <v>74</v>
      </c>
      <c r="D833" t="s">
        <v>74</v>
      </c>
      <c r="E833" t="s">
        <v>74</v>
      </c>
      <c r="F833" t="s">
        <v>14763</v>
      </c>
      <c r="G833" t="s">
        <v>74</v>
      </c>
      <c r="H833" t="s">
        <v>74</v>
      </c>
      <c r="I833" t="s">
        <v>14764</v>
      </c>
      <c r="J833" t="s">
        <v>14765</v>
      </c>
      <c r="K833" t="s">
        <v>74</v>
      </c>
      <c r="L833" t="s">
        <v>74</v>
      </c>
      <c r="M833" t="s">
        <v>78</v>
      </c>
      <c r="N833" t="s">
        <v>79</v>
      </c>
      <c r="O833" t="s">
        <v>74</v>
      </c>
      <c r="P833" t="s">
        <v>74</v>
      </c>
      <c r="Q833" t="s">
        <v>74</v>
      </c>
      <c r="R833" t="s">
        <v>74</v>
      </c>
      <c r="S833" t="s">
        <v>74</v>
      </c>
      <c r="T833" t="s">
        <v>14766</v>
      </c>
      <c r="U833" t="s">
        <v>14767</v>
      </c>
      <c r="V833" t="s">
        <v>14768</v>
      </c>
      <c r="W833" t="s">
        <v>14769</v>
      </c>
      <c r="X833" t="s">
        <v>14770</v>
      </c>
      <c r="Y833" t="s">
        <v>14771</v>
      </c>
      <c r="Z833" t="s">
        <v>14772</v>
      </c>
      <c r="AA833" t="s">
        <v>14773</v>
      </c>
      <c r="AB833" t="s">
        <v>14774</v>
      </c>
      <c r="AC833" t="s">
        <v>14775</v>
      </c>
      <c r="AD833" t="s">
        <v>14776</v>
      </c>
      <c r="AE833" t="s">
        <v>14777</v>
      </c>
      <c r="AF833" t="s">
        <v>74</v>
      </c>
      <c r="AG833">
        <v>60</v>
      </c>
      <c r="AH833">
        <v>5</v>
      </c>
      <c r="AI833">
        <v>5</v>
      </c>
      <c r="AJ833">
        <v>0</v>
      </c>
      <c r="AK833">
        <v>4</v>
      </c>
      <c r="AL833" t="s">
        <v>14778</v>
      </c>
      <c r="AM833" t="s">
        <v>14779</v>
      </c>
      <c r="AN833" t="s">
        <v>14780</v>
      </c>
      <c r="AO833" t="s">
        <v>14781</v>
      </c>
      <c r="AP833" t="s">
        <v>74</v>
      </c>
      <c r="AQ833" t="s">
        <v>74</v>
      </c>
      <c r="AR833" t="s">
        <v>14765</v>
      </c>
      <c r="AS833" t="s">
        <v>14782</v>
      </c>
      <c r="AT833" t="s">
        <v>12931</v>
      </c>
      <c r="AU833">
        <v>2010</v>
      </c>
      <c r="AV833">
        <v>26</v>
      </c>
      <c r="AW833">
        <v>2</v>
      </c>
      <c r="AX833" t="s">
        <v>74</v>
      </c>
      <c r="AY833" t="s">
        <v>74</v>
      </c>
      <c r="AZ833" t="s">
        <v>74</v>
      </c>
      <c r="BA833" t="s">
        <v>74</v>
      </c>
      <c r="BB833">
        <v>47</v>
      </c>
      <c r="BC833">
        <v>74</v>
      </c>
      <c r="BD833" t="s">
        <v>74</v>
      </c>
      <c r="BE833" t="s">
        <v>74</v>
      </c>
      <c r="BF833" t="s">
        <v>74</v>
      </c>
      <c r="BG833" t="s">
        <v>74</v>
      </c>
      <c r="BH833" t="s">
        <v>74</v>
      </c>
      <c r="BI833">
        <v>28</v>
      </c>
      <c r="BJ833" t="s">
        <v>930</v>
      </c>
      <c r="BK833" t="s">
        <v>100</v>
      </c>
      <c r="BL833" t="s">
        <v>930</v>
      </c>
      <c r="BM833" t="s">
        <v>14783</v>
      </c>
      <c r="BN833" t="s">
        <v>74</v>
      </c>
      <c r="BO833" t="s">
        <v>74</v>
      </c>
      <c r="BP833" t="s">
        <v>74</v>
      </c>
      <c r="BQ833" t="s">
        <v>74</v>
      </c>
      <c r="BR833" t="s">
        <v>104</v>
      </c>
      <c r="BS833" t="s">
        <v>14784</v>
      </c>
      <c r="BT833" t="str">
        <f>HYPERLINK("https%3A%2F%2Fwww.webofscience.com%2Fwos%2Fwoscc%2Ffull-record%2FWOS:000277922300004","View Full Record in Web of Science")</f>
        <v>View Full Record in Web of Science</v>
      </c>
    </row>
    <row r="834" spans="1:72" x14ac:dyDescent="0.15">
      <c r="A834" t="s">
        <v>72</v>
      </c>
      <c r="B834" t="s">
        <v>14785</v>
      </c>
      <c r="C834" t="s">
        <v>74</v>
      </c>
      <c r="D834" t="s">
        <v>74</v>
      </c>
      <c r="E834" t="s">
        <v>74</v>
      </c>
      <c r="F834" t="s">
        <v>14786</v>
      </c>
      <c r="G834" t="s">
        <v>74</v>
      </c>
      <c r="H834" t="s">
        <v>74</v>
      </c>
      <c r="I834" t="s">
        <v>14787</v>
      </c>
      <c r="J834" t="s">
        <v>1702</v>
      </c>
      <c r="K834" t="s">
        <v>74</v>
      </c>
      <c r="L834" t="s">
        <v>74</v>
      </c>
      <c r="M834" t="s">
        <v>78</v>
      </c>
      <c r="N834" t="s">
        <v>79</v>
      </c>
      <c r="O834" t="s">
        <v>74</v>
      </c>
      <c r="P834" t="s">
        <v>74</v>
      </c>
      <c r="Q834" t="s">
        <v>74</v>
      </c>
      <c r="R834" t="s">
        <v>74</v>
      </c>
      <c r="S834" t="s">
        <v>74</v>
      </c>
      <c r="T834" t="s">
        <v>74</v>
      </c>
      <c r="U834" t="s">
        <v>14788</v>
      </c>
      <c r="V834" t="s">
        <v>14789</v>
      </c>
      <c r="W834" t="s">
        <v>14790</v>
      </c>
      <c r="X834" t="s">
        <v>14791</v>
      </c>
      <c r="Y834" t="s">
        <v>14792</v>
      </c>
      <c r="Z834" t="s">
        <v>14793</v>
      </c>
      <c r="AA834" t="s">
        <v>14794</v>
      </c>
      <c r="AB834" t="s">
        <v>14795</v>
      </c>
      <c r="AC834" t="s">
        <v>14796</v>
      </c>
      <c r="AD834" t="s">
        <v>14797</v>
      </c>
      <c r="AE834" t="s">
        <v>14798</v>
      </c>
      <c r="AF834" t="s">
        <v>74</v>
      </c>
      <c r="AG834">
        <v>83</v>
      </c>
      <c r="AH834">
        <v>47</v>
      </c>
      <c r="AI834">
        <v>56</v>
      </c>
      <c r="AJ834">
        <v>1</v>
      </c>
      <c r="AK834">
        <v>25</v>
      </c>
      <c r="AL834" t="s">
        <v>1521</v>
      </c>
      <c r="AM834" t="s">
        <v>1522</v>
      </c>
      <c r="AN834" t="s">
        <v>1523</v>
      </c>
      <c r="AO834" t="s">
        <v>1714</v>
      </c>
      <c r="AP834" t="s">
        <v>1715</v>
      </c>
      <c r="AQ834" t="s">
        <v>74</v>
      </c>
      <c r="AR834" t="s">
        <v>1716</v>
      </c>
      <c r="AS834" t="s">
        <v>1717</v>
      </c>
      <c r="AT834" t="s">
        <v>14799</v>
      </c>
      <c r="AU834">
        <v>2010</v>
      </c>
      <c r="AV834">
        <v>115</v>
      </c>
      <c r="AW834" t="s">
        <v>74</v>
      </c>
      <c r="AX834" t="s">
        <v>74</v>
      </c>
      <c r="AY834" t="s">
        <v>74</v>
      </c>
      <c r="AZ834" t="s">
        <v>74</v>
      </c>
      <c r="BA834" t="s">
        <v>74</v>
      </c>
      <c r="BB834" t="s">
        <v>74</v>
      </c>
      <c r="BC834" t="s">
        <v>74</v>
      </c>
      <c r="BD834" t="s">
        <v>14800</v>
      </c>
      <c r="BE834" t="s">
        <v>14801</v>
      </c>
      <c r="BF834" t="str">
        <f>HYPERLINK("http://dx.doi.org/10.1029/2008JD011535","http://dx.doi.org/10.1029/2008JD011535")</f>
        <v>http://dx.doi.org/10.1029/2008JD011535</v>
      </c>
      <c r="BG834" t="s">
        <v>74</v>
      </c>
      <c r="BH834" t="s">
        <v>74</v>
      </c>
      <c r="BI834">
        <v>15</v>
      </c>
      <c r="BJ834" t="s">
        <v>319</v>
      </c>
      <c r="BK834" t="s">
        <v>100</v>
      </c>
      <c r="BL834" t="s">
        <v>319</v>
      </c>
      <c r="BM834" t="s">
        <v>14802</v>
      </c>
      <c r="BN834" t="s">
        <v>74</v>
      </c>
      <c r="BO834" t="s">
        <v>1533</v>
      </c>
      <c r="BP834" t="s">
        <v>74</v>
      </c>
      <c r="BQ834" t="s">
        <v>74</v>
      </c>
      <c r="BR834" t="s">
        <v>104</v>
      </c>
      <c r="BS834" t="s">
        <v>14803</v>
      </c>
      <c r="BT834" t="str">
        <f>HYPERLINK("https%3A%2F%2Fwww.webofscience.com%2Fwos%2Fwoscc%2Ffull-record%2FWOS:000278237100002","View Full Record in Web of Science")</f>
        <v>View Full Record in Web of Science</v>
      </c>
    </row>
    <row r="835" spans="1:72" x14ac:dyDescent="0.15">
      <c r="A835" t="s">
        <v>72</v>
      </c>
      <c r="B835" t="s">
        <v>14804</v>
      </c>
      <c r="C835" t="s">
        <v>74</v>
      </c>
      <c r="D835" t="s">
        <v>74</v>
      </c>
      <c r="E835" t="s">
        <v>74</v>
      </c>
      <c r="F835" t="s">
        <v>14805</v>
      </c>
      <c r="G835" t="s">
        <v>74</v>
      </c>
      <c r="H835" t="s">
        <v>74</v>
      </c>
      <c r="I835" t="s">
        <v>14806</v>
      </c>
      <c r="J835" t="s">
        <v>1702</v>
      </c>
      <c r="K835" t="s">
        <v>74</v>
      </c>
      <c r="L835" t="s">
        <v>74</v>
      </c>
      <c r="M835" t="s">
        <v>78</v>
      </c>
      <c r="N835" t="s">
        <v>79</v>
      </c>
      <c r="O835" t="s">
        <v>74</v>
      </c>
      <c r="P835" t="s">
        <v>74</v>
      </c>
      <c r="Q835" t="s">
        <v>74</v>
      </c>
      <c r="R835" t="s">
        <v>74</v>
      </c>
      <c r="S835" t="s">
        <v>74</v>
      </c>
      <c r="T835" t="s">
        <v>74</v>
      </c>
      <c r="U835" t="s">
        <v>14807</v>
      </c>
      <c r="V835" t="s">
        <v>14808</v>
      </c>
      <c r="W835" t="s">
        <v>14809</v>
      </c>
      <c r="X835" t="s">
        <v>14810</v>
      </c>
      <c r="Y835" t="s">
        <v>14811</v>
      </c>
      <c r="Z835" t="s">
        <v>14812</v>
      </c>
      <c r="AA835" t="s">
        <v>14813</v>
      </c>
      <c r="AB835" t="s">
        <v>14814</v>
      </c>
      <c r="AC835" t="s">
        <v>74</v>
      </c>
      <c r="AD835" t="s">
        <v>74</v>
      </c>
      <c r="AE835" t="s">
        <v>74</v>
      </c>
      <c r="AF835" t="s">
        <v>74</v>
      </c>
      <c r="AG835">
        <v>32</v>
      </c>
      <c r="AH835">
        <v>39</v>
      </c>
      <c r="AI835">
        <v>42</v>
      </c>
      <c r="AJ835">
        <v>1</v>
      </c>
      <c r="AK835">
        <v>31</v>
      </c>
      <c r="AL835" t="s">
        <v>1521</v>
      </c>
      <c r="AM835" t="s">
        <v>1522</v>
      </c>
      <c r="AN835" t="s">
        <v>1523</v>
      </c>
      <c r="AO835" t="s">
        <v>1714</v>
      </c>
      <c r="AP835" t="s">
        <v>1715</v>
      </c>
      <c r="AQ835" t="s">
        <v>74</v>
      </c>
      <c r="AR835" t="s">
        <v>1716</v>
      </c>
      <c r="AS835" t="s">
        <v>1717</v>
      </c>
      <c r="AT835" t="s">
        <v>14815</v>
      </c>
      <c r="AU835">
        <v>2010</v>
      </c>
      <c r="AV835">
        <v>115</v>
      </c>
      <c r="AW835" t="s">
        <v>74</v>
      </c>
      <c r="AX835" t="s">
        <v>74</v>
      </c>
      <c r="AY835" t="s">
        <v>74</v>
      </c>
      <c r="AZ835" t="s">
        <v>74</v>
      </c>
      <c r="BA835" t="s">
        <v>74</v>
      </c>
      <c r="BB835" t="s">
        <v>74</v>
      </c>
      <c r="BC835" t="s">
        <v>74</v>
      </c>
      <c r="BD835" t="s">
        <v>14816</v>
      </c>
      <c r="BE835" t="s">
        <v>14817</v>
      </c>
      <c r="BF835" t="str">
        <f>HYPERLINK("http://dx.doi.org/10.1029/2009JD013381","http://dx.doi.org/10.1029/2009JD013381")</f>
        <v>http://dx.doi.org/10.1029/2009JD013381</v>
      </c>
      <c r="BG835" t="s">
        <v>74</v>
      </c>
      <c r="BH835" t="s">
        <v>74</v>
      </c>
      <c r="BI835">
        <v>7</v>
      </c>
      <c r="BJ835" t="s">
        <v>319</v>
      </c>
      <c r="BK835" t="s">
        <v>100</v>
      </c>
      <c r="BL835" t="s">
        <v>319</v>
      </c>
      <c r="BM835" t="s">
        <v>14818</v>
      </c>
      <c r="BN835" t="s">
        <v>74</v>
      </c>
      <c r="BO835" t="s">
        <v>74</v>
      </c>
      <c r="BP835" t="s">
        <v>74</v>
      </c>
      <c r="BQ835" t="s">
        <v>74</v>
      </c>
      <c r="BR835" t="s">
        <v>104</v>
      </c>
      <c r="BS835" t="s">
        <v>14819</v>
      </c>
      <c r="BT835" t="str">
        <f>HYPERLINK("https%3A%2F%2Fwww.webofscience.com%2Fwos%2Fwoscc%2Ffull-record%2FWOS:000278236800002","View Full Record in Web of Science")</f>
        <v>View Full Record in Web of Science</v>
      </c>
    </row>
    <row r="836" spans="1:72" x14ac:dyDescent="0.15">
      <c r="A836" t="s">
        <v>72</v>
      </c>
      <c r="B836" t="s">
        <v>14820</v>
      </c>
      <c r="C836" t="s">
        <v>74</v>
      </c>
      <c r="D836" t="s">
        <v>74</v>
      </c>
      <c r="E836" t="s">
        <v>74</v>
      </c>
      <c r="F836" t="s">
        <v>14821</v>
      </c>
      <c r="G836" t="s">
        <v>74</v>
      </c>
      <c r="H836" t="s">
        <v>74</v>
      </c>
      <c r="I836" t="s">
        <v>14822</v>
      </c>
      <c r="J836" t="s">
        <v>10359</v>
      </c>
      <c r="K836" t="s">
        <v>74</v>
      </c>
      <c r="L836" t="s">
        <v>74</v>
      </c>
      <c r="M836" t="s">
        <v>78</v>
      </c>
      <c r="N836" t="s">
        <v>326</v>
      </c>
      <c r="O836" t="s">
        <v>74</v>
      </c>
      <c r="P836" t="s">
        <v>74</v>
      </c>
      <c r="Q836" t="s">
        <v>74</v>
      </c>
      <c r="R836" t="s">
        <v>74</v>
      </c>
      <c r="S836" t="s">
        <v>74</v>
      </c>
      <c r="T836" t="s">
        <v>14823</v>
      </c>
      <c r="U836" t="s">
        <v>14824</v>
      </c>
      <c r="V836" t="s">
        <v>14825</v>
      </c>
      <c r="W836" t="s">
        <v>14826</v>
      </c>
      <c r="X836" t="s">
        <v>14827</v>
      </c>
      <c r="Y836" t="s">
        <v>14828</v>
      </c>
      <c r="Z836" t="s">
        <v>14829</v>
      </c>
      <c r="AA836" t="s">
        <v>14830</v>
      </c>
      <c r="AB836" t="s">
        <v>14831</v>
      </c>
      <c r="AC836" t="s">
        <v>14832</v>
      </c>
      <c r="AD836" t="s">
        <v>14833</v>
      </c>
      <c r="AE836" t="s">
        <v>14834</v>
      </c>
      <c r="AF836" t="s">
        <v>74</v>
      </c>
      <c r="AG836">
        <v>103</v>
      </c>
      <c r="AH836">
        <v>175</v>
      </c>
      <c r="AI836">
        <v>213</v>
      </c>
      <c r="AJ836">
        <v>7</v>
      </c>
      <c r="AK836">
        <v>157</v>
      </c>
      <c r="AL836" t="s">
        <v>1670</v>
      </c>
      <c r="AM836" t="s">
        <v>1598</v>
      </c>
      <c r="AN836" t="s">
        <v>1671</v>
      </c>
      <c r="AO836" t="s">
        <v>10365</v>
      </c>
      <c r="AP836" t="s">
        <v>10386</v>
      </c>
      <c r="AQ836" t="s">
        <v>74</v>
      </c>
      <c r="AR836" t="s">
        <v>10366</v>
      </c>
      <c r="AS836" t="s">
        <v>10367</v>
      </c>
      <c r="AT836" t="s">
        <v>14815</v>
      </c>
      <c r="AU836">
        <v>2010</v>
      </c>
      <c r="AV836">
        <v>368</v>
      </c>
      <c r="AW836">
        <v>1919</v>
      </c>
      <c r="AX836" t="s">
        <v>74</v>
      </c>
      <c r="AY836" t="s">
        <v>74</v>
      </c>
      <c r="AZ836" t="s">
        <v>74</v>
      </c>
      <c r="BA836" t="s">
        <v>74</v>
      </c>
      <c r="BB836">
        <v>2369</v>
      </c>
      <c r="BC836">
        <v>2393</v>
      </c>
      <c r="BD836" t="s">
        <v>74</v>
      </c>
      <c r="BE836" t="s">
        <v>14835</v>
      </c>
      <c r="BF836" t="str">
        <f>HYPERLINK("http://dx.doi.org/10.1098/rsta.2010.0065","http://dx.doi.org/10.1098/rsta.2010.0065")</f>
        <v>http://dx.doi.org/10.1098/rsta.2010.0065</v>
      </c>
      <c r="BG836" t="s">
        <v>74</v>
      </c>
      <c r="BH836" t="s">
        <v>74</v>
      </c>
      <c r="BI836">
        <v>25</v>
      </c>
      <c r="BJ836" t="s">
        <v>444</v>
      </c>
      <c r="BK836" t="s">
        <v>100</v>
      </c>
      <c r="BL836" t="s">
        <v>445</v>
      </c>
      <c r="BM836" t="s">
        <v>14836</v>
      </c>
      <c r="BN836">
        <v>20403833</v>
      </c>
      <c r="BO836" t="s">
        <v>74</v>
      </c>
      <c r="BP836" t="s">
        <v>74</v>
      </c>
      <c r="BQ836" t="s">
        <v>74</v>
      </c>
      <c r="BR836" t="s">
        <v>104</v>
      </c>
      <c r="BS836" t="s">
        <v>14837</v>
      </c>
      <c r="BT836" t="str">
        <f>HYPERLINK("https%3A%2F%2Fwww.webofscience.com%2Fwos%2Fwoscc%2Ffull-record%2FWOS:000277232300004","View Full Record in Web of Science")</f>
        <v>View Full Record in Web of Science</v>
      </c>
    </row>
    <row r="837" spans="1:72" x14ac:dyDescent="0.15">
      <c r="A837" t="s">
        <v>72</v>
      </c>
      <c r="B837" t="s">
        <v>14838</v>
      </c>
      <c r="C837" t="s">
        <v>74</v>
      </c>
      <c r="D837" t="s">
        <v>74</v>
      </c>
      <c r="E837" t="s">
        <v>74</v>
      </c>
      <c r="F837" t="s">
        <v>14839</v>
      </c>
      <c r="G837" t="s">
        <v>74</v>
      </c>
      <c r="H837" t="s">
        <v>74</v>
      </c>
      <c r="I837" t="s">
        <v>14840</v>
      </c>
      <c r="J837" t="s">
        <v>4716</v>
      </c>
      <c r="K837" t="s">
        <v>74</v>
      </c>
      <c r="L837" t="s">
        <v>74</v>
      </c>
      <c r="M837" t="s">
        <v>78</v>
      </c>
      <c r="N837" t="s">
        <v>79</v>
      </c>
      <c r="O837" t="s">
        <v>74</v>
      </c>
      <c r="P837" t="s">
        <v>74</v>
      </c>
      <c r="Q837" t="s">
        <v>74</v>
      </c>
      <c r="R837" t="s">
        <v>74</v>
      </c>
      <c r="S837" t="s">
        <v>74</v>
      </c>
      <c r="T837" t="s">
        <v>74</v>
      </c>
      <c r="U837" t="s">
        <v>14841</v>
      </c>
      <c r="V837" t="s">
        <v>14842</v>
      </c>
      <c r="W837" t="s">
        <v>14843</v>
      </c>
      <c r="X837" t="s">
        <v>14844</v>
      </c>
      <c r="Y837" t="s">
        <v>14845</v>
      </c>
      <c r="Z837" t="s">
        <v>14846</v>
      </c>
      <c r="AA837" t="s">
        <v>14847</v>
      </c>
      <c r="AB837" t="s">
        <v>14848</v>
      </c>
      <c r="AC837" t="s">
        <v>14849</v>
      </c>
      <c r="AD837" t="s">
        <v>14850</v>
      </c>
      <c r="AE837" t="s">
        <v>14851</v>
      </c>
      <c r="AF837" t="s">
        <v>74</v>
      </c>
      <c r="AG837">
        <v>28</v>
      </c>
      <c r="AH837">
        <v>368</v>
      </c>
      <c r="AI837">
        <v>408</v>
      </c>
      <c r="AJ837">
        <v>4</v>
      </c>
      <c r="AK837">
        <v>129</v>
      </c>
      <c r="AL837" t="s">
        <v>4717</v>
      </c>
      <c r="AM837" t="s">
        <v>1522</v>
      </c>
      <c r="AN837" t="s">
        <v>4718</v>
      </c>
      <c r="AO837" t="s">
        <v>4719</v>
      </c>
      <c r="AP837" t="s">
        <v>5162</v>
      </c>
      <c r="AQ837" t="s">
        <v>74</v>
      </c>
      <c r="AR837" t="s">
        <v>4716</v>
      </c>
      <c r="AS837" t="s">
        <v>4720</v>
      </c>
      <c r="AT837" t="s">
        <v>14815</v>
      </c>
      <c r="AU837">
        <v>2010</v>
      </c>
      <c r="AV837">
        <v>328</v>
      </c>
      <c r="AW837">
        <v>5982</v>
      </c>
      <c r="AX837" t="s">
        <v>74</v>
      </c>
      <c r="AY837" t="s">
        <v>74</v>
      </c>
      <c r="AZ837" t="s">
        <v>74</v>
      </c>
      <c r="BA837" t="s">
        <v>74</v>
      </c>
      <c r="BB837">
        <v>1147</v>
      </c>
      <c r="BC837">
        <v>1151</v>
      </c>
      <c r="BD837" t="s">
        <v>74</v>
      </c>
      <c r="BE837" t="s">
        <v>14852</v>
      </c>
      <c r="BF837" t="str">
        <f>HYPERLINK("http://dx.doi.org/10.1126/science.1183627","http://dx.doi.org/10.1126/science.1183627")</f>
        <v>http://dx.doi.org/10.1126/science.1183627</v>
      </c>
      <c r="BG837" t="s">
        <v>74</v>
      </c>
      <c r="BH837" t="s">
        <v>74</v>
      </c>
      <c r="BI837">
        <v>5</v>
      </c>
      <c r="BJ837" t="s">
        <v>444</v>
      </c>
      <c r="BK837" t="s">
        <v>100</v>
      </c>
      <c r="BL837" t="s">
        <v>445</v>
      </c>
      <c r="BM837" t="s">
        <v>14853</v>
      </c>
      <c r="BN837">
        <v>20508128</v>
      </c>
      <c r="BO837" t="s">
        <v>134</v>
      </c>
      <c r="BP837" t="s">
        <v>74</v>
      </c>
      <c r="BQ837" t="s">
        <v>74</v>
      </c>
      <c r="BR837" t="s">
        <v>104</v>
      </c>
      <c r="BS837" t="s">
        <v>14854</v>
      </c>
      <c r="BT837" t="str">
        <f>HYPERLINK("https%3A%2F%2Fwww.webofscience.com%2Fwos%2Fwoscc%2Ffull-record%2FWOS:000278104700041","View Full Record in Web of Science")</f>
        <v>View Full Record in Web of Science</v>
      </c>
    </row>
    <row r="838" spans="1:72" x14ac:dyDescent="0.15">
      <c r="A838" t="s">
        <v>72</v>
      </c>
      <c r="B838" t="s">
        <v>14855</v>
      </c>
      <c r="C838" t="s">
        <v>74</v>
      </c>
      <c r="D838" t="s">
        <v>74</v>
      </c>
      <c r="E838" t="s">
        <v>74</v>
      </c>
      <c r="F838" t="s">
        <v>14856</v>
      </c>
      <c r="G838" t="s">
        <v>74</v>
      </c>
      <c r="H838" t="s">
        <v>74</v>
      </c>
      <c r="I838" t="s">
        <v>14857</v>
      </c>
      <c r="J838" t="s">
        <v>14858</v>
      </c>
      <c r="K838" t="s">
        <v>74</v>
      </c>
      <c r="L838" t="s">
        <v>74</v>
      </c>
      <c r="M838" t="s">
        <v>78</v>
      </c>
      <c r="N838" t="s">
        <v>79</v>
      </c>
      <c r="O838" t="s">
        <v>74</v>
      </c>
      <c r="P838" t="s">
        <v>74</v>
      </c>
      <c r="Q838" t="s">
        <v>74</v>
      </c>
      <c r="R838" t="s">
        <v>74</v>
      </c>
      <c r="S838" t="s">
        <v>74</v>
      </c>
      <c r="T838" t="s">
        <v>74</v>
      </c>
      <c r="U838" t="s">
        <v>14859</v>
      </c>
      <c r="V838" t="s">
        <v>14860</v>
      </c>
      <c r="W838" t="s">
        <v>14861</v>
      </c>
      <c r="X838" t="s">
        <v>14862</v>
      </c>
      <c r="Y838" t="s">
        <v>14863</v>
      </c>
      <c r="Z838" t="s">
        <v>14864</v>
      </c>
      <c r="AA838" t="s">
        <v>1920</v>
      </c>
      <c r="AB838" t="s">
        <v>14865</v>
      </c>
      <c r="AC838" t="s">
        <v>14866</v>
      </c>
      <c r="AD838" t="s">
        <v>14866</v>
      </c>
      <c r="AE838" t="s">
        <v>14867</v>
      </c>
      <c r="AF838" t="s">
        <v>74</v>
      </c>
      <c r="AG838">
        <v>60</v>
      </c>
      <c r="AH838">
        <v>7</v>
      </c>
      <c r="AI838">
        <v>7</v>
      </c>
      <c r="AJ838">
        <v>0</v>
      </c>
      <c r="AK838">
        <v>5</v>
      </c>
      <c r="AL838" t="s">
        <v>3071</v>
      </c>
      <c r="AM838" t="s">
        <v>1522</v>
      </c>
      <c r="AN838" t="s">
        <v>3072</v>
      </c>
      <c r="AO838" t="s">
        <v>14868</v>
      </c>
      <c r="AP838" t="s">
        <v>14869</v>
      </c>
      <c r="AQ838" t="s">
        <v>74</v>
      </c>
      <c r="AR838" t="s">
        <v>14870</v>
      </c>
      <c r="AS838" t="s">
        <v>14871</v>
      </c>
      <c r="AT838" t="s">
        <v>14872</v>
      </c>
      <c r="AU838">
        <v>2010</v>
      </c>
      <c r="AV838">
        <v>114</v>
      </c>
      <c r="AW838">
        <v>20</v>
      </c>
      <c r="AX838" t="s">
        <v>74</v>
      </c>
      <c r="AY838" t="s">
        <v>74</v>
      </c>
      <c r="AZ838" t="s">
        <v>74</v>
      </c>
      <c r="BA838" t="s">
        <v>74</v>
      </c>
      <c r="BB838">
        <v>7002</v>
      </c>
      <c r="BC838">
        <v>7008</v>
      </c>
      <c r="BD838" t="s">
        <v>74</v>
      </c>
      <c r="BE838" t="s">
        <v>14873</v>
      </c>
      <c r="BF838" t="str">
        <f>HYPERLINK("http://dx.doi.org/10.1021/jp908525s","http://dx.doi.org/10.1021/jp908525s")</f>
        <v>http://dx.doi.org/10.1021/jp908525s</v>
      </c>
      <c r="BG838" t="s">
        <v>74</v>
      </c>
      <c r="BH838" t="s">
        <v>74</v>
      </c>
      <c r="BI838">
        <v>7</v>
      </c>
      <c r="BJ838" t="s">
        <v>5209</v>
      </c>
      <c r="BK838" t="s">
        <v>100</v>
      </c>
      <c r="BL838" t="s">
        <v>392</v>
      </c>
      <c r="BM838" t="s">
        <v>14874</v>
      </c>
      <c r="BN838">
        <v>20433181</v>
      </c>
      <c r="BO838" t="s">
        <v>74</v>
      </c>
      <c r="BP838" t="s">
        <v>74</v>
      </c>
      <c r="BQ838" t="s">
        <v>74</v>
      </c>
      <c r="BR838" t="s">
        <v>104</v>
      </c>
      <c r="BS838" t="s">
        <v>14875</v>
      </c>
      <c r="BT838" t="str">
        <f>HYPERLINK("https%3A%2F%2Fwww.webofscience.com%2Fwos%2Fwoscc%2Ffull-record%2FWOS:000277776800029","View Full Record in Web of Science")</f>
        <v>View Full Record in Web of Science</v>
      </c>
    </row>
    <row r="839" spans="1:72" x14ac:dyDescent="0.15">
      <c r="A839" t="s">
        <v>72</v>
      </c>
      <c r="B839" t="s">
        <v>14876</v>
      </c>
      <c r="C839" t="s">
        <v>74</v>
      </c>
      <c r="D839" t="s">
        <v>74</v>
      </c>
      <c r="E839" t="s">
        <v>74</v>
      </c>
      <c r="F839" t="s">
        <v>14877</v>
      </c>
      <c r="G839" t="s">
        <v>74</v>
      </c>
      <c r="H839" t="s">
        <v>74</v>
      </c>
      <c r="I839" t="s">
        <v>14878</v>
      </c>
      <c r="J839" t="s">
        <v>1637</v>
      </c>
      <c r="K839" t="s">
        <v>74</v>
      </c>
      <c r="L839" t="s">
        <v>74</v>
      </c>
      <c r="M839" t="s">
        <v>78</v>
      </c>
      <c r="N839" t="s">
        <v>79</v>
      </c>
      <c r="O839" t="s">
        <v>74</v>
      </c>
      <c r="P839" t="s">
        <v>74</v>
      </c>
      <c r="Q839" t="s">
        <v>74</v>
      </c>
      <c r="R839" t="s">
        <v>74</v>
      </c>
      <c r="S839" t="s">
        <v>74</v>
      </c>
      <c r="T839" t="s">
        <v>14879</v>
      </c>
      <c r="U839" t="s">
        <v>14880</v>
      </c>
      <c r="V839" t="s">
        <v>14881</v>
      </c>
      <c r="W839" t="s">
        <v>14882</v>
      </c>
      <c r="X839" t="s">
        <v>14883</v>
      </c>
      <c r="Y839" t="s">
        <v>5248</v>
      </c>
      <c r="Z839" t="s">
        <v>5249</v>
      </c>
      <c r="AA839" t="s">
        <v>14884</v>
      </c>
      <c r="AB839" t="s">
        <v>14885</v>
      </c>
      <c r="AC839" t="s">
        <v>14886</v>
      </c>
      <c r="AD839" t="s">
        <v>14887</v>
      </c>
      <c r="AE839" t="s">
        <v>14888</v>
      </c>
      <c r="AF839" t="s">
        <v>74</v>
      </c>
      <c r="AG839">
        <v>20</v>
      </c>
      <c r="AH839">
        <v>61</v>
      </c>
      <c r="AI839">
        <v>63</v>
      </c>
      <c r="AJ839">
        <v>1</v>
      </c>
      <c r="AK839">
        <v>9</v>
      </c>
      <c r="AL839" t="s">
        <v>1646</v>
      </c>
      <c r="AM839" t="s">
        <v>1647</v>
      </c>
      <c r="AN839" t="s">
        <v>1648</v>
      </c>
      <c r="AO839" t="s">
        <v>1649</v>
      </c>
      <c r="AP839" t="s">
        <v>74</v>
      </c>
      <c r="AQ839" t="s">
        <v>74</v>
      </c>
      <c r="AR839" t="s">
        <v>1650</v>
      </c>
      <c r="AS839" t="s">
        <v>1651</v>
      </c>
      <c r="AT839" t="s">
        <v>14889</v>
      </c>
      <c r="AU839">
        <v>2010</v>
      </c>
      <c r="AV839">
        <v>98</v>
      </c>
      <c r="AW839">
        <v>10</v>
      </c>
      <c r="AX839" t="s">
        <v>74</v>
      </c>
      <c r="AY839" t="s">
        <v>74</v>
      </c>
      <c r="AZ839" t="s">
        <v>74</v>
      </c>
      <c r="BA839" t="s">
        <v>74</v>
      </c>
      <c r="BB839">
        <v>1331</v>
      </c>
      <c r="BC839">
        <v>1339</v>
      </c>
      <c r="BD839" t="s">
        <v>74</v>
      </c>
      <c r="BE839" t="s">
        <v>74</v>
      </c>
      <c r="BF839" t="s">
        <v>74</v>
      </c>
      <c r="BG839" t="s">
        <v>74</v>
      </c>
      <c r="BH839" t="s">
        <v>74</v>
      </c>
      <c r="BI839">
        <v>9</v>
      </c>
      <c r="BJ839" t="s">
        <v>444</v>
      </c>
      <c r="BK839" t="s">
        <v>100</v>
      </c>
      <c r="BL839" t="s">
        <v>445</v>
      </c>
      <c r="BM839" t="s">
        <v>14890</v>
      </c>
      <c r="BN839" t="s">
        <v>74</v>
      </c>
      <c r="BO839" t="s">
        <v>74</v>
      </c>
      <c r="BP839" t="s">
        <v>74</v>
      </c>
      <c r="BQ839" t="s">
        <v>74</v>
      </c>
      <c r="BR839" t="s">
        <v>104</v>
      </c>
      <c r="BS839" t="s">
        <v>14891</v>
      </c>
      <c r="BT839" t="str">
        <f>HYPERLINK("https%3A%2F%2Fwww.webofscience.com%2Fwos%2Fwoscc%2Ffull-record%2FWOS:000278319800017","View Full Record in Web of Science")</f>
        <v>View Full Record in Web of Science</v>
      </c>
    </row>
    <row r="840" spans="1:72" x14ac:dyDescent="0.15">
      <c r="A840" t="s">
        <v>72</v>
      </c>
      <c r="B840" t="s">
        <v>14892</v>
      </c>
      <c r="C840" t="s">
        <v>74</v>
      </c>
      <c r="D840" t="s">
        <v>74</v>
      </c>
      <c r="E840" t="s">
        <v>74</v>
      </c>
      <c r="F840" t="s">
        <v>14893</v>
      </c>
      <c r="G840" t="s">
        <v>74</v>
      </c>
      <c r="H840" t="s">
        <v>74</v>
      </c>
      <c r="I840" t="s">
        <v>14894</v>
      </c>
      <c r="J840" t="s">
        <v>4657</v>
      </c>
      <c r="K840" t="s">
        <v>74</v>
      </c>
      <c r="L840" t="s">
        <v>74</v>
      </c>
      <c r="M840" t="s">
        <v>78</v>
      </c>
      <c r="N840" t="s">
        <v>79</v>
      </c>
      <c r="O840" t="s">
        <v>74</v>
      </c>
      <c r="P840" t="s">
        <v>74</v>
      </c>
      <c r="Q840" t="s">
        <v>74</v>
      </c>
      <c r="R840" t="s">
        <v>74</v>
      </c>
      <c r="S840" t="s">
        <v>74</v>
      </c>
      <c r="T840" t="s">
        <v>74</v>
      </c>
      <c r="U840" t="s">
        <v>14895</v>
      </c>
      <c r="V840" t="s">
        <v>14896</v>
      </c>
      <c r="W840" t="s">
        <v>14897</v>
      </c>
      <c r="X840" t="s">
        <v>14898</v>
      </c>
      <c r="Y840" t="s">
        <v>14899</v>
      </c>
      <c r="Z840" t="s">
        <v>14900</v>
      </c>
      <c r="AA840" t="s">
        <v>14901</v>
      </c>
      <c r="AB840" t="s">
        <v>14902</v>
      </c>
      <c r="AC840" t="s">
        <v>14903</v>
      </c>
      <c r="AD840" t="s">
        <v>14903</v>
      </c>
      <c r="AE840" t="s">
        <v>14904</v>
      </c>
      <c r="AF840" t="s">
        <v>74</v>
      </c>
      <c r="AG840">
        <v>37</v>
      </c>
      <c r="AH840">
        <v>161</v>
      </c>
      <c r="AI840">
        <v>183</v>
      </c>
      <c r="AJ840">
        <v>7</v>
      </c>
      <c r="AK840">
        <v>105</v>
      </c>
      <c r="AL840" t="s">
        <v>4669</v>
      </c>
      <c r="AM840" t="s">
        <v>4670</v>
      </c>
      <c r="AN840" t="s">
        <v>4671</v>
      </c>
      <c r="AO840" t="s">
        <v>4672</v>
      </c>
      <c r="AP840" t="s">
        <v>74</v>
      </c>
      <c r="AQ840" t="s">
        <v>74</v>
      </c>
      <c r="AR840" t="s">
        <v>4657</v>
      </c>
      <c r="AS840" t="s">
        <v>4673</v>
      </c>
      <c r="AT840" t="s">
        <v>14889</v>
      </c>
      <c r="AU840">
        <v>2010</v>
      </c>
      <c r="AV840">
        <v>5</v>
      </c>
      <c r="AW840">
        <v>5</v>
      </c>
      <c r="AX840" t="s">
        <v>74</v>
      </c>
      <c r="AY840" t="s">
        <v>74</v>
      </c>
      <c r="AZ840" t="s">
        <v>74</v>
      </c>
      <c r="BA840" t="s">
        <v>74</v>
      </c>
      <c r="BB840" t="s">
        <v>74</v>
      </c>
      <c r="BC840" t="s">
        <v>74</v>
      </c>
      <c r="BD840" t="s">
        <v>14905</v>
      </c>
      <c r="BE840" t="s">
        <v>14906</v>
      </c>
      <c r="BF840" t="str">
        <f>HYPERLINK("http://dx.doi.org/10.1371/journal.pone.0010821","http://dx.doi.org/10.1371/journal.pone.0010821")</f>
        <v>http://dx.doi.org/10.1371/journal.pone.0010821</v>
      </c>
      <c r="BG840" t="s">
        <v>74</v>
      </c>
      <c r="BH840" t="s">
        <v>74</v>
      </c>
      <c r="BI840">
        <v>10</v>
      </c>
      <c r="BJ840" t="s">
        <v>444</v>
      </c>
      <c r="BK840" t="s">
        <v>100</v>
      </c>
      <c r="BL840" t="s">
        <v>445</v>
      </c>
      <c r="BM840" t="s">
        <v>14907</v>
      </c>
      <c r="BN840">
        <v>20520829</v>
      </c>
      <c r="BO840" t="s">
        <v>10642</v>
      </c>
      <c r="BP840" t="s">
        <v>74</v>
      </c>
      <c r="BQ840" t="s">
        <v>74</v>
      </c>
      <c r="BR840" t="s">
        <v>104</v>
      </c>
      <c r="BS840" t="s">
        <v>14908</v>
      </c>
      <c r="BT840" t="str">
        <f>HYPERLINK("https%3A%2F%2Fwww.webofscience.com%2Fwos%2Fwoscc%2Ffull-record%2FWOS:000278034800016","View Full Record in Web of Science")</f>
        <v>View Full Record in Web of Science</v>
      </c>
    </row>
    <row r="841" spans="1:72" x14ac:dyDescent="0.15">
      <c r="A841" t="s">
        <v>72</v>
      </c>
      <c r="B841" t="s">
        <v>14909</v>
      </c>
      <c r="C841" t="s">
        <v>74</v>
      </c>
      <c r="D841" t="s">
        <v>74</v>
      </c>
      <c r="E841" t="s">
        <v>74</v>
      </c>
      <c r="F841" t="s">
        <v>14910</v>
      </c>
      <c r="G841" t="s">
        <v>74</v>
      </c>
      <c r="H841" t="s">
        <v>74</v>
      </c>
      <c r="I841" t="s">
        <v>14911</v>
      </c>
      <c r="J841" t="s">
        <v>4882</v>
      </c>
      <c r="K841" t="s">
        <v>74</v>
      </c>
      <c r="L841" t="s">
        <v>74</v>
      </c>
      <c r="M841" t="s">
        <v>78</v>
      </c>
      <c r="N841" t="s">
        <v>79</v>
      </c>
      <c r="O841" t="s">
        <v>74</v>
      </c>
      <c r="P841" t="s">
        <v>74</v>
      </c>
      <c r="Q841" t="s">
        <v>74</v>
      </c>
      <c r="R841" t="s">
        <v>74</v>
      </c>
      <c r="S841" t="s">
        <v>74</v>
      </c>
      <c r="T841" t="s">
        <v>14912</v>
      </c>
      <c r="U841" t="s">
        <v>74</v>
      </c>
      <c r="V841" t="s">
        <v>14913</v>
      </c>
      <c r="W841" t="s">
        <v>14914</v>
      </c>
      <c r="X841" t="s">
        <v>14915</v>
      </c>
      <c r="Y841" t="s">
        <v>14916</v>
      </c>
      <c r="Z841" t="s">
        <v>14917</v>
      </c>
      <c r="AA841" t="s">
        <v>74</v>
      </c>
      <c r="AB841" t="s">
        <v>74</v>
      </c>
      <c r="AC841" t="s">
        <v>14918</v>
      </c>
      <c r="AD841" t="s">
        <v>14919</v>
      </c>
      <c r="AE841" t="s">
        <v>14920</v>
      </c>
      <c r="AF841" t="s">
        <v>74</v>
      </c>
      <c r="AG841">
        <v>9</v>
      </c>
      <c r="AH841">
        <v>9</v>
      </c>
      <c r="AI841">
        <v>10</v>
      </c>
      <c r="AJ841">
        <v>0</v>
      </c>
      <c r="AK841">
        <v>0</v>
      </c>
      <c r="AL841" t="s">
        <v>4895</v>
      </c>
      <c r="AM841" t="s">
        <v>4896</v>
      </c>
      <c r="AN841" t="s">
        <v>4897</v>
      </c>
      <c r="AO841" t="s">
        <v>4898</v>
      </c>
      <c r="AP841" t="s">
        <v>4899</v>
      </c>
      <c r="AQ841" t="s">
        <v>74</v>
      </c>
      <c r="AR841" t="s">
        <v>4882</v>
      </c>
      <c r="AS841" t="s">
        <v>4900</v>
      </c>
      <c r="AT841" t="s">
        <v>14921</v>
      </c>
      <c r="AU841">
        <v>2010</v>
      </c>
      <c r="AV841" t="s">
        <v>74</v>
      </c>
      <c r="AW841">
        <v>2482</v>
      </c>
      <c r="AX841" t="s">
        <v>74</v>
      </c>
      <c r="AY841" t="s">
        <v>74</v>
      </c>
      <c r="AZ841" t="s">
        <v>74</v>
      </c>
      <c r="BA841" t="s">
        <v>74</v>
      </c>
      <c r="BB841">
        <v>22</v>
      </c>
      <c r="BC841">
        <v>48</v>
      </c>
      <c r="BD841" t="s">
        <v>74</v>
      </c>
      <c r="BE841" t="s">
        <v>74</v>
      </c>
      <c r="BF841" t="s">
        <v>74</v>
      </c>
      <c r="BG841" t="s">
        <v>74</v>
      </c>
      <c r="BH841" t="s">
        <v>74</v>
      </c>
      <c r="BI841">
        <v>27</v>
      </c>
      <c r="BJ841" t="s">
        <v>492</v>
      </c>
      <c r="BK841" t="s">
        <v>100</v>
      </c>
      <c r="BL841" t="s">
        <v>492</v>
      </c>
      <c r="BM841" t="s">
        <v>14922</v>
      </c>
      <c r="BN841" t="s">
        <v>74</v>
      </c>
      <c r="BO841" t="s">
        <v>74</v>
      </c>
      <c r="BP841" t="s">
        <v>74</v>
      </c>
      <c r="BQ841" t="s">
        <v>74</v>
      </c>
      <c r="BR841" t="s">
        <v>104</v>
      </c>
      <c r="BS841" t="s">
        <v>14923</v>
      </c>
      <c r="BT841" t="str">
        <f>HYPERLINK("https%3A%2F%2Fwww.webofscience.com%2Fwos%2Fwoscc%2Ffull-record%2FWOS:000278014000002","View Full Record in Web of Science")</f>
        <v>View Full Record in Web of Science</v>
      </c>
    </row>
    <row r="842" spans="1:72" x14ac:dyDescent="0.15">
      <c r="A842" t="s">
        <v>72</v>
      </c>
      <c r="B842" t="s">
        <v>14924</v>
      </c>
      <c r="C842" t="s">
        <v>74</v>
      </c>
      <c r="D842" t="s">
        <v>74</v>
      </c>
      <c r="E842" t="s">
        <v>74</v>
      </c>
      <c r="F842" t="s">
        <v>14925</v>
      </c>
      <c r="G842" t="s">
        <v>74</v>
      </c>
      <c r="H842" t="s">
        <v>74</v>
      </c>
      <c r="I842" t="s">
        <v>14926</v>
      </c>
      <c r="J842" t="s">
        <v>1509</v>
      </c>
      <c r="K842" t="s">
        <v>74</v>
      </c>
      <c r="L842" t="s">
        <v>74</v>
      </c>
      <c r="M842" t="s">
        <v>78</v>
      </c>
      <c r="N842" t="s">
        <v>79</v>
      </c>
      <c r="O842" t="s">
        <v>74</v>
      </c>
      <c r="P842" t="s">
        <v>74</v>
      </c>
      <c r="Q842" t="s">
        <v>74</v>
      </c>
      <c r="R842" t="s">
        <v>74</v>
      </c>
      <c r="S842" t="s">
        <v>74</v>
      </c>
      <c r="T842" t="s">
        <v>74</v>
      </c>
      <c r="U842" t="s">
        <v>14927</v>
      </c>
      <c r="V842" t="s">
        <v>14928</v>
      </c>
      <c r="W842" t="s">
        <v>14929</v>
      </c>
      <c r="X842" t="s">
        <v>14930</v>
      </c>
      <c r="Y842" t="s">
        <v>14931</v>
      </c>
      <c r="Z842" t="s">
        <v>14932</v>
      </c>
      <c r="AA842" t="s">
        <v>14933</v>
      </c>
      <c r="AB842" t="s">
        <v>3638</v>
      </c>
      <c r="AC842" t="s">
        <v>14934</v>
      </c>
      <c r="AD842" t="s">
        <v>337</v>
      </c>
      <c r="AE842" t="s">
        <v>74</v>
      </c>
      <c r="AF842" t="s">
        <v>74</v>
      </c>
      <c r="AG842">
        <v>79</v>
      </c>
      <c r="AH842">
        <v>95</v>
      </c>
      <c r="AI842">
        <v>104</v>
      </c>
      <c r="AJ842">
        <v>0</v>
      </c>
      <c r="AK842">
        <v>35</v>
      </c>
      <c r="AL842" t="s">
        <v>1521</v>
      </c>
      <c r="AM842" t="s">
        <v>1522</v>
      </c>
      <c r="AN842" t="s">
        <v>1523</v>
      </c>
      <c r="AO842" t="s">
        <v>1524</v>
      </c>
      <c r="AP842" t="s">
        <v>1525</v>
      </c>
      <c r="AQ842" t="s">
        <v>74</v>
      </c>
      <c r="AR842" t="s">
        <v>1526</v>
      </c>
      <c r="AS842" t="s">
        <v>1527</v>
      </c>
      <c r="AT842" t="s">
        <v>14935</v>
      </c>
      <c r="AU842">
        <v>2010</v>
      </c>
      <c r="AV842">
        <v>115</v>
      </c>
      <c r="AW842" t="s">
        <v>74</v>
      </c>
      <c r="AX842" t="s">
        <v>74</v>
      </c>
      <c r="AY842" t="s">
        <v>74</v>
      </c>
      <c r="AZ842" t="s">
        <v>74</v>
      </c>
      <c r="BA842" t="s">
        <v>74</v>
      </c>
      <c r="BB842" t="s">
        <v>74</v>
      </c>
      <c r="BC842" t="s">
        <v>74</v>
      </c>
      <c r="BD842" t="s">
        <v>14936</v>
      </c>
      <c r="BE842" t="s">
        <v>14937</v>
      </c>
      <c r="BF842" t="str">
        <f>HYPERLINK("http://dx.doi.org/10.1029/2008JC005219","http://dx.doi.org/10.1029/2008JC005219")</f>
        <v>http://dx.doi.org/10.1029/2008JC005219</v>
      </c>
      <c r="BG842" t="s">
        <v>74</v>
      </c>
      <c r="BH842" t="s">
        <v>74</v>
      </c>
      <c r="BI842">
        <v>16</v>
      </c>
      <c r="BJ842" t="s">
        <v>1531</v>
      </c>
      <c r="BK842" t="s">
        <v>100</v>
      </c>
      <c r="BL842" t="s">
        <v>1531</v>
      </c>
      <c r="BM842" t="s">
        <v>14938</v>
      </c>
      <c r="BN842" t="s">
        <v>74</v>
      </c>
      <c r="BO842" t="s">
        <v>7523</v>
      </c>
      <c r="BP842" t="s">
        <v>74</v>
      </c>
      <c r="BQ842" t="s">
        <v>74</v>
      </c>
      <c r="BR842" t="s">
        <v>104</v>
      </c>
      <c r="BS842" t="s">
        <v>14939</v>
      </c>
      <c r="BT842" t="str">
        <f>HYPERLINK("https%3A%2F%2Fwww.webofscience.com%2Fwos%2Fwoscc%2Ffull-record%2FWOS:000277966500001","View Full Record in Web of Science")</f>
        <v>View Full Record in Web of Science</v>
      </c>
    </row>
    <row r="843" spans="1:72" x14ac:dyDescent="0.15">
      <c r="A843" t="s">
        <v>72</v>
      </c>
      <c r="B843" t="s">
        <v>14940</v>
      </c>
      <c r="C843" t="s">
        <v>74</v>
      </c>
      <c r="D843" t="s">
        <v>74</v>
      </c>
      <c r="E843" t="s">
        <v>74</v>
      </c>
      <c r="F843" t="s">
        <v>14941</v>
      </c>
      <c r="G843" t="s">
        <v>74</v>
      </c>
      <c r="H843" t="s">
        <v>74</v>
      </c>
      <c r="I843" t="s">
        <v>14942</v>
      </c>
      <c r="J843" t="s">
        <v>14943</v>
      </c>
      <c r="K843" t="s">
        <v>74</v>
      </c>
      <c r="L843" t="s">
        <v>74</v>
      </c>
      <c r="M843" t="s">
        <v>78</v>
      </c>
      <c r="N843" t="s">
        <v>79</v>
      </c>
      <c r="O843" t="s">
        <v>74</v>
      </c>
      <c r="P843" t="s">
        <v>74</v>
      </c>
      <c r="Q843" t="s">
        <v>74</v>
      </c>
      <c r="R843" t="s">
        <v>74</v>
      </c>
      <c r="S843" t="s">
        <v>74</v>
      </c>
      <c r="T843" t="s">
        <v>74</v>
      </c>
      <c r="U843" t="s">
        <v>14944</v>
      </c>
      <c r="V843" t="s">
        <v>14945</v>
      </c>
      <c r="W843" t="s">
        <v>14946</v>
      </c>
      <c r="X843" t="s">
        <v>14947</v>
      </c>
      <c r="Y843" t="s">
        <v>10747</v>
      </c>
      <c r="Z843" t="s">
        <v>14948</v>
      </c>
      <c r="AA843" t="s">
        <v>14949</v>
      </c>
      <c r="AB843" t="s">
        <v>14950</v>
      </c>
      <c r="AC843" t="s">
        <v>14951</v>
      </c>
      <c r="AD843" t="s">
        <v>14952</v>
      </c>
      <c r="AE843" t="s">
        <v>14953</v>
      </c>
      <c r="AF843" t="s">
        <v>74</v>
      </c>
      <c r="AG843">
        <v>61</v>
      </c>
      <c r="AH843">
        <v>96</v>
      </c>
      <c r="AI843">
        <v>101</v>
      </c>
      <c r="AJ843">
        <v>0</v>
      </c>
      <c r="AK843">
        <v>59</v>
      </c>
      <c r="AL843" t="s">
        <v>14954</v>
      </c>
      <c r="AM843" t="s">
        <v>1598</v>
      </c>
      <c r="AN843" t="s">
        <v>14955</v>
      </c>
      <c r="AO843" t="s">
        <v>14956</v>
      </c>
      <c r="AP843" t="s">
        <v>74</v>
      </c>
      <c r="AQ843" t="s">
        <v>74</v>
      </c>
      <c r="AR843" t="s">
        <v>14957</v>
      </c>
      <c r="AS843" t="s">
        <v>14958</v>
      </c>
      <c r="AT843" t="s">
        <v>14959</v>
      </c>
      <c r="AU843">
        <v>2010</v>
      </c>
      <c r="AV843">
        <v>7</v>
      </c>
      <c r="AW843" t="s">
        <v>74</v>
      </c>
      <c r="AX843" t="s">
        <v>74</v>
      </c>
      <c r="AY843" t="s">
        <v>74</v>
      </c>
      <c r="AZ843" t="s">
        <v>74</v>
      </c>
      <c r="BA843" t="s">
        <v>74</v>
      </c>
      <c r="BB843" t="s">
        <v>74</v>
      </c>
      <c r="BC843" t="s">
        <v>74</v>
      </c>
      <c r="BD843">
        <v>15</v>
      </c>
      <c r="BE843" t="s">
        <v>14960</v>
      </c>
      <c r="BF843" t="str">
        <f>HYPERLINK("http://dx.doi.org/10.1186/1742-9994-7-15","http://dx.doi.org/10.1186/1742-9994-7-15")</f>
        <v>http://dx.doi.org/10.1186/1742-9994-7-15</v>
      </c>
      <c r="BG843" t="s">
        <v>74</v>
      </c>
      <c r="BH843" t="s">
        <v>74</v>
      </c>
      <c r="BI843">
        <v>11</v>
      </c>
      <c r="BJ843" t="s">
        <v>492</v>
      </c>
      <c r="BK843" t="s">
        <v>100</v>
      </c>
      <c r="BL843" t="s">
        <v>492</v>
      </c>
      <c r="BM843" t="s">
        <v>14961</v>
      </c>
      <c r="BN843">
        <v>20482826</v>
      </c>
      <c r="BO843" t="s">
        <v>4857</v>
      </c>
      <c r="BP843" t="s">
        <v>74</v>
      </c>
      <c r="BQ843" t="s">
        <v>74</v>
      </c>
      <c r="BR843" t="s">
        <v>104</v>
      </c>
      <c r="BS843" t="s">
        <v>14962</v>
      </c>
      <c r="BT843" t="str">
        <f>HYPERLINK("https%3A%2F%2Fwww.webofscience.com%2Fwos%2Fwoscc%2Ffull-record%2FWOS:000278792200001","View Full Record in Web of Science")</f>
        <v>View Full Record in Web of Science</v>
      </c>
    </row>
    <row r="844" spans="1:72" x14ac:dyDescent="0.15">
      <c r="A844" t="s">
        <v>72</v>
      </c>
      <c r="B844" t="s">
        <v>14963</v>
      </c>
      <c r="C844" t="s">
        <v>74</v>
      </c>
      <c r="D844" t="s">
        <v>74</v>
      </c>
      <c r="E844" t="s">
        <v>74</v>
      </c>
      <c r="F844" t="s">
        <v>14964</v>
      </c>
      <c r="G844" t="s">
        <v>74</v>
      </c>
      <c r="H844" t="s">
        <v>74</v>
      </c>
      <c r="I844" t="s">
        <v>14965</v>
      </c>
      <c r="J844" t="s">
        <v>1538</v>
      </c>
      <c r="K844" t="s">
        <v>74</v>
      </c>
      <c r="L844" t="s">
        <v>74</v>
      </c>
      <c r="M844" t="s">
        <v>78</v>
      </c>
      <c r="N844" t="s">
        <v>79</v>
      </c>
      <c r="O844" t="s">
        <v>74</v>
      </c>
      <c r="P844" t="s">
        <v>74</v>
      </c>
      <c r="Q844" t="s">
        <v>74</v>
      </c>
      <c r="R844" t="s">
        <v>74</v>
      </c>
      <c r="S844" t="s">
        <v>74</v>
      </c>
      <c r="T844" t="s">
        <v>74</v>
      </c>
      <c r="U844" t="s">
        <v>14966</v>
      </c>
      <c r="V844" t="s">
        <v>14967</v>
      </c>
      <c r="W844" t="s">
        <v>14968</v>
      </c>
      <c r="X844" t="s">
        <v>14969</v>
      </c>
      <c r="Y844" t="s">
        <v>14970</v>
      </c>
      <c r="Z844" t="s">
        <v>14971</v>
      </c>
      <c r="AA844" t="s">
        <v>14972</v>
      </c>
      <c r="AB844" t="s">
        <v>14973</v>
      </c>
      <c r="AC844" t="s">
        <v>14974</v>
      </c>
      <c r="AD844" t="s">
        <v>14975</v>
      </c>
      <c r="AE844" t="s">
        <v>14976</v>
      </c>
      <c r="AF844" t="s">
        <v>74</v>
      </c>
      <c r="AG844">
        <v>30</v>
      </c>
      <c r="AH844">
        <v>22</v>
      </c>
      <c r="AI844">
        <v>26</v>
      </c>
      <c r="AJ844">
        <v>5</v>
      </c>
      <c r="AK844">
        <v>22</v>
      </c>
      <c r="AL844" t="s">
        <v>1521</v>
      </c>
      <c r="AM844" t="s">
        <v>1522</v>
      </c>
      <c r="AN844" t="s">
        <v>1523</v>
      </c>
      <c r="AO844" t="s">
        <v>1550</v>
      </c>
      <c r="AP844" t="s">
        <v>1551</v>
      </c>
      <c r="AQ844" t="s">
        <v>74</v>
      </c>
      <c r="AR844" t="s">
        <v>1552</v>
      </c>
      <c r="AS844" t="s">
        <v>1553</v>
      </c>
      <c r="AT844" t="s">
        <v>14959</v>
      </c>
      <c r="AU844">
        <v>2010</v>
      </c>
      <c r="AV844">
        <v>37</v>
      </c>
      <c r="AW844" t="s">
        <v>74</v>
      </c>
      <c r="AX844" t="s">
        <v>74</v>
      </c>
      <c r="AY844" t="s">
        <v>74</v>
      </c>
      <c r="AZ844" t="s">
        <v>74</v>
      </c>
      <c r="BA844" t="s">
        <v>74</v>
      </c>
      <c r="BB844" t="s">
        <v>74</v>
      </c>
      <c r="BC844" t="s">
        <v>74</v>
      </c>
      <c r="BD844" t="s">
        <v>14977</v>
      </c>
      <c r="BE844" t="s">
        <v>14978</v>
      </c>
      <c r="BF844" t="str">
        <f>HYPERLINK("http://dx.doi.org/10.1029/2010GL042979","http://dx.doi.org/10.1029/2010GL042979")</f>
        <v>http://dx.doi.org/10.1029/2010GL042979</v>
      </c>
      <c r="BG844" t="s">
        <v>74</v>
      </c>
      <c r="BH844" t="s">
        <v>74</v>
      </c>
      <c r="BI844">
        <v>5</v>
      </c>
      <c r="BJ844" t="s">
        <v>1194</v>
      </c>
      <c r="BK844" t="s">
        <v>100</v>
      </c>
      <c r="BL844" t="s">
        <v>807</v>
      </c>
      <c r="BM844" t="s">
        <v>14979</v>
      </c>
      <c r="BN844" t="s">
        <v>74</v>
      </c>
      <c r="BO844" t="s">
        <v>631</v>
      </c>
      <c r="BP844" t="s">
        <v>74</v>
      </c>
      <c r="BQ844" t="s">
        <v>74</v>
      </c>
      <c r="BR844" t="s">
        <v>104</v>
      </c>
      <c r="BS844" t="s">
        <v>14980</v>
      </c>
      <c r="BT844" t="str">
        <f>HYPERLINK("https%3A%2F%2Fwww.webofscience.com%2Fwos%2Fwoscc%2Ffull-record%2FWOS:000277963200003","View Full Record in Web of Science")</f>
        <v>View Full Record in Web of Science</v>
      </c>
    </row>
    <row r="845" spans="1:72" x14ac:dyDescent="0.15">
      <c r="A845" t="s">
        <v>72</v>
      </c>
      <c r="B845" t="s">
        <v>14981</v>
      </c>
      <c r="C845" t="s">
        <v>74</v>
      </c>
      <c r="D845" t="s">
        <v>74</v>
      </c>
      <c r="E845" t="s">
        <v>74</v>
      </c>
      <c r="F845" t="s">
        <v>14982</v>
      </c>
      <c r="G845" t="s">
        <v>74</v>
      </c>
      <c r="H845" t="s">
        <v>74</v>
      </c>
      <c r="I845" t="s">
        <v>14983</v>
      </c>
      <c r="J845" t="s">
        <v>1538</v>
      </c>
      <c r="K845" t="s">
        <v>74</v>
      </c>
      <c r="L845" t="s">
        <v>74</v>
      </c>
      <c r="M845" t="s">
        <v>78</v>
      </c>
      <c r="N845" t="s">
        <v>79</v>
      </c>
      <c r="O845" t="s">
        <v>74</v>
      </c>
      <c r="P845" t="s">
        <v>74</v>
      </c>
      <c r="Q845" t="s">
        <v>74</v>
      </c>
      <c r="R845" t="s">
        <v>74</v>
      </c>
      <c r="S845" t="s">
        <v>74</v>
      </c>
      <c r="T845" t="s">
        <v>74</v>
      </c>
      <c r="U845" t="s">
        <v>14984</v>
      </c>
      <c r="V845" t="s">
        <v>14985</v>
      </c>
      <c r="W845" t="s">
        <v>14986</v>
      </c>
      <c r="X845" t="s">
        <v>14987</v>
      </c>
      <c r="Y845" t="s">
        <v>14988</v>
      </c>
      <c r="Z845" t="s">
        <v>14989</v>
      </c>
      <c r="AA845" t="s">
        <v>14990</v>
      </c>
      <c r="AB845" t="s">
        <v>14991</v>
      </c>
      <c r="AC845" t="s">
        <v>14992</v>
      </c>
      <c r="AD845" t="s">
        <v>14993</v>
      </c>
      <c r="AE845" t="s">
        <v>14994</v>
      </c>
      <c r="AF845" t="s">
        <v>74</v>
      </c>
      <c r="AG845">
        <v>13</v>
      </c>
      <c r="AH845">
        <v>10</v>
      </c>
      <c r="AI845">
        <v>11</v>
      </c>
      <c r="AJ845">
        <v>0</v>
      </c>
      <c r="AK845">
        <v>1</v>
      </c>
      <c r="AL845" t="s">
        <v>1521</v>
      </c>
      <c r="AM845" t="s">
        <v>1522</v>
      </c>
      <c r="AN845" t="s">
        <v>1523</v>
      </c>
      <c r="AO845" t="s">
        <v>1550</v>
      </c>
      <c r="AP845" t="s">
        <v>74</v>
      </c>
      <c r="AQ845" t="s">
        <v>74</v>
      </c>
      <c r="AR845" t="s">
        <v>1552</v>
      </c>
      <c r="AS845" t="s">
        <v>1553</v>
      </c>
      <c r="AT845" t="s">
        <v>14959</v>
      </c>
      <c r="AU845">
        <v>2010</v>
      </c>
      <c r="AV845">
        <v>37</v>
      </c>
      <c r="AW845" t="s">
        <v>74</v>
      </c>
      <c r="AX845" t="s">
        <v>74</v>
      </c>
      <c r="AY845" t="s">
        <v>74</v>
      </c>
      <c r="AZ845" t="s">
        <v>74</v>
      </c>
      <c r="BA845" t="s">
        <v>74</v>
      </c>
      <c r="BB845" t="s">
        <v>74</v>
      </c>
      <c r="BC845" t="s">
        <v>74</v>
      </c>
      <c r="BD845" t="s">
        <v>14995</v>
      </c>
      <c r="BE845" t="s">
        <v>14996</v>
      </c>
      <c r="BF845" t="str">
        <f>HYPERLINK("http://dx.doi.org/10.1029/2010GL042657","http://dx.doi.org/10.1029/2010GL042657")</f>
        <v>http://dx.doi.org/10.1029/2010GL042657</v>
      </c>
      <c r="BG845" t="s">
        <v>74</v>
      </c>
      <c r="BH845" t="s">
        <v>74</v>
      </c>
      <c r="BI845">
        <v>4</v>
      </c>
      <c r="BJ845" t="s">
        <v>1194</v>
      </c>
      <c r="BK845" t="s">
        <v>100</v>
      </c>
      <c r="BL845" t="s">
        <v>807</v>
      </c>
      <c r="BM845" t="s">
        <v>14979</v>
      </c>
      <c r="BN845" t="s">
        <v>74</v>
      </c>
      <c r="BO845" t="s">
        <v>74</v>
      </c>
      <c r="BP845" t="s">
        <v>74</v>
      </c>
      <c r="BQ845" t="s">
        <v>74</v>
      </c>
      <c r="BR845" t="s">
        <v>104</v>
      </c>
      <c r="BS845" t="s">
        <v>14997</v>
      </c>
      <c r="BT845" t="str">
        <f>HYPERLINK("https%3A%2F%2Fwww.webofscience.com%2Fwos%2Fwoscc%2Ffull-record%2FWOS:000277963200001","View Full Record in Web of Science")</f>
        <v>View Full Record in Web of Science</v>
      </c>
    </row>
    <row r="846" spans="1:72" x14ac:dyDescent="0.15">
      <c r="A846" t="s">
        <v>72</v>
      </c>
      <c r="B846" t="s">
        <v>14998</v>
      </c>
      <c r="C846" t="s">
        <v>74</v>
      </c>
      <c r="D846" t="s">
        <v>74</v>
      </c>
      <c r="E846" t="s">
        <v>74</v>
      </c>
      <c r="F846" t="s">
        <v>14999</v>
      </c>
      <c r="G846" t="s">
        <v>74</v>
      </c>
      <c r="H846" t="s">
        <v>74</v>
      </c>
      <c r="I846" t="s">
        <v>15000</v>
      </c>
      <c r="J846" t="s">
        <v>1509</v>
      </c>
      <c r="K846" t="s">
        <v>74</v>
      </c>
      <c r="L846" t="s">
        <v>74</v>
      </c>
      <c r="M846" t="s">
        <v>78</v>
      </c>
      <c r="N846" t="s">
        <v>79</v>
      </c>
      <c r="O846" t="s">
        <v>74</v>
      </c>
      <c r="P846" t="s">
        <v>74</v>
      </c>
      <c r="Q846" t="s">
        <v>74</v>
      </c>
      <c r="R846" t="s">
        <v>74</v>
      </c>
      <c r="S846" t="s">
        <v>74</v>
      </c>
      <c r="T846" t="s">
        <v>74</v>
      </c>
      <c r="U846" t="s">
        <v>15001</v>
      </c>
      <c r="V846" t="s">
        <v>15002</v>
      </c>
      <c r="W846" t="s">
        <v>15003</v>
      </c>
      <c r="X846" t="s">
        <v>15004</v>
      </c>
      <c r="Y846" t="s">
        <v>7532</v>
      </c>
      <c r="Z846" t="s">
        <v>5743</v>
      </c>
      <c r="AA846" t="s">
        <v>15005</v>
      </c>
      <c r="AB846" t="s">
        <v>15006</v>
      </c>
      <c r="AC846" t="s">
        <v>74</v>
      </c>
      <c r="AD846" t="s">
        <v>74</v>
      </c>
      <c r="AE846" t="s">
        <v>74</v>
      </c>
      <c r="AF846" t="s">
        <v>74</v>
      </c>
      <c r="AG846">
        <v>19</v>
      </c>
      <c r="AH846">
        <v>30</v>
      </c>
      <c r="AI846">
        <v>31</v>
      </c>
      <c r="AJ846">
        <v>0</v>
      </c>
      <c r="AK846">
        <v>15</v>
      </c>
      <c r="AL846" t="s">
        <v>1521</v>
      </c>
      <c r="AM846" t="s">
        <v>1522</v>
      </c>
      <c r="AN846" t="s">
        <v>1523</v>
      </c>
      <c r="AO846" t="s">
        <v>1524</v>
      </c>
      <c r="AP846" t="s">
        <v>1525</v>
      </c>
      <c r="AQ846" t="s">
        <v>74</v>
      </c>
      <c r="AR846" t="s">
        <v>1526</v>
      </c>
      <c r="AS846" t="s">
        <v>1527</v>
      </c>
      <c r="AT846" t="s">
        <v>14959</v>
      </c>
      <c r="AU846">
        <v>2010</v>
      </c>
      <c r="AV846">
        <v>115</v>
      </c>
      <c r="AW846" t="s">
        <v>74</v>
      </c>
      <c r="AX846" t="s">
        <v>74</v>
      </c>
      <c r="AY846" t="s">
        <v>74</v>
      </c>
      <c r="AZ846" t="s">
        <v>74</v>
      </c>
      <c r="BA846" t="s">
        <v>74</v>
      </c>
      <c r="BB846" t="s">
        <v>74</v>
      </c>
      <c r="BC846" t="s">
        <v>74</v>
      </c>
      <c r="BD846" t="s">
        <v>15007</v>
      </c>
      <c r="BE846" t="s">
        <v>15008</v>
      </c>
      <c r="BF846" t="str">
        <f>HYPERLINK("http://dx.doi.org/10.1029/2009JC005798","http://dx.doi.org/10.1029/2009JC005798")</f>
        <v>http://dx.doi.org/10.1029/2009JC005798</v>
      </c>
      <c r="BG846" t="s">
        <v>74</v>
      </c>
      <c r="BH846" t="s">
        <v>74</v>
      </c>
      <c r="BI846">
        <v>9</v>
      </c>
      <c r="BJ846" t="s">
        <v>1531</v>
      </c>
      <c r="BK846" t="s">
        <v>100</v>
      </c>
      <c r="BL846" t="s">
        <v>1531</v>
      </c>
      <c r="BM846" t="s">
        <v>15009</v>
      </c>
      <c r="BN846" t="s">
        <v>74</v>
      </c>
      <c r="BO846" t="s">
        <v>394</v>
      </c>
      <c r="BP846" t="s">
        <v>74</v>
      </c>
      <c r="BQ846" t="s">
        <v>74</v>
      </c>
      <c r="BR846" t="s">
        <v>104</v>
      </c>
      <c r="BS846" t="s">
        <v>15010</v>
      </c>
      <c r="BT846" t="str">
        <f>HYPERLINK("https%3A%2F%2Fwww.webofscience.com%2Fwos%2Fwoscc%2Ffull-record%2FWOS:000277966300003","View Full Record in Web of Science")</f>
        <v>View Full Record in Web of Science</v>
      </c>
    </row>
    <row r="847" spans="1:72" x14ac:dyDescent="0.15">
      <c r="A847" t="s">
        <v>72</v>
      </c>
      <c r="B847" t="s">
        <v>15011</v>
      </c>
      <c r="C847" t="s">
        <v>74</v>
      </c>
      <c r="D847" t="s">
        <v>74</v>
      </c>
      <c r="E847" t="s">
        <v>74</v>
      </c>
      <c r="F847" t="s">
        <v>15012</v>
      </c>
      <c r="G847" t="s">
        <v>74</v>
      </c>
      <c r="H847" t="s">
        <v>74</v>
      </c>
      <c r="I847" t="s">
        <v>15013</v>
      </c>
      <c r="J847" t="s">
        <v>15014</v>
      </c>
      <c r="K847" t="s">
        <v>74</v>
      </c>
      <c r="L847" t="s">
        <v>74</v>
      </c>
      <c r="M847" t="s">
        <v>78</v>
      </c>
      <c r="N847" t="s">
        <v>79</v>
      </c>
      <c r="O847" t="s">
        <v>74</v>
      </c>
      <c r="P847" t="s">
        <v>74</v>
      </c>
      <c r="Q847" t="s">
        <v>74</v>
      </c>
      <c r="R847" t="s">
        <v>74</v>
      </c>
      <c r="S847" t="s">
        <v>74</v>
      </c>
      <c r="T847" t="s">
        <v>15015</v>
      </c>
      <c r="U847" t="s">
        <v>15016</v>
      </c>
      <c r="V847" t="s">
        <v>15017</v>
      </c>
      <c r="W847" t="s">
        <v>15018</v>
      </c>
      <c r="X847" t="s">
        <v>15019</v>
      </c>
      <c r="Y847" t="s">
        <v>15020</v>
      </c>
      <c r="Z847" t="s">
        <v>15021</v>
      </c>
      <c r="AA847" t="s">
        <v>74</v>
      </c>
      <c r="AB847" t="s">
        <v>74</v>
      </c>
      <c r="AC847" t="s">
        <v>15022</v>
      </c>
      <c r="AD847" t="s">
        <v>15023</v>
      </c>
      <c r="AE847" t="s">
        <v>15024</v>
      </c>
      <c r="AF847" t="s">
        <v>74</v>
      </c>
      <c r="AG847">
        <v>34</v>
      </c>
      <c r="AH847">
        <v>30</v>
      </c>
      <c r="AI847">
        <v>33</v>
      </c>
      <c r="AJ847">
        <v>1</v>
      </c>
      <c r="AK847">
        <v>19</v>
      </c>
      <c r="AL847" t="s">
        <v>309</v>
      </c>
      <c r="AM847" t="s">
        <v>310</v>
      </c>
      <c r="AN847" t="s">
        <v>5672</v>
      </c>
      <c r="AO847" t="s">
        <v>15025</v>
      </c>
      <c r="AP847" t="s">
        <v>15026</v>
      </c>
      <c r="AQ847" t="s">
        <v>74</v>
      </c>
      <c r="AR847" t="s">
        <v>15027</v>
      </c>
      <c r="AS847" t="s">
        <v>15028</v>
      </c>
      <c r="AT847" t="s">
        <v>15029</v>
      </c>
      <c r="AU847">
        <v>2010</v>
      </c>
      <c r="AV847">
        <v>114</v>
      </c>
      <c r="AW847">
        <v>5</v>
      </c>
      <c r="AX847" t="s">
        <v>74</v>
      </c>
      <c r="AY847" t="s">
        <v>74</v>
      </c>
      <c r="AZ847" t="s">
        <v>74</v>
      </c>
      <c r="BA847" t="s">
        <v>74</v>
      </c>
      <c r="BB847">
        <v>1136</v>
      </c>
      <c r="BC847">
        <v>1140</v>
      </c>
      <c r="BD847" t="s">
        <v>74</v>
      </c>
      <c r="BE847" t="s">
        <v>15030</v>
      </c>
      <c r="BF847" t="str">
        <f>HYPERLINK("http://dx.doi.org/10.1016/j.rse.2009.12.015","http://dx.doi.org/10.1016/j.rse.2009.12.015")</f>
        <v>http://dx.doi.org/10.1016/j.rse.2009.12.015</v>
      </c>
      <c r="BG847" t="s">
        <v>74</v>
      </c>
      <c r="BH847" t="s">
        <v>74</v>
      </c>
      <c r="BI847">
        <v>5</v>
      </c>
      <c r="BJ847" t="s">
        <v>15031</v>
      </c>
      <c r="BK847" t="s">
        <v>100</v>
      </c>
      <c r="BL847" t="s">
        <v>15032</v>
      </c>
      <c r="BM847" t="s">
        <v>15033</v>
      </c>
      <c r="BN847" t="s">
        <v>74</v>
      </c>
      <c r="BO847" t="s">
        <v>74</v>
      </c>
      <c r="BP847" t="s">
        <v>74</v>
      </c>
      <c r="BQ847" t="s">
        <v>74</v>
      </c>
      <c r="BR847" t="s">
        <v>104</v>
      </c>
      <c r="BS847" t="s">
        <v>15034</v>
      </c>
      <c r="BT847" t="str">
        <f>HYPERLINK("https%3A%2F%2Fwww.webofscience.com%2Fwos%2Fwoscc%2Ffull-record%2FWOS:000275780800019","View Full Record in Web of Science")</f>
        <v>View Full Record in Web of Science</v>
      </c>
    </row>
    <row r="848" spans="1:72" x14ac:dyDescent="0.15">
      <c r="A848" t="s">
        <v>72</v>
      </c>
      <c r="B848" t="s">
        <v>15035</v>
      </c>
      <c r="C848" t="s">
        <v>74</v>
      </c>
      <c r="D848" t="s">
        <v>74</v>
      </c>
      <c r="E848" t="s">
        <v>74</v>
      </c>
      <c r="F848" t="s">
        <v>15036</v>
      </c>
      <c r="G848" t="s">
        <v>74</v>
      </c>
      <c r="H848" t="s">
        <v>74</v>
      </c>
      <c r="I848" t="s">
        <v>15037</v>
      </c>
      <c r="J848" t="s">
        <v>536</v>
      </c>
      <c r="K848" t="s">
        <v>74</v>
      </c>
      <c r="L848" t="s">
        <v>74</v>
      </c>
      <c r="M848" t="s">
        <v>78</v>
      </c>
      <c r="N848" t="s">
        <v>79</v>
      </c>
      <c r="O848" t="s">
        <v>74</v>
      </c>
      <c r="P848" t="s">
        <v>74</v>
      </c>
      <c r="Q848" t="s">
        <v>74</v>
      </c>
      <c r="R848" t="s">
        <v>74</v>
      </c>
      <c r="S848" t="s">
        <v>74</v>
      </c>
      <c r="T848" t="s">
        <v>15038</v>
      </c>
      <c r="U848" t="s">
        <v>15039</v>
      </c>
      <c r="V848" t="s">
        <v>15040</v>
      </c>
      <c r="W848" t="s">
        <v>15041</v>
      </c>
      <c r="X848" t="s">
        <v>14334</v>
      </c>
      <c r="Y848" t="s">
        <v>15042</v>
      </c>
      <c r="Z848" t="s">
        <v>14336</v>
      </c>
      <c r="AA848" t="s">
        <v>74</v>
      </c>
      <c r="AB848" t="s">
        <v>15043</v>
      </c>
      <c r="AC848" t="s">
        <v>15044</v>
      </c>
      <c r="AD848" t="s">
        <v>15045</v>
      </c>
      <c r="AE848" t="s">
        <v>15046</v>
      </c>
      <c r="AF848" t="s">
        <v>74</v>
      </c>
      <c r="AG848">
        <v>47</v>
      </c>
      <c r="AH848">
        <v>13</v>
      </c>
      <c r="AI848">
        <v>13</v>
      </c>
      <c r="AJ848">
        <v>1</v>
      </c>
      <c r="AK848">
        <v>17</v>
      </c>
      <c r="AL848" t="s">
        <v>1038</v>
      </c>
      <c r="AM848" t="s">
        <v>550</v>
      </c>
      <c r="AN848" t="s">
        <v>1039</v>
      </c>
      <c r="AO848" t="s">
        <v>552</v>
      </c>
      <c r="AP848" t="s">
        <v>2999</v>
      </c>
      <c r="AQ848" t="s">
        <v>74</v>
      </c>
      <c r="AR848" t="s">
        <v>553</v>
      </c>
      <c r="AS848" t="s">
        <v>554</v>
      </c>
      <c r="AT848" t="s">
        <v>15047</v>
      </c>
      <c r="AU848">
        <v>2010</v>
      </c>
      <c r="AV848">
        <v>294</v>
      </c>
      <c r="AW848" t="s">
        <v>4513</v>
      </c>
      <c r="AX848" t="s">
        <v>74</v>
      </c>
      <c r="AY848" t="s">
        <v>74</v>
      </c>
      <c r="AZ848" t="s">
        <v>74</v>
      </c>
      <c r="BA848" t="s">
        <v>74</v>
      </c>
      <c r="BB848">
        <v>80</v>
      </c>
      <c r="BC848">
        <v>84</v>
      </c>
      <c r="BD848" t="s">
        <v>74</v>
      </c>
      <c r="BE848" t="s">
        <v>15048</v>
      </c>
      <c r="BF848" t="str">
        <f>HYPERLINK("http://dx.doi.org/10.1016/j.epsl.2010.03.005","http://dx.doi.org/10.1016/j.epsl.2010.03.005")</f>
        <v>http://dx.doi.org/10.1016/j.epsl.2010.03.005</v>
      </c>
      <c r="BG848" t="s">
        <v>74</v>
      </c>
      <c r="BH848" t="s">
        <v>74</v>
      </c>
      <c r="BI848">
        <v>5</v>
      </c>
      <c r="BJ848" t="s">
        <v>558</v>
      </c>
      <c r="BK848" t="s">
        <v>100</v>
      </c>
      <c r="BL848" t="s">
        <v>558</v>
      </c>
      <c r="BM848" t="s">
        <v>15049</v>
      </c>
      <c r="BN848" t="s">
        <v>74</v>
      </c>
      <c r="BO848" t="s">
        <v>134</v>
      </c>
      <c r="BP848" t="s">
        <v>74</v>
      </c>
      <c r="BQ848" t="s">
        <v>74</v>
      </c>
      <c r="BR848" t="s">
        <v>104</v>
      </c>
      <c r="BS848" t="s">
        <v>15050</v>
      </c>
      <c r="BT848" t="str">
        <f>HYPERLINK("https%3A%2F%2Fwww.webofscience.com%2Fwos%2Fwoscc%2Ffull-record%2FWOS:000278506200009","View Full Record in Web of Science")</f>
        <v>View Full Record in Web of Science</v>
      </c>
    </row>
    <row r="849" spans="1:72" x14ac:dyDescent="0.15">
      <c r="A849" t="s">
        <v>72</v>
      </c>
      <c r="B849" t="s">
        <v>15051</v>
      </c>
      <c r="C849" t="s">
        <v>74</v>
      </c>
      <c r="D849" t="s">
        <v>74</v>
      </c>
      <c r="E849" t="s">
        <v>74</v>
      </c>
      <c r="F849" t="s">
        <v>15052</v>
      </c>
      <c r="G849" t="s">
        <v>74</v>
      </c>
      <c r="H849" t="s">
        <v>74</v>
      </c>
      <c r="I849" t="s">
        <v>15053</v>
      </c>
      <c r="J849" t="s">
        <v>1585</v>
      </c>
      <c r="K849" t="s">
        <v>74</v>
      </c>
      <c r="L849" t="s">
        <v>74</v>
      </c>
      <c r="M849" t="s">
        <v>78</v>
      </c>
      <c r="N849" t="s">
        <v>79</v>
      </c>
      <c r="O849" t="s">
        <v>74</v>
      </c>
      <c r="P849" t="s">
        <v>74</v>
      </c>
      <c r="Q849" t="s">
        <v>74</v>
      </c>
      <c r="R849" t="s">
        <v>74</v>
      </c>
      <c r="S849" t="s">
        <v>74</v>
      </c>
      <c r="T849" t="s">
        <v>74</v>
      </c>
      <c r="U849" t="s">
        <v>15054</v>
      </c>
      <c r="V849" t="s">
        <v>15055</v>
      </c>
      <c r="W849" t="s">
        <v>15056</v>
      </c>
      <c r="X849" t="s">
        <v>15057</v>
      </c>
      <c r="Y849" t="s">
        <v>15058</v>
      </c>
      <c r="Z849" t="s">
        <v>15059</v>
      </c>
      <c r="AA849" t="s">
        <v>74</v>
      </c>
      <c r="AB849" t="s">
        <v>15060</v>
      </c>
      <c r="AC849" t="s">
        <v>15061</v>
      </c>
      <c r="AD849" t="s">
        <v>15061</v>
      </c>
      <c r="AE849" t="s">
        <v>15062</v>
      </c>
      <c r="AF849" t="s">
        <v>74</v>
      </c>
      <c r="AG849">
        <v>45</v>
      </c>
      <c r="AH849">
        <v>7</v>
      </c>
      <c r="AI849">
        <v>9</v>
      </c>
      <c r="AJ849">
        <v>0</v>
      </c>
      <c r="AK849">
        <v>14</v>
      </c>
      <c r="AL849" t="s">
        <v>1597</v>
      </c>
      <c r="AM849" t="s">
        <v>1598</v>
      </c>
      <c r="AN849" t="s">
        <v>1599</v>
      </c>
      <c r="AO849" t="s">
        <v>1600</v>
      </c>
      <c r="AP849" t="s">
        <v>74</v>
      </c>
      <c r="AQ849" t="s">
        <v>74</v>
      </c>
      <c r="AR849" t="s">
        <v>1601</v>
      </c>
      <c r="AS849" t="s">
        <v>1602</v>
      </c>
      <c r="AT849" t="s">
        <v>15063</v>
      </c>
      <c r="AU849">
        <v>2010</v>
      </c>
      <c r="AV849">
        <v>10</v>
      </c>
      <c r="AW849" t="s">
        <v>74</v>
      </c>
      <c r="AX849" t="s">
        <v>74</v>
      </c>
      <c r="AY849" t="s">
        <v>74</v>
      </c>
      <c r="AZ849" t="s">
        <v>74</v>
      </c>
      <c r="BA849" t="s">
        <v>74</v>
      </c>
      <c r="BB849" t="s">
        <v>74</v>
      </c>
      <c r="BC849" t="s">
        <v>74</v>
      </c>
      <c r="BD849">
        <v>143</v>
      </c>
      <c r="BE849" t="s">
        <v>15064</v>
      </c>
      <c r="BF849" t="str">
        <f>HYPERLINK("http://dx.doi.org/10.1186/1471-2148-10-143","http://dx.doi.org/10.1186/1471-2148-10-143")</f>
        <v>http://dx.doi.org/10.1186/1471-2148-10-143</v>
      </c>
      <c r="BG849" t="s">
        <v>74</v>
      </c>
      <c r="BH849" t="s">
        <v>74</v>
      </c>
      <c r="BI849">
        <v>9</v>
      </c>
      <c r="BJ849" t="s">
        <v>834</v>
      </c>
      <c r="BK849" t="s">
        <v>100</v>
      </c>
      <c r="BL849" t="s">
        <v>834</v>
      </c>
      <c r="BM849" t="s">
        <v>15065</v>
      </c>
      <c r="BN849">
        <v>20470387</v>
      </c>
      <c r="BO849" t="s">
        <v>15066</v>
      </c>
      <c r="BP849" t="s">
        <v>74</v>
      </c>
      <c r="BQ849" t="s">
        <v>74</v>
      </c>
      <c r="BR849" t="s">
        <v>104</v>
      </c>
      <c r="BS849" t="s">
        <v>15067</v>
      </c>
      <c r="BT849" t="str">
        <f>HYPERLINK("https%3A%2F%2Fwww.webofscience.com%2Fwos%2Fwoscc%2Ffull-record%2FWOS:000279827900001","View Full Record in Web of Science")</f>
        <v>View Full Record in Web of Science</v>
      </c>
    </row>
    <row r="850" spans="1:72" x14ac:dyDescent="0.15">
      <c r="A850" t="s">
        <v>72</v>
      </c>
      <c r="B850" t="s">
        <v>15068</v>
      </c>
      <c r="C850" t="s">
        <v>74</v>
      </c>
      <c r="D850" t="s">
        <v>74</v>
      </c>
      <c r="E850" t="s">
        <v>74</v>
      </c>
      <c r="F850" t="s">
        <v>15069</v>
      </c>
      <c r="G850" t="s">
        <v>74</v>
      </c>
      <c r="H850" t="s">
        <v>74</v>
      </c>
      <c r="I850" t="s">
        <v>15070</v>
      </c>
      <c r="J850" t="s">
        <v>1538</v>
      </c>
      <c r="K850" t="s">
        <v>74</v>
      </c>
      <c r="L850" t="s">
        <v>74</v>
      </c>
      <c r="M850" t="s">
        <v>78</v>
      </c>
      <c r="N850" t="s">
        <v>79</v>
      </c>
      <c r="O850" t="s">
        <v>74</v>
      </c>
      <c r="P850" t="s">
        <v>74</v>
      </c>
      <c r="Q850" t="s">
        <v>74</v>
      </c>
      <c r="R850" t="s">
        <v>74</v>
      </c>
      <c r="S850" t="s">
        <v>74</v>
      </c>
      <c r="T850" t="s">
        <v>74</v>
      </c>
      <c r="U850" t="s">
        <v>15071</v>
      </c>
      <c r="V850" t="s">
        <v>15072</v>
      </c>
      <c r="W850" t="s">
        <v>15073</v>
      </c>
      <c r="X850" t="s">
        <v>15074</v>
      </c>
      <c r="Y850" t="s">
        <v>15075</v>
      </c>
      <c r="Z850" t="s">
        <v>15076</v>
      </c>
      <c r="AA850" t="s">
        <v>15077</v>
      </c>
      <c r="AB850" t="s">
        <v>15078</v>
      </c>
      <c r="AC850" t="s">
        <v>15079</v>
      </c>
      <c r="AD850" t="s">
        <v>15080</v>
      </c>
      <c r="AE850" t="s">
        <v>15081</v>
      </c>
      <c r="AF850" t="s">
        <v>74</v>
      </c>
      <c r="AG850">
        <v>22</v>
      </c>
      <c r="AH850">
        <v>114</v>
      </c>
      <c r="AI850">
        <v>127</v>
      </c>
      <c r="AJ850">
        <v>0</v>
      </c>
      <c r="AK850">
        <v>12</v>
      </c>
      <c r="AL850" t="s">
        <v>1521</v>
      </c>
      <c r="AM850" t="s">
        <v>1522</v>
      </c>
      <c r="AN850" t="s">
        <v>1523</v>
      </c>
      <c r="AO850" t="s">
        <v>1550</v>
      </c>
      <c r="AP850" t="s">
        <v>1551</v>
      </c>
      <c r="AQ850" t="s">
        <v>74</v>
      </c>
      <c r="AR850" t="s">
        <v>1552</v>
      </c>
      <c r="AS850" t="s">
        <v>1553</v>
      </c>
      <c r="AT850" t="s">
        <v>15063</v>
      </c>
      <c r="AU850">
        <v>2010</v>
      </c>
      <c r="AV850">
        <v>37</v>
      </c>
      <c r="AW850" t="s">
        <v>74</v>
      </c>
      <c r="AX850" t="s">
        <v>74</v>
      </c>
      <c r="AY850" t="s">
        <v>74</v>
      </c>
      <c r="AZ850" t="s">
        <v>74</v>
      </c>
      <c r="BA850" t="s">
        <v>74</v>
      </c>
      <c r="BB850" t="s">
        <v>74</v>
      </c>
      <c r="BC850" t="s">
        <v>74</v>
      </c>
      <c r="BD850" t="s">
        <v>15082</v>
      </c>
      <c r="BE850" t="s">
        <v>15083</v>
      </c>
      <c r="BF850" t="str">
        <f>HYPERLINK("http://dx.doi.org/10.1029/2010GL042652","http://dx.doi.org/10.1029/2010GL042652")</f>
        <v>http://dx.doi.org/10.1029/2010GL042652</v>
      </c>
      <c r="BG850" t="s">
        <v>74</v>
      </c>
      <c r="BH850" t="s">
        <v>74</v>
      </c>
      <c r="BI850">
        <v>5</v>
      </c>
      <c r="BJ850" t="s">
        <v>1194</v>
      </c>
      <c r="BK850" t="s">
        <v>100</v>
      </c>
      <c r="BL850" t="s">
        <v>807</v>
      </c>
      <c r="BM850" t="s">
        <v>15084</v>
      </c>
      <c r="BN850" t="s">
        <v>74</v>
      </c>
      <c r="BO850" t="s">
        <v>123</v>
      </c>
      <c r="BP850" t="s">
        <v>74</v>
      </c>
      <c r="BQ850" t="s">
        <v>74</v>
      </c>
      <c r="BR850" t="s">
        <v>104</v>
      </c>
      <c r="BS850" t="s">
        <v>15085</v>
      </c>
      <c r="BT850" t="str">
        <f>HYPERLINK("https%3A%2F%2Fwww.webofscience.com%2Fwos%2Fwoscc%2Ffull-record%2FWOS:000277704700002","View Full Record in Web of Science")</f>
        <v>View Full Record in Web of Science</v>
      </c>
    </row>
    <row r="851" spans="1:72" x14ac:dyDescent="0.15">
      <c r="A851" t="s">
        <v>72</v>
      </c>
      <c r="B851" t="s">
        <v>15086</v>
      </c>
      <c r="C851" t="s">
        <v>74</v>
      </c>
      <c r="D851" t="s">
        <v>74</v>
      </c>
      <c r="E851" t="s">
        <v>74</v>
      </c>
      <c r="F851" t="s">
        <v>15087</v>
      </c>
      <c r="G851" t="s">
        <v>74</v>
      </c>
      <c r="H851" t="s">
        <v>74</v>
      </c>
      <c r="I851" t="s">
        <v>15088</v>
      </c>
      <c r="J851" t="s">
        <v>1538</v>
      </c>
      <c r="K851" t="s">
        <v>74</v>
      </c>
      <c r="L851" t="s">
        <v>74</v>
      </c>
      <c r="M851" t="s">
        <v>78</v>
      </c>
      <c r="N851" t="s">
        <v>79</v>
      </c>
      <c r="O851" t="s">
        <v>74</v>
      </c>
      <c r="P851" t="s">
        <v>74</v>
      </c>
      <c r="Q851" t="s">
        <v>74</v>
      </c>
      <c r="R851" t="s">
        <v>74</v>
      </c>
      <c r="S851" t="s">
        <v>74</v>
      </c>
      <c r="T851" t="s">
        <v>74</v>
      </c>
      <c r="U851" t="s">
        <v>15089</v>
      </c>
      <c r="V851" t="s">
        <v>15090</v>
      </c>
      <c r="W851" t="s">
        <v>15091</v>
      </c>
      <c r="X851" t="s">
        <v>15092</v>
      </c>
      <c r="Y851" t="s">
        <v>15093</v>
      </c>
      <c r="Z851" t="s">
        <v>15094</v>
      </c>
      <c r="AA851" t="s">
        <v>15095</v>
      </c>
      <c r="AB851" t="s">
        <v>15096</v>
      </c>
      <c r="AC851" t="s">
        <v>15097</v>
      </c>
      <c r="AD851" t="s">
        <v>289</v>
      </c>
      <c r="AE851" t="s">
        <v>15098</v>
      </c>
      <c r="AF851" t="s">
        <v>74</v>
      </c>
      <c r="AG851">
        <v>28</v>
      </c>
      <c r="AH851">
        <v>15</v>
      </c>
      <c r="AI851">
        <v>16</v>
      </c>
      <c r="AJ851">
        <v>1</v>
      </c>
      <c r="AK851">
        <v>10</v>
      </c>
      <c r="AL851" t="s">
        <v>1521</v>
      </c>
      <c r="AM851" t="s">
        <v>1522</v>
      </c>
      <c r="AN851" t="s">
        <v>1523</v>
      </c>
      <c r="AO851" t="s">
        <v>1550</v>
      </c>
      <c r="AP851" t="s">
        <v>1551</v>
      </c>
      <c r="AQ851" t="s">
        <v>74</v>
      </c>
      <c r="AR851" t="s">
        <v>1552</v>
      </c>
      <c r="AS851" t="s">
        <v>1553</v>
      </c>
      <c r="AT851" t="s">
        <v>15063</v>
      </c>
      <c r="AU851">
        <v>2010</v>
      </c>
      <c r="AV851">
        <v>37</v>
      </c>
      <c r="AW851" t="s">
        <v>74</v>
      </c>
      <c r="AX851" t="s">
        <v>74</v>
      </c>
      <c r="AY851" t="s">
        <v>74</v>
      </c>
      <c r="AZ851" t="s">
        <v>74</v>
      </c>
      <c r="BA851" t="s">
        <v>74</v>
      </c>
      <c r="BB851" t="s">
        <v>74</v>
      </c>
      <c r="BC851" t="s">
        <v>74</v>
      </c>
      <c r="BD851" t="s">
        <v>15099</v>
      </c>
      <c r="BE851" t="s">
        <v>15100</v>
      </c>
      <c r="BF851" t="str">
        <f>HYPERLINK("http://dx.doi.org/10.1029/2010GL042621","http://dx.doi.org/10.1029/2010GL042621")</f>
        <v>http://dx.doi.org/10.1029/2010GL042621</v>
      </c>
      <c r="BG851" t="s">
        <v>74</v>
      </c>
      <c r="BH851" t="s">
        <v>74</v>
      </c>
      <c r="BI851">
        <v>5</v>
      </c>
      <c r="BJ851" t="s">
        <v>1194</v>
      </c>
      <c r="BK851" t="s">
        <v>100</v>
      </c>
      <c r="BL851" t="s">
        <v>807</v>
      </c>
      <c r="BM851" t="s">
        <v>15084</v>
      </c>
      <c r="BN851" t="s">
        <v>74</v>
      </c>
      <c r="BO851" t="s">
        <v>394</v>
      </c>
      <c r="BP851" t="s">
        <v>74</v>
      </c>
      <c r="BQ851" t="s">
        <v>74</v>
      </c>
      <c r="BR851" t="s">
        <v>104</v>
      </c>
      <c r="BS851" t="s">
        <v>15101</v>
      </c>
      <c r="BT851" t="str">
        <f>HYPERLINK("https%3A%2F%2Fwww.webofscience.com%2Fwos%2Fwoscc%2Ffull-record%2FWOS:000277704700001","View Full Record in Web of Science")</f>
        <v>View Full Record in Web of Science</v>
      </c>
    </row>
    <row r="852" spans="1:72" x14ac:dyDescent="0.15">
      <c r="A852" t="s">
        <v>72</v>
      </c>
      <c r="B852" t="s">
        <v>15102</v>
      </c>
      <c r="C852" t="s">
        <v>74</v>
      </c>
      <c r="D852" t="s">
        <v>74</v>
      </c>
      <c r="E852" t="s">
        <v>74</v>
      </c>
      <c r="F852" t="s">
        <v>15103</v>
      </c>
      <c r="G852" t="s">
        <v>74</v>
      </c>
      <c r="H852" t="s">
        <v>74</v>
      </c>
      <c r="I852" t="s">
        <v>15104</v>
      </c>
      <c r="J852" t="s">
        <v>1538</v>
      </c>
      <c r="K852" t="s">
        <v>74</v>
      </c>
      <c r="L852" t="s">
        <v>74</v>
      </c>
      <c r="M852" t="s">
        <v>78</v>
      </c>
      <c r="N852" t="s">
        <v>79</v>
      </c>
      <c r="O852" t="s">
        <v>74</v>
      </c>
      <c r="P852" t="s">
        <v>74</v>
      </c>
      <c r="Q852" t="s">
        <v>74</v>
      </c>
      <c r="R852" t="s">
        <v>74</v>
      </c>
      <c r="S852" t="s">
        <v>74</v>
      </c>
      <c r="T852" t="s">
        <v>74</v>
      </c>
      <c r="U852" t="s">
        <v>15105</v>
      </c>
      <c r="V852" t="s">
        <v>15106</v>
      </c>
      <c r="W852" t="s">
        <v>15107</v>
      </c>
      <c r="X852" t="s">
        <v>15108</v>
      </c>
      <c r="Y852" t="s">
        <v>15109</v>
      </c>
      <c r="Z852" t="s">
        <v>15110</v>
      </c>
      <c r="AA852" t="s">
        <v>15111</v>
      </c>
      <c r="AB852" t="s">
        <v>15112</v>
      </c>
      <c r="AC852" t="s">
        <v>15113</v>
      </c>
      <c r="AD852" t="s">
        <v>2843</v>
      </c>
      <c r="AE852" t="s">
        <v>74</v>
      </c>
      <c r="AF852" t="s">
        <v>74</v>
      </c>
      <c r="AG852">
        <v>25</v>
      </c>
      <c r="AH852">
        <v>42</v>
      </c>
      <c r="AI852">
        <v>44</v>
      </c>
      <c r="AJ852">
        <v>0</v>
      </c>
      <c r="AK852">
        <v>8</v>
      </c>
      <c r="AL852" t="s">
        <v>1521</v>
      </c>
      <c r="AM852" t="s">
        <v>1522</v>
      </c>
      <c r="AN852" t="s">
        <v>1523</v>
      </c>
      <c r="AO852" t="s">
        <v>1550</v>
      </c>
      <c r="AP852" t="s">
        <v>74</v>
      </c>
      <c r="AQ852" t="s">
        <v>74</v>
      </c>
      <c r="AR852" t="s">
        <v>1552</v>
      </c>
      <c r="AS852" t="s">
        <v>1553</v>
      </c>
      <c r="AT852" t="s">
        <v>15063</v>
      </c>
      <c r="AU852">
        <v>2010</v>
      </c>
      <c r="AV852">
        <v>37</v>
      </c>
      <c r="AW852" t="s">
        <v>74</v>
      </c>
      <c r="AX852" t="s">
        <v>74</v>
      </c>
      <c r="AY852" t="s">
        <v>74</v>
      </c>
      <c r="AZ852" t="s">
        <v>74</v>
      </c>
      <c r="BA852" t="s">
        <v>74</v>
      </c>
      <c r="BB852" t="s">
        <v>74</v>
      </c>
      <c r="BC852" t="s">
        <v>74</v>
      </c>
      <c r="BD852" t="s">
        <v>15114</v>
      </c>
      <c r="BE852" t="s">
        <v>15115</v>
      </c>
      <c r="BF852" t="str">
        <f>HYPERLINK("http://dx.doi.org/10.1029/2010GL042822","http://dx.doi.org/10.1029/2010GL042822")</f>
        <v>http://dx.doi.org/10.1029/2010GL042822</v>
      </c>
      <c r="BG852" t="s">
        <v>74</v>
      </c>
      <c r="BH852" t="s">
        <v>74</v>
      </c>
      <c r="BI852">
        <v>4</v>
      </c>
      <c r="BJ852" t="s">
        <v>1194</v>
      </c>
      <c r="BK852" t="s">
        <v>100</v>
      </c>
      <c r="BL852" t="s">
        <v>807</v>
      </c>
      <c r="BM852" t="s">
        <v>15084</v>
      </c>
      <c r="BN852" t="s">
        <v>74</v>
      </c>
      <c r="BO852" t="s">
        <v>1632</v>
      </c>
      <c r="BP852" t="s">
        <v>74</v>
      </c>
      <c r="BQ852" t="s">
        <v>74</v>
      </c>
      <c r="BR852" t="s">
        <v>104</v>
      </c>
      <c r="BS852" t="s">
        <v>15116</v>
      </c>
      <c r="BT852" t="str">
        <f>HYPERLINK("https%3A%2F%2Fwww.webofscience.com%2Fwos%2Fwoscc%2Ffull-record%2FWOS:000277704700003","View Full Record in Web of Science")</f>
        <v>View Full Record in Web of Science</v>
      </c>
    </row>
    <row r="853" spans="1:72" x14ac:dyDescent="0.15">
      <c r="A853" t="s">
        <v>72</v>
      </c>
      <c r="B853" t="s">
        <v>15117</v>
      </c>
      <c r="C853" t="s">
        <v>74</v>
      </c>
      <c r="D853" t="s">
        <v>74</v>
      </c>
      <c r="E853" t="s">
        <v>74</v>
      </c>
      <c r="F853" t="s">
        <v>15118</v>
      </c>
      <c r="G853" t="s">
        <v>74</v>
      </c>
      <c r="H853" t="s">
        <v>74</v>
      </c>
      <c r="I853" t="s">
        <v>15119</v>
      </c>
      <c r="J853" t="s">
        <v>10144</v>
      </c>
      <c r="K853" t="s">
        <v>74</v>
      </c>
      <c r="L853" t="s">
        <v>74</v>
      </c>
      <c r="M853" t="s">
        <v>78</v>
      </c>
      <c r="N853" t="s">
        <v>79</v>
      </c>
      <c r="O853" t="s">
        <v>74</v>
      </c>
      <c r="P853" t="s">
        <v>74</v>
      </c>
      <c r="Q853" t="s">
        <v>74</v>
      </c>
      <c r="R853" t="s">
        <v>74</v>
      </c>
      <c r="S853" t="s">
        <v>74</v>
      </c>
      <c r="T853" t="s">
        <v>74</v>
      </c>
      <c r="U853" t="s">
        <v>15120</v>
      </c>
      <c r="V853" t="s">
        <v>15121</v>
      </c>
      <c r="W853" t="s">
        <v>15122</v>
      </c>
      <c r="X853" t="s">
        <v>15123</v>
      </c>
      <c r="Y853" t="s">
        <v>15124</v>
      </c>
      <c r="Z853" t="s">
        <v>15125</v>
      </c>
      <c r="AA853" t="s">
        <v>15126</v>
      </c>
      <c r="AB853" t="s">
        <v>15127</v>
      </c>
      <c r="AC853" t="s">
        <v>15128</v>
      </c>
      <c r="AD853" t="s">
        <v>15129</v>
      </c>
      <c r="AE853" t="s">
        <v>15130</v>
      </c>
      <c r="AF853" t="s">
        <v>74</v>
      </c>
      <c r="AG853">
        <v>40</v>
      </c>
      <c r="AH853">
        <v>68</v>
      </c>
      <c r="AI853">
        <v>75</v>
      </c>
      <c r="AJ853">
        <v>1</v>
      </c>
      <c r="AK853">
        <v>17</v>
      </c>
      <c r="AL853" t="s">
        <v>1521</v>
      </c>
      <c r="AM853" t="s">
        <v>1522</v>
      </c>
      <c r="AN853" t="s">
        <v>1523</v>
      </c>
      <c r="AO853" t="s">
        <v>10153</v>
      </c>
      <c r="AP853" t="s">
        <v>10154</v>
      </c>
      <c r="AQ853" t="s">
        <v>74</v>
      </c>
      <c r="AR853" t="s">
        <v>10155</v>
      </c>
      <c r="AS853" t="s">
        <v>10156</v>
      </c>
      <c r="AT853" t="s">
        <v>15063</v>
      </c>
      <c r="AU853">
        <v>2010</v>
      </c>
      <c r="AV853">
        <v>46</v>
      </c>
      <c r="AW853" t="s">
        <v>74</v>
      </c>
      <c r="AX853" t="s">
        <v>74</v>
      </c>
      <c r="AY853" t="s">
        <v>74</v>
      </c>
      <c r="AZ853" t="s">
        <v>74</v>
      </c>
      <c r="BA853" t="s">
        <v>74</v>
      </c>
      <c r="BB853" t="s">
        <v>74</v>
      </c>
      <c r="BC853" t="s">
        <v>74</v>
      </c>
      <c r="BD853" t="s">
        <v>15131</v>
      </c>
      <c r="BE853" t="s">
        <v>15132</v>
      </c>
      <c r="BF853" t="str">
        <f>HYPERLINK("http://dx.doi.org/10.1029/2009WR007982","http://dx.doi.org/10.1029/2009WR007982")</f>
        <v>http://dx.doi.org/10.1029/2009WR007982</v>
      </c>
      <c r="BG853" t="s">
        <v>74</v>
      </c>
      <c r="BH853" t="s">
        <v>74</v>
      </c>
      <c r="BI853">
        <v>16</v>
      </c>
      <c r="BJ853" t="s">
        <v>10159</v>
      </c>
      <c r="BK853" t="s">
        <v>100</v>
      </c>
      <c r="BL853" t="s">
        <v>5444</v>
      </c>
      <c r="BM853" t="s">
        <v>15133</v>
      </c>
      <c r="BN853" t="s">
        <v>74</v>
      </c>
      <c r="BO853" t="s">
        <v>394</v>
      </c>
      <c r="BP853" t="s">
        <v>74</v>
      </c>
      <c r="BQ853" t="s">
        <v>74</v>
      </c>
      <c r="BR853" t="s">
        <v>104</v>
      </c>
      <c r="BS853" t="s">
        <v>15134</v>
      </c>
      <c r="BT853" t="str">
        <f>HYPERLINK("https%3A%2F%2Fwww.webofscience.com%2Fwos%2Fwoscc%2Ffull-record%2FWOS:000277709300001","View Full Record in Web of Science")</f>
        <v>View Full Record in Web of Science</v>
      </c>
    </row>
    <row r="854" spans="1:72" x14ac:dyDescent="0.15">
      <c r="A854" t="s">
        <v>72</v>
      </c>
      <c r="B854" t="s">
        <v>15135</v>
      </c>
      <c r="C854" t="s">
        <v>74</v>
      </c>
      <c r="D854" t="s">
        <v>74</v>
      </c>
      <c r="E854" t="s">
        <v>74</v>
      </c>
      <c r="F854" t="s">
        <v>15136</v>
      </c>
      <c r="G854" t="s">
        <v>74</v>
      </c>
      <c r="H854" t="s">
        <v>74</v>
      </c>
      <c r="I854" t="s">
        <v>15137</v>
      </c>
      <c r="J854" t="s">
        <v>4634</v>
      </c>
      <c r="K854" t="s">
        <v>74</v>
      </c>
      <c r="L854" t="s">
        <v>74</v>
      </c>
      <c r="M854" t="s">
        <v>78</v>
      </c>
      <c r="N854" t="s">
        <v>79</v>
      </c>
      <c r="O854" t="s">
        <v>74</v>
      </c>
      <c r="P854" t="s">
        <v>74</v>
      </c>
      <c r="Q854" t="s">
        <v>74</v>
      </c>
      <c r="R854" t="s">
        <v>74</v>
      </c>
      <c r="S854" t="s">
        <v>74</v>
      </c>
      <c r="T854" t="s">
        <v>74</v>
      </c>
      <c r="U854" t="s">
        <v>15138</v>
      </c>
      <c r="V854" t="s">
        <v>15139</v>
      </c>
      <c r="W854" t="s">
        <v>15140</v>
      </c>
      <c r="X854" t="s">
        <v>15141</v>
      </c>
      <c r="Y854" t="s">
        <v>15142</v>
      </c>
      <c r="Z854" t="s">
        <v>15143</v>
      </c>
      <c r="AA854" t="s">
        <v>15144</v>
      </c>
      <c r="AB854" t="s">
        <v>74</v>
      </c>
      <c r="AC854" t="s">
        <v>15145</v>
      </c>
      <c r="AD854" t="s">
        <v>15146</v>
      </c>
      <c r="AE854" t="s">
        <v>15147</v>
      </c>
      <c r="AF854" t="s">
        <v>74</v>
      </c>
      <c r="AG854">
        <v>26</v>
      </c>
      <c r="AH854">
        <v>66</v>
      </c>
      <c r="AI854">
        <v>68</v>
      </c>
      <c r="AJ854">
        <v>1</v>
      </c>
      <c r="AK854">
        <v>15</v>
      </c>
      <c r="AL854" t="s">
        <v>1521</v>
      </c>
      <c r="AM854" t="s">
        <v>1522</v>
      </c>
      <c r="AN854" t="s">
        <v>1523</v>
      </c>
      <c r="AO854" t="s">
        <v>4646</v>
      </c>
      <c r="AP854" t="s">
        <v>4647</v>
      </c>
      <c r="AQ854" t="s">
        <v>74</v>
      </c>
      <c r="AR854" t="s">
        <v>4648</v>
      </c>
      <c r="AS854" t="s">
        <v>4649</v>
      </c>
      <c r="AT854" t="s">
        <v>15148</v>
      </c>
      <c r="AU854">
        <v>2010</v>
      </c>
      <c r="AV854">
        <v>115</v>
      </c>
      <c r="AW854" t="s">
        <v>74</v>
      </c>
      <c r="AX854" t="s">
        <v>74</v>
      </c>
      <c r="AY854" t="s">
        <v>74</v>
      </c>
      <c r="AZ854" t="s">
        <v>74</v>
      </c>
      <c r="BA854" t="s">
        <v>74</v>
      </c>
      <c r="BB854" t="s">
        <v>74</v>
      </c>
      <c r="BC854" t="s">
        <v>74</v>
      </c>
      <c r="BD854" t="s">
        <v>15149</v>
      </c>
      <c r="BE854" t="s">
        <v>15150</v>
      </c>
      <c r="BF854" t="str">
        <f>HYPERLINK("http://dx.doi.org/10.1029/2009JA014662","http://dx.doi.org/10.1029/2009JA014662")</f>
        <v>http://dx.doi.org/10.1029/2009JA014662</v>
      </c>
      <c r="BG854" t="s">
        <v>74</v>
      </c>
      <c r="BH854" t="s">
        <v>74</v>
      </c>
      <c r="BI854">
        <v>10</v>
      </c>
      <c r="BJ854" t="s">
        <v>1805</v>
      </c>
      <c r="BK854" t="s">
        <v>100</v>
      </c>
      <c r="BL854" t="s">
        <v>1805</v>
      </c>
      <c r="BM854" t="s">
        <v>15151</v>
      </c>
      <c r="BN854" t="s">
        <v>74</v>
      </c>
      <c r="BO854" t="s">
        <v>394</v>
      </c>
      <c r="BP854" t="s">
        <v>74</v>
      </c>
      <c r="BQ854" t="s">
        <v>74</v>
      </c>
      <c r="BR854" t="s">
        <v>104</v>
      </c>
      <c r="BS854" t="s">
        <v>15152</v>
      </c>
      <c r="BT854" t="str">
        <f>HYPERLINK("https%3A%2F%2Fwww.webofscience.com%2Fwos%2Fwoscc%2Ffull-record%2FWOS:000277708100003","View Full Record in Web of Science")</f>
        <v>View Full Record in Web of Science</v>
      </c>
    </row>
    <row r="855" spans="1:72" x14ac:dyDescent="0.15">
      <c r="A855" t="s">
        <v>72</v>
      </c>
      <c r="B855" t="s">
        <v>15153</v>
      </c>
      <c r="C855" t="s">
        <v>74</v>
      </c>
      <c r="D855" t="s">
        <v>74</v>
      </c>
      <c r="E855" t="s">
        <v>74</v>
      </c>
      <c r="F855" t="s">
        <v>15154</v>
      </c>
      <c r="G855" t="s">
        <v>74</v>
      </c>
      <c r="H855" t="s">
        <v>74</v>
      </c>
      <c r="I855" t="s">
        <v>15155</v>
      </c>
      <c r="J855" t="s">
        <v>1637</v>
      </c>
      <c r="K855" t="s">
        <v>74</v>
      </c>
      <c r="L855" t="s">
        <v>74</v>
      </c>
      <c r="M855" t="s">
        <v>78</v>
      </c>
      <c r="N855" t="s">
        <v>79</v>
      </c>
      <c r="O855" t="s">
        <v>74</v>
      </c>
      <c r="P855" t="s">
        <v>74</v>
      </c>
      <c r="Q855" t="s">
        <v>74</v>
      </c>
      <c r="R855" t="s">
        <v>74</v>
      </c>
      <c r="S855" t="s">
        <v>74</v>
      </c>
      <c r="T855" t="s">
        <v>15156</v>
      </c>
      <c r="U855" t="s">
        <v>15157</v>
      </c>
      <c r="V855" t="s">
        <v>15158</v>
      </c>
      <c r="W855" t="s">
        <v>15159</v>
      </c>
      <c r="X855" t="s">
        <v>15160</v>
      </c>
      <c r="Y855" t="s">
        <v>15161</v>
      </c>
      <c r="Z855" t="s">
        <v>15162</v>
      </c>
      <c r="AA855" t="s">
        <v>15163</v>
      </c>
      <c r="AB855" t="s">
        <v>15164</v>
      </c>
      <c r="AC855" t="s">
        <v>15165</v>
      </c>
      <c r="AD855" t="s">
        <v>15166</v>
      </c>
      <c r="AE855" t="s">
        <v>15167</v>
      </c>
      <c r="AF855" t="s">
        <v>74</v>
      </c>
      <c r="AG855">
        <v>29</v>
      </c>
      <c r="AH855">
        <v>0</v>
      </c>
      <c r="AI855">
        <v>0</v>
      </c>
      <c r="AJ855">
        <v>0</v>
      </c>
      <c r="AK855">
        <v>5</v>
      </c>
      <c r="AL855" t="s">
        <v>1646</v>
      </c>
      <c r="AM855" t="s">
        <v>1647</v>
      </c>
      <c r="AN855" t="s">
        <v>1648</v>
      </c>
      <c r="AO855" t="s">
        <v>1649</v>
      </c>
      <c r="AP855" t="s">
        <v>74</v>
      </c>
      <c r="AQ855" t="s">
        <v>74</v>
      </c>
      <c r="AR855" t="s">
        <v>1650</v>
      </c>
      <c r="AS855" t="s">
        <v>1651</v>
      </c>
      <c r="AT855" t="s">
        <v>15168</v>
      </c>
      <c r="AU855">
        <v>2010</v>
      </c>
      <c r="AV855">
        <v>98</v>
      </c>
      <c r="AW855">
        <v>9</v>
      </c>
      <c r="AX855" t="s">
        <v>74</v>
      </c>
      <c r="AY855" t="s">
        <v>74</v>
      </c>
      <c r="AZ855" t="s">
        <v>74</v>
      </c>
      <c r="BA855" t="s">
        <v>74</v>
      </c>
      <c r="BB855">
        <v>1224</v>
      </c>
      <c r="BC855">
        <v>1229</v>
      </c>
      <c r="BD855" t="s">
        <v>74</v>
      </c>
      <c r="BE855" t="s">
        <v>74</v>
      </c>
      <c r="BF855" t="s">
        <v>74</v>
      </c>
      <c r="BG855" t="s">
        <v>74</v>
      </c>
      <c r="BH855" t="s">
        <v>74</v>
      </c>
      <c r="BI855">
        <v>6</v>
      </c>
      <c r="BJ855" t="s">
        <v>444</v>
      </c>
      <c r="BK855" t="s">
        <v>100</v>
      </c>
      <c r="BL855" t="s">
        <v>445</v>
      </c>
      <c r="BM855" t="s">
        <v>15169</v>
      </c>
      <c r="BN855" t="s">
        <v>74</v>
      </c>
      <c r="BO855" t="s">
        <v>74</v>
      </c>
      <c r="BP855" t="s">
        <v>74</v>
      </c>
      <c r="BQ855" t="s">
        <v>74</v>
      </c>
      <c r="BR855" t="s">
        <v>104</v>
      </c>
      <c r="BS855" t="s">
        <v>15170</v>
      </c>
      <c r="BT855" t="str">
        <f>HYPERLINK("https%3A%2F%2Fwww.webofscience.com%2Fwos%2Fwoscc%2Ffull-record%2FWOS:000277388900022","View Full Record in Web of Science")</f>
        <v>View Full Record in Web of Science</v>
      </c>
    </row>
    <row r="856" spans="1:72" x14ac:dyDescent="0.15">
      <c r="A856" t="s">
        <v>72</v>
      </c>
      <c r="B856" t="s">
        <v>15171</v>
      </c>
      <c r="C856" t="s">
        <v>74</v>
      </c>
      <c r="D856" t="s">
        <v>74</v>
      </c>
      <c r="E856" t="s">
        <v>74</v>
      </c>
      <c r="F856" t="s">
        <v>15172</v>
      </c>
      <c r="G856" t="s">
        <v>74</v>
      </c>
      <c r="H856" t="s">
        <v>74</v>
      </c>
      <c r="I856" t="s">
        <v>15173</v>
      </c>
      <c r="J856" t="s">
        <v>4716</v>
      </c>
      <c r="K856" t="s">
        <v>74</v>
      </c>
      <c r="L856" t="s">
        <v>74</v>
      </c>
      <c r="M856" t="s">
        <v>78</v>
      </c>
      <c r="N856" t="s">
        <v>79</v>
      </c>
      <c r="O856" t="s">
        <v>74</v>
      </c>
      <c r="P856" t="s">
        <v>74</v>
      </c>
      <c r="Q856" t="s">
        <v>74</v>
      </c>
      <c r="R856" t="s">
        <v>74</v>
      </c>
      <c r="S856" t="s">
        <v>74</v>
      </c>
      <c r="T856" t="s">
        <v>74</v>
      </c>
      <c r="U856" t="s">
        <v>15174</v>
      </c>
      <c r="V856" t="s">
        <v>15175</v>
      </c>
      <c r="W856" t="s">
        <v>15176</v>
      </c>
      <c r="X856" t="s">
        <v>15177</v>
      </c>
      <c r="Y856" t="s">
        <v>15178</v>
      </c>
      <c r="Z856" t="s">
        <v>15179</v>
      </c>
      <c r="AA856" t="s">
        <v>15180</v>
      </c>
      <c r="AB856" t="s">
        <v>15181</v>
      </c>
      <c r="AC856" t="s">
        <v>15182</v>
      </c>
      <c r="AD856" t="s">
        <v>15183</v>
      </c>
      <c r="AE856" t="s">
        <v>15184</v>
      </c>
      <c r="AF856" t="s">
        <v>74</v>
      </c>
      <c r="AG856">
        <v>29</v>
      </c>
      <c r="AH856">
        <v>164</v>
      </c>
      <c r="AI856">
        <v>168</v>
      </c>
      <c r="AJ856">
        <v>0</v>
      </c>
      <c r="AK856">
        <v>39</v>
      </c>
      <c r="AL856" t="s">
        <v>4717</v>
      </c>
      <c r="AM856" t="s">
        <v>1522</v>
      </c>
      <c r="AN856" t="s">
        <v>4718</v>
      </c>
      <c r="AO856" t="s">
        <v>4719</v>
      </c>
      <c r="AP856" t="s">
        <v>5162</v>
      </c>
      <c r="AQ856" t="s">
        <v>74</v>
      </c>
      <c r="AR856" t="s">
        <v>4716</v>
      </c>
      <c r="AS856" t="s">
        <v>4720</v>
      </c>
      <c r="AT856" t="s">
        <v>15185</v>
      </c>
      <c r="AU856">
        <v>2010</v>
      </c>
      <c r="AV856">
        <v>328</v>
      </c>
      <c r="AW856">
        <v>5979</v>
      </c>
      <c r="AX856" t="s">
        <v>74</v>
      </c>
      <c r="AY856" t="s">
        <v>74</v>
      </c>
      <c r="AZ856" t="s">
        <v>74</v>
      </c>
      <c r="BA856" t="s">
        <v>74</v>
      </c>
      <c r="BB856">
        <v>742</v>
      </c>
      <c r="BC856">
        <v>745</v>
      </c>
      <c r="BD856" t="s">
        <v>74</v>
      </c>
      <c r="BE856" t="s">
        <v>15186</v>
      </c>
      <c r="BF856" t="str">
        <f>HYPERLINK("http://dx.doi.org/10.1126/science.1184832","http://dx.doi.org/10.1126/science.1184832")</f>
        <v>http://dx.doi.org/10.1126/science.1184832</v>
      </c>
      <c r="BG856" t="s">
        <v>74</v>
      </c>
      <c r="BH856" t="s">
        <v>74</v>
      </c>
      <c r="BI856">
        <v>4</v>
      </c>
      <c r="BJ856" t="s">
        <v>444</v>
      </c>
      <c r="BK856" t="s">
        <v>100</v>
      </c>
      <c r="BL856" t="s">
        <v>445</v>
      </c>
      <c r="BM856" t="s">
        <v>15187</v>
      </c>
      <c r="BN856">
        <v>20448182</v>
      </c>
      <c r="BO856" t="s">
        <v>74</v>
      </c>
      <c r="BP856" t="s">
        <v>74</v>
      </c>
      <c r="BQ856" t="s">
        <v>74</v>
      </c>
      <c r="BR856" t="s">
        <v>104</v>
      </c>
      <c r="BS856" t="s">
        <v>15188</v>
      </c>
      <c r="BT856" t="str">
        <f>HYPERLINK("https%3A%2F%2Fwww.webofscience.com%2Fwos%2Fwoscc%2Ffull-record%2FWOS:000277357100037","View Full Record in Web of Science")</f>
        <v>View Full Record in Web of Science</v>
      </c>
    </row>
    <row r="857" spans="1:72" x14ac:dyDescent="0.15">
      <c r="A857" t="s">
        <v>72</v>
      </c>
      <c r="B857" t="s">
        <v>15189</v>
      </c>
      <c r="C857" t="s">
        <v>74</v>
      </c>
      <c r="D857" t="s">
        <v>74</v>
      </c>
      <c r="E857" t="s">
        <v>74</v>
      </c>
      <c r="F857" t="s">
        <v>15190</v>
      </c>
      <c r="G857" t="s">
        <v>74</v>
      </c>
      <c r="H857" t="s">
        <v>74</v>
      </c>
      <c r="I857" t="s">
        <v>15191</v>
      </c>
      <c r="J857" t="s">
        <v>1762</v>
      </c>
      <c r="K857" t="s">
        <v>74</v>
      </c>
      <c r="L857" t="s">
        <v>74</v>
      </c>
      <c r="M857" t="s">
        <v>78</v>
      </c>
      <c r="N857" t="s">
        <v>220</v>
      </c>
      <c r="O857" t="s">
        <v>74</v>
      </c>
      <c r="P857" t="s">
        <v>74</v>
      </c>
      <c r="Q857" t="s">
        <v>74</v>
      </c>
      <c r="R857" t="s">
        <v>74</v>
      </c>
      <c r="S857" t="s">
        <v>74</v>
      </c>
      <c r="T857" t="s">
        <v>74</v>
      </c>
      <c r="U857" t="s">
        <v>74</v>
      </c>
      <c r="V857" t="s">
        <v>74</v>
      </c>
      <c r="W857" t="s">
        <v>15192</v>
      </c>
      <c r="X857" t="s">
        <v>690</v>
      </c>
      <c r="Y857" t="s">
        <v>15193</v>
      </c>
      <c r="Z857" t="s">
        <v>15194</v>
      </c>
      <c r="AA857" t="s">
        <v>74</v>
      </c>
      <c r="AB857" t="s">
        <v>74</v>
      </c>
      <c r="AC857" t="s">
        <v>15195</v>
      </c>
      <c r="AD857" t="s">
        <v>337</v>
      </c>
      <c r="AE857" t="s">
        <v>74</v>
      </c>
      <c r="AF857" t="s">
        <v>74</v>
      </c>
      <c r="AG857">
        <v>4</v>
      </c>
      <c r="AH857">
        <v>19</v>
      </c>
      <c r="AI857">
        <v>21</v>
      </c>
      <c r="AJ857">
        <v>0</v>
      </c>
      <c r="AK857">
        <v>25</v>
      </c>
      <c r="AL857" t="s">
        <v>1774</v>
      </c>
      <c r="AM857" t="s">
        <v>1598</v>
      </c>
      <c r="AN857" t="s">
        <v>1775</v>
      </c>
      <c r="AO857" t="s">
        <v>1776</v>
      </c>
      <c r="AP857" t="s">
        <v>74</v>
      </c>
      <c r="AQ857" t="s">
        <v>74</v>
      </c>
      <c r="AR857" t="s">
        <v>1762</v>
      </c>
      <c r="AS857" t="s">
        <v>1777</v>
      </c>
      <c r="AT857" t="s">
        <v>15196</v>
      </c>
      <c r="AU857">
        <v>2010</v>
      </c>
      <c r="AV857">
        <v>465</v>
      </c>
      <c r="AW857">
        <v>7294</v>
      </c>
      <c r="AX857" t="s">
        <v>74</v>
      </c>
      <c r="AY857" t="s">
        <v>74</v>
      </c>
      <c r="AZ857" t="s">
        <v>74</v>
      </c>
      <c r="BA857" t="s">
        <v>74</v>
      </c>
      <c r="BB857">
        <v>34</v>
      </c>
      <c r="BC857">
        <v>35</v>
      </c>
      <c r="BD857" t="s">
        <v>74</v>
      </c>
      <c r="BE857" t="s">
        <v>15197</v>
      </c>
      <c r="BF857" t="str">
        <f>HYPERLINK("http://dx.doi.org/10.1038/465034a","http://dx.doi.org/10.1038/465034a")</f>
        <v>http://dx.doi.org/10.1038/465034a</v>
      </c>
      <c r="BG857" t="s">
        <v>74</v>
      </c>
      <c r="BH857" t="s">
        <v>74</v>
      </c>
      <c r="BI857">
        <v>2</v>
      </c>
      <c r="BJ857" t="s">
        <v>444</v>
      </c>
      <c r="BK857" t="s">
        <v>2796</v>
      </c>
      <c r="BL857" t="s">
        <v>445</v>
      </c>
      <c r="BM857" t="s">
        <v>15198</v>
      </c>
      <c r="BN857">
        <v>20445611</v>
      </c>
      <c r="BO857" t="s">
        <v>74</v>
      </c>
      <c r="BP857" t="s">
        <v>74</v>
      </c>
      <c r="BQ857" t="s">
        <v>74</v>
      </c>
      <c r="BR857" t="s">
        <v>104</v>
      </c>
      <c r="BS857" t="s">
        <v>15199</v>
      </c>
      <c r="BT857" t="str">
        <f>HYPERLINK("https%3A%2F%2Fwww.webofscience.com%2Fwos%2Fwoscc%2Ffull-record%2FWOS:000277311900018","View Full Record in Web of Science")</f>
        <v>View Full Record in Web of Science</v>
      </c>
    </row>
    <row r="858" spans="1:72" x14ac:dyDescent="0.15">
      <c r="A858" t="s">
        <v>72</v>
      </c>
      <c r="B858" t="s">
        <v>15200</v>
      </c>
      <c r="C858" t="s">
        <v>74</v>
      </c>
      <c r="D858" t="s">
        <v>74</v>
      </c>
      <c r="E858" t="s">
        <v>74</v>
      </c>
      <c r="F858" t="s">
        <v>15201</v>
      </c>
      <c r="G858" t="s">
        <v>74</v>
      </c>
      <c r="H858" t="s">
        <v>74</v>
      </c>
      <c r="I858" t="s">
        <v>15202</v>
      </c>
      <c r="J858" t="s">
        <v>1509</v>
      </c>
      <c r="K858" t="s">
        <v>74</v>
      </c>
      <c r="L858" t="s">
        <v>74</v>
      </c>
      <c r="M858" t="s">
        <v>78</v>
      </c>
      <c r="N858" t="s">
        <v>79</v>
      </c>
      <c r="O858" t="s">
        <v>74</v>
      </c>
      <c r="P858" t="s">
        <v>74</v>
      </c>
      <c r="Q858" t="s">
        <v>74</v>
      </c>
      <c r="R858" t="s">
        <v>74</v>
      </c>
      <c r="S858" t="s">
        <v>74</v>
      </c>
      <c r="T858" t="s">
        <v>74</v>
      </c>
      <c r="U858" t="s">
        <v>15203</v>
      </c>
      <c r="V858" t="s">
        <v>15204</v>
      </c>
      <c r="W858" t="s">
        <v>15205</v>
      </c>
      <c r="X858" t="s">
        <v>15206</v>
      </c>
      <c r="Y858" t="s">
        <v>15207</v>
      </c>
      <c r="Z858" t="s">
        <v>15208</v>
      </c>
      <c r="AA858" t="s">
        <v>15209</v>
      </c>
      <c r="AB858" t="s">
        <v>15210</v>
      </c>
      <c r="AC858" t="s">
        <v>15211</v>
      </c>
      <c r="AD858" t="s">
        <v>15212</v>
      </c>
      <c r="AE858" t="s">
        <v>15213</v>
      </c>
      <c r="AF858" t="s">
        <v>74</v>
      </c>
      <c r="AG858">
        <v>69</v>
      </c>
      <c r="AH858">
        <v>8</v>
      </c>
      <c r="AI858">
        <v>10</v>
      </c>
      <c r="AJ858">
        <v>0</v>
      </c>
      <c r="AK858">
        <v>20</v>
      </c>
      <c r="AL858" t="s">
        <v>1521</v>
      </c>
      <c r="AM858" t="s">
        <v>1522</v>
      </c>
      <c r="AN858" t="s">
        <v>1523</v>
      </c>
      <c r="AO858" t="s">
        <v>1524</v>
      </c>
      <c r="AP858" t="s">
        <v>1525</v>
      </c>
      <c r="AQ858" t="s">
        <v>74</v>
      </c>
      <c r="AR858" t="s">
        <v>1526</v>
      </c>
      <c r="AS858" t="s">
        <v>1527</v>
      </c>
      <c r="AT858" t="s">
        <v>15214</v>
      </c>
      <c r="AU858">
        <v>2010</v>
      </c>
      <c r="AV858">
        <v>115</v>
      </c>
      <c r="AW858" t="s">
        <v>74</v>
      </c>
      <c r="AX858" t="s">
        <v>74</v>
      </c>
      <c r="AY858" t="s">
        <v>74</v>
      </c>
      <c r="AZ858" t="s">
        <v>74</v>
      </c>
      <c r="BA858" t="s">
        <v>74</v>
      </c>
      <c r="BB858" t="s">
        <v>74</v>
      </c>
      <c r="BC858" t="s">
        <v>74</v>
      </c>
      <c r="BD858" t="s">
        <v>15215</v>
      </c>
      <c r="BE858" t="s">
        <v>15216</v>
      </c>
      <c r="BF858" t="str">
        <f>HYPERLINK("http://dx.doi.org/10.1029/2009JC005329","http://dx.doi.org/10.1029/2009JC005329")</f>
        <v>http://dx.doi.org/10.1029/2009JC005329</v>
      </c>
      <c r="BG858" t="s">
        <v>74</v>
      </c>
      <c r="BH858" t="s">
        <v>74</v>
      </c>
      <c r="BI858">
        <v>14</v>
      </c>
      <c r="BJ858" t="s">
        <v>1531</v>
      </c>
      <c r="BK858" t="s">
        <v>100</v>
      </c>
      <c r="BL858" t="s">
        <v>1531</v>
      </c>
      <c r="BM858" t="s">
        <v>15217</v>
      </c>
      <c r="BN858" t="s">
        <v>74</v>
      </c>
      <c r="BO858" t="s">
        <v>631</v>
      </c>
      <c r="BP858" t="s">
        <v>74</v>
      </c>
      <c r="BQ858" t="s">
        <v>74</v>
      </c>
      <c r="BR858" t="s">
        <v>104</v>
      </c>
      <c r="BS858" t="s">
        <v>15218</v>
      </c>
      <c r="BT858" t="str">
        <f>HYPERLINK("https%3A%2F%2Fwww.webofscience.com%2Fwos%2Fwoscc%2Ffull-record%2FWOS:000277479300002","View Full Record in Web of Science")</f>
        <v>View Full Record in Web of Science</v>
      </c>
    </row>
    <row r="859" spans="1:72" x14ac:dyDescent="0.15">
      <c r="A859" t="s">
        <v>72</v>
      </c>
      <c r="B859" t="s">
        <v>15219</v>
      </c>
      <c r="C859" t="s">
        <v>74</v>
      </c>
      <c r="D859" t="s">
        <v>74</v>
      </c>
      <c r="E859" t="s">
        <v>74</v>
      </c>
      <c r="F859" t="s">
        <v>15220</v>
      </c>
      <c r="G859" t="s">
        <v>74</v>
      </c>
      <c r="H859" t="s">
        <v>74</v>
      </c>
      <c r="I859" t="s">
        <v>15221</v>
      </c>
      <c r="J859" t="s">
        <v>4634</v>
      </c>
      <c r="K859" t="s">
        <v>74</v>
      </c>
      <c r="L859" t="s">
        <v>74</v>
      </c>
      <c r="M859" t="s">
        <v>78</v>
      </c>
      <c r="N859" t="s">
        <v>79</v>
      </c>
      <c r="O859" t="s">
        <v>74</v>
      </c>
      <c r="P859" t="s">
        <v>74</v>
      </c>
      <c r="Q859" t="s">
        <v>74</v>
      </c>
      <c r="R859" t="s">
        <v>74</v>
      </c>
      <c r="S859" t="s">
        <v>74</v>
      </c>
      <c r="T859" t="s">
        <v>74</v>
      </c>
      <c r="U859" t="s">
        <v>15222</v>
      </c>
      <c r="V859" t="s">
        <v>15223</v>
      </c>
      <c r="W859" t="s">
        <v>15224</v>
      </c>
      <c r="X859" t="s">
        <v>15225</v>
      </c>
      <c r="Y859" t="s">
        <v>15226</v>
      </c>
      <c r="Z859" t="s">
        <v>15227</v>
      </c>
      <c r="AA859" t="s">
        <v>74</v>
      </c>
      <c r="AB859" t="s">
        <v>74</v>
      </c>
      <c r="AC859" t="s">
        <v>15228</v>
      </c>
      <c r="AD859" t="s">
        <v>15229</v>
      </c>
      <c r="AE859" t="s">
        <v>15230</v>
      </c>
      <c r="AF859" t="s">
        <v>74</v>
      </c>
      <c r="AG859">
        <v>29</v>
      </c>
      <c r="AH859">
        <v>7</v>
      </c>
      <c r="AI859">
        <v>8</v>
      </c>
      <c r="AJ859">
        <v>0</v>
      </c>
      <c r="AK859">
        <v>3</v>
      </c>
      <c r="AL859" t="s">
        <v>1521</v>
      </c>
      <c r="AM859" t="s">
        <v>1522</v>
      </c>
      <c r="AN859" t="s">
        <v>1523</v>
      </c>
      <c r="AO859" t="s">
        <v>4646</v>
      </c>
      <c r="AP859" t="s">
        <v>4647</v>
      </c>
      <c r="AQ859" t="s">
        <v>74</v>
      </c>
      <c r="AR859" t="s">
        <v>4648</v>
      </c>
      <c r="AS859" t="s">
        <v>4649</v>
      </c>
      <c r="AT859" t="s">
        <v>15214</v>
      </c>
      <c r="AU859">
        <v>2010</v>
      </c>
      <c r="AV859">
        <v>115</v>
      </c>
      <c r="AW859" t="s">
        <v>74</v>
      </c>
      <c r="AX859" t="s">
        <v>74</v>
      </c>
      <c r="AY859" t="s">
        <v>74</v>
      </c>
      <c r="AZ859" t="s">
        <v>74</v>
      </c>
      <c r="BA859" t="s">
        <v>74</v>
      </c>
      <c r="BB859" t="s">
        <v>74</v>
      </c>
      <c r="BC859" t="s">
        <v>74</v>
      </c>
      <c r="BD859" t="s">
        <v>15231</v>
      </c>
      <c r="BE859" t="s">
        <v>15232</v>
      </c>
      <c r="BF859" t="str">
        <f>HYPERLINK("http://dx.doi.org/10.1029/2009JA014795","http://dx.doi.org/10.1029/2009JA014795")</f>
        <v>http://dx.doi.org/10.1029/2009JA014795</v>
      </c>
      <c r="BG859" t="s">
        <v>74</v>
      </c>
      <c r="BH859" t="s">
        <v>74</v>
      </c>
      <c r="BI859">
        <v>6</v>
      </c>
      <c r="BJ859" t="s">
        <v>1805</v>
      </c>
      <c r="BK859" t="s">
        <v>100</v>
      </c>
      <c r="BL859" t="s">
        <v>1805</v>
      </c>
      <c r="BM859" t="s">
        <v>15233</v>
      </c>
      <c r="BN859" t="s">
        <v>74</v>
      </c>
      <c r="BO859" t="s">
        <v>74</v>
      </c>
      <c r="BP859" t="s">
        <v>74</v>
      </c>
      <c r="BQ859" t="s">
        <v>74</v>
      </c>
      <c r="BR859" t="s">
        <v>104</v>
      </c>
      <c r="BS859" t="s">
        <v>15234</v>
      </c>
      <c r="BT859" t="str">
        <f>HYPERLINK("https%3A%2F%2Fwww.webofscience.com%2Fwos%2Fwoscc%2Ffull-record%2FWOS:000277480500005","View Full Record in Web of Science")</f>
        <v>View Full Record in Web of Science</v>
      </c>
    </row>
    <row r="860" spans="1:72" x14ac:dyDescent="0.15">
      <c r="A860" t="s">
        <v>72</v>
      </c>
      <c r="B860" t="s">
        <v>15235</v>
      </c>
      <c r="C860" t="s">
        <v>74</v>
      </c>
      <c r="D860" t="s">
        <v>74</v>
      </c>
      <c r="E860" t="s">
        <v>74</v>
      </c>
      <c r="F860" t="s">
        <v>15236</v>
      </c>
      <c r="G860" t="s">
        <v>74</v>
      </c>
      <c r="H860" t="s">
        <v>74</v>
      </c>
      <c r="I860" t="s">
        <v>15237</v>
      </c>
      <c r="J860" t="s">
        <v>5284</v>
      </c>
      <c r="K860" t="s">
        <v>74</v>
      </c>
      <c r="L860" t="s">
        <v>74</v>
      </c>
      <c r="M860" t="s">
        <v>78</v>
      </c>
      <c r="N860" t="s">
        <v>79</v>
      </c>
      <c r="O860" t="s">
        <v>74</v>
      </c>
      <c r="P860" t="s">
        <v>74</v>
      </c>
      <c r="Q860" t="s">
        <v>74</v>
      </c>
      <c r="R860" t="s">
        <v>74</v>
      </c>
      <c r="S860" t="s">
        <v>74</v>
      </c>
      <c r="T860" t="s">
        <v>15238</v>
      </c>
      <c r="U860" t="s">
        <v>15239</v>
      </c>
      <c r="V860" t="s">
        <v>15240</v>
      </c>
      <c r="W860" t="s">
        <v>15241</v>
      </c>
      <c r="X860" t="s">
        <v>15242</v>
      </c>
      <c r="Y860" t="s">
        <v>15243</v>
      </c>
      <c r="Z860" t="s">
        <v>15244</v>
      </c>
      <c r="AA860" t="s">
        <v>15245</v>
      </c>
      <c r="AB860" t="s">
        <v>15246</v>
      </c>
      <c r="AC860" t="s">
        <v>15247</v>
      </c>
      <c r="AD860" t="s">
        <v>15248</v>
      </c>
      <c r="AE860" t="s">
        <v>15249</v>
      </c>
      <c r="AF860" t="s">
        <v>74</v>
      </c>
      <c r="AG860">
        <v>30</v>
      </c>
      <c r="AH860">
        <v>3</v>
      </c>
      <c r="AI860">
        <v>4</v>
      </c>
      <c r="AJ860">
        <v>0</v>
      </c>
      <c r="AK860">
        <v>25</v>
      </c>
      <c r="AL860" t="s">
        <v>464</v>
      </c>
      <c r="AM860" t="s">
        <v>310</v>
      </c>
      <c r="AN860" t="s">
        <v>465</v>
      </c>
      <c r="AO860" t="s">
        <v>5295</v>
      </c>
      <c r="AP860" t="s">
        <v>15250</v>
      </c>
      <c r="AQ860" t="s">
        <v>74</v>
      </c>
      <c r="AR860" t="s">
        <v>5296</v>
      </c>
      <c r="AS860" t="s">
        <v>5297</v>
      </c>
      <c r="AT860" t="s">
        <v>15251</v>
      </c>
      <c r="AU860">
        <v>2010</v>
      </c>
      <c r="AV860">
        <v>29</v>
      </c>
      <c r="AW860">
        <v>3</v>
      </c>
      <c r="AX860" t="s">
        <v>74</v>
      </c>
      <c r="AY860" t="s">
        <v>74</v>
      </c>
      <c r="AZ860" t="s">
        <v>74</v>
      </c>
      <c r="BA860" t="s">
        <v>74</v>
      </c>
      <c r="BB860">
        <v>97</v>
      </c>
      <c r="BC860">
        <v>105</v>
      </c>
      <c r="BD860" t="s">
        <v>74</v>
      </c>
      <c r="BE860" t="s">
        <v>15252</v>
      </c>
      <c r="BF860" t="str">
        <f>HYPERLINK("http://dx.doi.org/10.1007/s13131-010-0041-z","http://dx.doi.org/10.1007/s13131-010-0041-z")</f>
        <v>http://dx.doi.org/10.1007/s13131-010-0041-z</v>
      </c>
      <c r="BG860" t="s">
        <v>74</v>
      </c>
      <c r="BH860" t="s">
        <v>74</v>
      </c>
      <c r="BI860">
        <v>9</v>
      </c>
      <c r="BJ860" t="s">
        <v>1531</v>
      </c>
      <c r="BK860" t="s">
        <v>100</v>
      </c>
      <c r="BL860" t="s">
        <v>1531</v>
      </c>
      <c r="BM860" t="s">
        <v>15253</v>
      </c>
      <c r="BN860" t="s">
        <v>74</v>
      </c>
      <c r="BO860" t="s">
        <v>74</v>
      </c>
      <c r="BP860" t="s">
        <v>74</v>
      </c>
      <c r="BQ860" t="s">
        <v>74</v>
      </c>
      <c r="BR860" t="s">
        <v>104</v>
      </c>
      <c r="BS860" t="s">
        <v>15254</v>
      </c>
      <c r="BT860" t="str">
        <f>HYPERLINK("https%3A%2F%2Fwww.webofscience.com%2Fwos%2Fwoscc%2Ffull-record%2FWOS:000279357100011","View Full Record in Web of Science")</f>
        <v>View Full Record in Web of Science</v>
      </c>
    </row>
    <row r="861" spans="1:72" x14ac:dyDescent="0.15">
      <c r="A861" t="s">
        <v>72</v>
      </c>
      <c r="B861" t="s">
        <v>15255</v>
      </c>
      <c r="C861" t="s">
        <v>74</v>
      </c>
      <c r="D861" t="s">
        <v>74</v>
      </c>
      <c r="E861" t="s">
        <v>74</v>
      </c>
      <c r="F861" t="s">
        <v>15256</v>
      </c>
      <c r="G861" t="s">
        <v>74</v>
      </c>
      <c r="H861" t="s">
        <v>74</v>
      </c>
      <c r="I861" t="s">
        <v>15257</v>
      </c>
      <c r="J861" t="s">
        <v>15258</v>
      </c>
      <c r="K861" t="s">
        <v>74</v>
      </c>
      <c r="L861" t="s">
        <v>74</v>
      </c>
      <c r="M861" t="s">
        <v>78</v>
      </c>
      <c r="N861" t="s">
        <v>79</v>
      </c>
      <c r="O861" t="s">
        <v>74</v>
      </c>
      <c r="P861" t="s">
        <v>74</v>
      </c>
      <c r="Q861" t="s">
        <v>74</v>
      </c>
      <c r="R861" t="s">
        <v>74</v>
      </c>
      <c r="S861" t="s">
        <v>74</v>
      </c>
      <c r="T861" t="s">
        <v>15259</v>
      </c>
      <c r="U861" t="s">
        <v>15260</v>
      </c>
      <c r="V861" t="s">
        <v>15261</v>
      </c>
      <c r="W861" t="s">
        <v>15262</v>
      </c>
      <c r="X861" t="s">
        <v>15263</v>
      </c>
      <c r="Y861" t="s">
        <v>15264</v>
      </c>
      <c r="Z861" t="s">
        <v>15265</v>
      </c>
      <c r="AA861" t="s">
        <v>15266</v>
      </c>
      <c r="AB861" t="s">
        <v>15267</v>
      </c>
      <c r="AC861" t="s">
        <v>15268</v>
      </c>
      <c r="AD861" t="s">
        <v>15269</v>
      </c>
      <c r="AE861" t="s">
        <v>15270</v>
      </c>
      <c r="AF861" t="s">
        <v>74</v>
      </c>
      <c r="AG861">
        <v>57</v>
      </c>
      <c r="AH861">
        <v>39</v>
      </c>
      <c r="AI861">
        <v>42</v>
      </c>
      <c r="AJ861">
        <v>3</v>
      </c>
      <c r="AK861">
        <v>42</v>
      </c>
      <c r="AL861" t="s">
        <v>1038</v>
      </c>
      <c r="AM861" t="s">
        <v>550</v>
      </c>
      <c r="AN861" t="s">
        <v>1039</v>
      </c>
      <c r="AO861" t="s">
        <v>15271</v>
      </c>
      <c r="AP861" t="s">
        <v>15272</v>
      </c>
      <c r="AQ861" t="s">
        <v>74</v>
      </c>
      <c r="AR861" t="s">
        <v>15273</v>
      </c>
      <c r="AS861" t="s">
        <v>15274</v>
      </c>
      <c r="AT861" t="s">
        <v>15275</v>
      </c>
      <c r="AU861">
        <v>2010</v>
      </c>
      <c r="AV861">
        <v>36</v>
      </c>
      <c r="AW861">
        <v>3</v>
      </c>
      <c r="AX861" t="s">
        <v>74</v>
      </c>
      <c r="AY861" t="s">
        <v>74</v>
      </c>
      <c r="AZ861" t="s">
        <v>74</v>
      </c>
      <c r="BA861" t="s">
        <v>74</v>
      </c>
      <c r="BB861">
        <v>299</v>
      </c>
      <c r="BC861">
        <v>305</v>
      </c>
      <c r="BD861" t="s">
        <v>74</v>
      </c>
      <c r="BE861" t="s">
        <v>15276</v>
      </c>
      <c r="BF861" t="str">
        <f>HYPERLINK("http://dx.doi.org/10.1016/j.actao.2010.02.001","http://dx.doi.org/10.1016/j.actao.2010.02.001")</f>
        <v>http://dx.doi.org/10.1016/j.actao.2010.02.001</v>
      </c>
      <c r="BG861" t="s">
        <v>74</v>
      </c>
      <c r="BH861" t="s">
        <v>74</v>
      </c>
      <c r="BI861">
        <v>7</v>
      </c>
      <c r="BJ861" t="s">
        <v>3127</v>
      </c>
      <c r="BK861" t="s">
        <v>100</v>
      </c>
      <c r="BL861" t="s">
        <v>2797</v>
      </c>
      <c r="BM861" t="s">
        <v>15277</v>
      </c>
      <c r="BN861" t="s">
        <v>74</v>
      </c>
      <c r="BO861" t="s">
        <v>74</v>
      </c>
      <c r="BP861" t="s">
        <v>74</v>
      </c>
      <c r="BQ861" t="s">
        <v>74</v>
      </c>
      <c r="BR861" t="s">
        <v>104</v>
      </c>
      <c r="BS861" t="s">
        <v>15278</v>
      </c>
      <c r="BT861" t="str">
        <f>HYPERLINK("https%3A%2F%2Fwww.webofscience.com%2Fwos%2Fwoscc%2Ffull-record%2FWOS:000277741400004","View Full Record in Web of Science")</f>
        <v>View Full Record in Web of Science</v>
      </c>
    </row>
    <row r="862" spans="1:72" x14ac:dyDescent="0.15">
      <c r="A862" t="s">
        <v>72</v>
      </c>
      <c r="B862" t="s">
        <v>15279</v>
      </c>
      <c r="C862" t="s">
        <v>74</v>
      </c>
      <c r="D862" t="s">
        <v>74</v>
      </c>
      <c r="E862" t="s">
        <v>74</v>
      </c>
      <c r="F862" t="s">
        <v>15280</v>
      </c>
      <c r="G862" t="s">
        <v>74</v>
      </c>
      <c r="H862" t="s">
        <v>74</v>
      </c>
      <c r="I862" t="s">
        <v>15281</v>
      </c>
      <c r="J862" t="s">
        <v>77</v>
      </c>
      <c r="K862" t="s">
        <v>74</v>
      </c>
      <c r="L862" t="s">
        <v>74</v>
      </c>
      <c r="M862" t="s">
        <v>78</v>
      </c>
      <c r="N862" t="s">
        <v>79</v>
      </c>
      <c r="O862" t="s">
        <v>74</v>
      </c>
      <c r="P862" t="s">
        <v>74</v>
      </c>
      <c r="Q862" t="s">
        <v>74</v>
      </c>
      <c r="R862" t="s">
        <v>74</v>
      </c>
      <c r="S862" t="s">
        <v>74</v>
      </c>
      <c r="T862" t="s">
        <v>74</v>
      </c>
      <c r="U862" t="s">
        <v>15282</v>
      </c>
      <c r="V862" t="s">
        <v>15283</v>
      </c>
      <c r="W862" t="s">
        <v>15284</v>
      </c>
      <c r="X862" t="s">
        <v>15285</v>
      </c>
      <c r="Y862" t="s">
        <v>15286</v>
      </c>
      <c r="Z862" t="s">
        <v>15287</v>
      </c>
      <c r="AA862" t="s">
        <v>15288</v>
      </c>
      <c r="AB862" t="s">
        <v>74</v>
      </c>
      <c r="AC862" t="s">
        <v>15289</v>
      </c>
      <c r="AD862" t="s">
        <v>15290</v>
      </c>
      <c r="AE862" t="s">
        <v>15291</v>
      </c>
      <c r="AF862" t="s">
        <v>74</v>
      </c>
      <c r="AG862">
        <v>95</v>
      </c>
      <c r="AH862">
        <v>2</v>
      </c>
      <c r="AI862">
        <v>4</v>
      </c>
      <c r="AJ862">
        <v>0</v>
      </c>
      <c r="AK862">
        <v>15</v>
      </c>
      <c r="AL862" t="s">
        <v>119</v>
      </c>
      <c r="AM862" t="s">
        <v>120</v>
      </c>
      <c r="AN862" t="s">
        <v>121</v>
      </c>
      <c r="AO862" t="s">
        <v>93</v>
      </c>
      <c r="AP862" t="s">
        <v>94</v>
      </c>
      <c r="AQ862" t="s">
        <v>74</v>
      </c>
      <c r="AR862" t="s">
        <v>95</v>
      </c>
      <c r="AS862" t="s">
        <v>96</v>
      </c>
      <c r="AT862" t="s">
        <v>15251</v>
      </c>
      <c r="AU862">
        <v>2010</v>
      </c>
      <c r="AV862">
        <v>42</v>
      </c>
      <c r="AW862">
        <v>2</v>
      </c>
      <c r="AX862" t="s">
        <v>74</v>
      </c>
      <c r="AY862" t="s">
        <v>74</v>
      </c>
      <c r="AZ862" t="s">
        <v>74</v>
      </c>
      <c r="BA862" t="s">
        <v>74</v>
      </c>
      <c r="BB862">
        <v>139</v>
      </c>
      <c r="BC862">
        <v>151</v>
      </c>
      <c r="BD862" t="s">
        <v>74</v>
      </c>
      <c r="BE862" t="s">
        <v>15292</v>
      </c>
      <c r="BF862" t="str">
        <f>HYPERLINK("http://dx.doi.org/10.1657/1938-4246-42.2.139","http://dx.doi.org/10.1657/1938-4246-42.2.139")</f>
        <v>http://dx.doi.org/10.1657/1938-4246-42.2.139</v>
      </c>
      <c r="BG862" t="s">
        <v>74</v>
      </c>
      <c r="BH862" t="s">
        <v>74</v>
      </c>
      <c r="BI862">
        <v>13</v>
      </c>
      <c r="BJ862" t="s">
        <v>99</v>
      </c>
      <c r="BK862" t="s">
        <v>100</v>
      </c>
      <c r="BL862" t="s">
        <v>101</v>
      </c>
      <c r="BM862" t="s">
        <v>15293</v>
      </c>
      <c r="BN862" t="s">
        <v>74</v>
      </c>
      <c r="BO862" t="s">
        <v>134</v>
      </c>
      <c r="BP862" t="s">
        <v>74</v>
      </c>
      <c r="BQ862" t="s">
        <v>74</v>
      </c>
      <c r="BR862" t="s">
        <v>104</v>
      </c>
      <c r="BS862" t="s">
        <v>15294</v>
      </c>
      <c r="BT862" t="str">
        <f>HYPERLINK("https%3A%2F%2Fwww.webofscience.com%2Fwos%2Fwoscc%2Ffull-record%2FWOS:000278113800001","View Full Record in Web of Science")</f>
        <v>View Full Record in Web of Science</v>
      </c>
    </row>
    <row r="863" spans="1:72" x14ac:dyDescent="0.15">
      <c r="A863" t="s">
        <v>72</v>
      </c>
      <c r="B863" t="s">
        <v>15295</v>
      </c>
      <c r="C863" t="s">
        <v>74</v>
      </c>
      <c r="D863" t="s">
        <v>74</v>
      </c>
      <c r="E863" t="s">
        <v>74</v>
      </c>
      <c r="F863" t="s">
        <v>15296</v>
      </c>
      <c r="G863" t="s">
        <v>74</v>
      </c>
      <c r="H863" t="s">
        <v>74</v>
      </c>
      <c r="I863" t="s">
        <v>15297</v>
      </c>
      <c r="J863" t="s">
        <v>77</v>
      </c>
      <c r="K863" t="s">
        <v>74</v>
      </c>
      <c r="L863" t="s">
        <v>74</v>
      </c>
      <c r="M863" t="s">
        <v>78</v>
      </c>
      <c r="N863" t="s">
        <v>79</v>
      </c>
      <c r="O863" t="s">
        <v>74</v>
      </c>
      <c r="P863" t="s">
        <v>74</v>
      </c>
      <c r="Q863" t="s">
        <v>74</v>
      </c>
      <c r="R863" t="s">
        <v>74</v>
      </c>
      <c r="S863" t="s">
        <v>74</v>
      </c>
      <c r="T863" t="s">
        <v>74</v>
      </c>
      <c r="U863" t="s">
        <v>15298</v>
      </c>
      <c r="V863" t="s">
        <v>15299</v>
      </c>
      <c r="W863" t="s">
        <v>15300</v>
      </c>
      <c r="X863" t="s">
        <v>15301</v>
      </c>
      <c r="Y863" t="s">
        <v>15302</v>
      </c>
      <c r="Z863" t="s">
        <v>15303</v>
      </c>
      <c r="AA863" t="s">
        <v>15304</v>
      </c>
      <c r="AB863" t="s">
        <v>15305</v>
      </c>
      <c r="AC863" t="s">
        <v>15306</v>
      </c>
      <c r="AD863" t="s">
        <v>15307</v>
      </c>
      <c r="AE863" t="s">
        <v>15308</v>
      </c>
      <c r="AF863" t="s">
        <v>74</v>
      </c>
      <c r="AG863">
        <v>104</v>
      </c>
      <c r="AH863">
        <v>12</v>
      </c>
      <c r="AI863">
        <v>16</v>
      </c>
      <c r="AJ863">
        <v>0</v>
      </c>
      <c r="AK863">
        <v>33</v>
      </c>
      <c r="AL863" t="s">
        <v>119</v>
      </c>
      <c r="AM863" t="s">
        <v>120</v>
      </c>
      <c r="AN863" t="s">
        <v>121</v>
      </c>
      <c r="AO863" t="s">
        <v>93</v>
      </c>
      <c r="AP863" t="s">
        <v>94</v>
      </c>
      <c r="AQ863" t="s">
        <v>74</v>
      </c>
      <c r="AR863" t="s">
        <v>95</v>
      </c>
      <c r="AS863" t="s">
        <v>96</v>
      </c>
      <c r="AT863" t="s">
        <v>15251</v>
      </c>
      <c r="AU863">
        <v>2010</v>
      </c>
      <c r="AV863">
        <v>42</v>
      </c>
      <c r="AW863">
        <v>2</v>
      </c>
      <c r="AX863" t="s">
        <v>74</v>
      </c>
      <c r="AY863" t="s">
        <v>74</v>
      </c>
      <c r="AZ863" t="s">
        <v>74</v>
      </c>
      <c r="BA863" t="s">
        <v>74</v>
      </c>
      <c r="BB863">
        <v>152</v>
      </c>
      <c r="BC863">
        <v>163</v>
      </c>
      <c r="BD863" t="s">
        <v>74</v>
      </c>
      <c r="BE863" t="s">
        <v>15309</v>
      </c>
      <c r="BF863" t="str">
        <f>HYPERLINK("http://dx.doi.org/10.1657/1938-4246-42.2.152","http://dx.doi.org/10.1657/1938-4246-42.2.152")</f>
        <v>http://dx.doi.org/10.1657/1938-4246-42.2.152</v>
      </c>
      <c r="BG863" t="s">
        <v>74</v>
      </c>
      <c r="BH863" t="s">
        <v>74</v>
      </c>
      <c r="BI863">
        <v>12</v>
      </c>
      <c r="BJ863" t="s">
        <v>99</v>
      </c>
      <c r="BK863" t="s">
        <v>100</v>
      </c>
      <c r="BL863" t="s">
        <v>101</v>
      </c>
      <c r="BM863" t="s">
        <v>15293</v>
      </c>
      <c r="BN863" t="s">
        <v>74</v>
      </c>
      <c r="BO863" t="s">
        <v>134</v>
      </c>
      <c r="BP863" t="s">
        <v>74</v>
      </c>
      <c r="BQ863" t="s">
        <v>74</v>
      </c>
      <c r="BR863" t="s">
        <v>104</v>
      </c>
      <c r="BS863" t="s">
        <v>15310</v>
      </c>
      <c r="BT863" t="str">
        <f>HYPERLINK("https%3A%2F%2Fwww.webofscience.com%2Fwos%2Fwoscc%2Ffull-record%2FWOS:000278113800002","View Full Record in Web of Science")</f>
        <v>View Full Record in Web of Science</v>
      </c>
    </row>
    <row r="864" spans="1:72" x14ac:dyDescent="0.15">
      <c r="A864" t="s">
        <v>72</v>
      </c>
      <c r="B864" t="s">
        <v>15311</v>
      </c>
      <c r="C864" t="s">
        <v>74</v>
      </c>
      <c r="D864" t="s">
        <v>74</v>
      </c>
      <c r="E864" t="s">
        <v>74</v>
      </c>
      <c r="F864" t="s">
        <v>15312</v>
      </c>
      <c r="G864" t="s">
        <v>74</v>
      </c>
      <c r="H864" t="s">
        <v>74</v>
      </c>
      <c r="I864" t="s">
        <v>15313</v>
      </c>
      <c r="J864" t="s">
        <v>77</v>
      </c>
      <c r="K864" t="s">
        <v>74</v>
      </c>
      <c r="L864" t="s">
        <v>74</v>
      </c>
      <c r="M864" t="s">
        <v>78</v>
      </c>
      <c r="N864" t="s">
        <v>79</v>
      </c>
      <c r="O864" t="s">
        <v>74</v>
      </c>
      <c r="P864" t="s">
        <v>74</v>
      </c>
      <c r="Q864" t="s">
        <v>74</v>
      </c>
      <c r="R864" t="s">
        <v>74</v>
      </c>
      <c r="S864" t="s">
        <v>74</v>
      </c>
      <c r="T864" t="s">
        <v>74</v>
      </c>
      <c r="U864" t="s">
        <v>15314</v>
      </c>
      <c r="V864" t="s">
        <v>15315</v>
      </c>
      <c r="W864" t="s">
        <v>15316</v>
      </c>
      <c r="X864" t="s">
        <v>15317</v>
      </c>
      <c r="Y864" t="s">
        <v>15318</v>
      </c>
      <c r="Z864" t="s">
        <v>15319</v>
      </c>
      <c r="AA864" t="s">
        <v>74</v>
      </c>
      <c r="AB864" t="s">
        <v>74</v>
      </c>
      <c r="AC864" t="s">
        <v>74</v>
      </c>
      <c r="AD864" t="s">
        <v>74</v>
      </c>
      <c r="AE864" t="s">
        <v>74</v>
      </c>
      <c r="AF864" t="s">
        <v>74</v>
      </c>
      <c r="AG864">
        <v>70</v>
      </c>
      <c r="AH864">
        <v>30</v>
      </c>
      <c r="AI864">
        <v>35</v>
      </c>
      <c r="AJ864">
        <v>0</v>
      </c>
      <c r="AK864">
        <v>8</v>
      </c>
      <c r="AL864" t="s">
        <v>119</v>
      </c>
      <c r="AM864" t="s">
        <v>120</v>
      </c>
      <c r="AN864" t="s">
        <v>121</v>
      </c>
      <c r="AO864" t="s">
        <v>93</v>
      </c>
      <c r="AP864" t="s">
        <v>94</v>
      </c>
      <c r="AQ864" t="s">
        <v>74</v>
      </c>
      <c r="AR864" t="s">
        <v>95</v>
      </c>
      <c r="AS864" t="s">
        <v>96</v>
      </c>
      <c r="AT864" t="s">
        <v>15251</v>
      </c>
      <c r="AU864">
        <v>2010</v>
      </c>
      <c r="AV864">
        <v>42</v>
      </c>
      <c r="AW864">
        <v>2</v>
      </c>
      <c r="AX864" t="s">
        <v>74</v>
      </c>
      <c r="AY864" t="s">
        <v>74</v>
      </c>
      <c r="AZ864" t="s">
        <v>74</v>
      </c>
      <c r="BA864" t="s">
        <v>74</v>
      </c>
      <c r="BB864">
        <v>164</v>
      </c>
      <c r="BC864">
        <v>178</v>
      </c>
      <c r="BD864" t="s">
        <v>74</v>
      </c>
      <c r="BE864" t="s">
        <v>15320</v>
      </c>
      <c r="BF864" t="str">
        <f>HYPERLINK("http://dx.doi.org/10.1657/1938-4246-42.2.164","http://dx.doi.org/10.1657/1938-4246-42.2.164")</f>
        <v>http://dx.doi.org/10.1657/1938-4246-42.2.164</v>
      </c>
      <c r="BG864" t="s">
        <v>74</v>
      </c>
      <c r="BH864" t="s">
        <v>74</v>
      </c>
      <c r="BI864">
        <v>15</v>
      </c>
      <c r="BJ864" t="s">
        <v>99</v>
      </c>
      <c r="BK864" t="s">
        <v>100</v>
      </c>
      <c r="BL864" t="s">
        <v>101</v>
      </c>
      <c r="BM864" t="s">
        <v>15293</v>
      </c>
      <c r="BN864" t="s">
        <v>74</v>
      </c>
      <c r="BO864" t="s">
        <v>134</v>
      </c>
      <c r="BP864" t="s">
        <v>74</v>
      </c>
      <c r="BQ864" t="s">
        <v>74</v>
      </c>
      <c r="BR864" t="s">
        <v>104</v>
      </c>
      <c r="BS864" t="s">
        <v>15321</v>
      </c>
      <c r="BT864" t="str">
        <f>HYPERLINK("https%3A%2F%2Fwww.webofscience.com%2Fwos%2Fwoscc%2Ffull-record%2FWOS:000278113800003","View Full Record in Web of Science")</f>
        <v>View Full Record in Web of Science</v>
      </c>
    </row>
    <row r="865" spans="1:72" x14ac:dyDescent="0.15">
      <c r="A865" t="s">
        <v>72</v>
      </c>
      <c r="B865" t="s">
        <v>15322</v>
      </c>
      <c r="C865" t="s">
        <v>74</v>
      </c>
      <c r="D865" t="s">
        <v>74</v>
      </c>
      <c r="E865" t="s">
        <v>74</v>
      </c>
      <c r="F865" t="s">
        <v>15323</v>
      </c>
      <c r="G865" t="s">
        <v>74</v>
      </c>
      <c r="H865" t="s">
        <v>74</v>
      </c>
      <c r="I865" t="s">
        <v>15324</v>
      </c>
      <c r="J865" t="s">
        <v>77</v>
      </c>
      <c r="K865" t="s">
        <v>74</v>
      </c>
      <c r="L865" t="s">
        <v>74</v>
      </c>
      <c r="M865" t="s">
        <v>78</v>
      </c>
      <c r="N865" t="s">
        <v>79</v>
      </c>
      <c r="O865" t="s">
        <v>74</v>
      </c>
      <c r="P865" t="s">
        <v>74</v>
      </c>
      <c r="Q865" t="s">
        <v>74</v>
      </c>
      <c r="R865" t="s">
        <v>74</v>
      </c>
      <c r="S865" t="s">
        <v>74</v>
      </c>
      <c r="T865" t="s">
        <v>74</v>
      </c>
      <c r="U865" t="s">
        <v>15325</v>
      </c>
      <c r="V865" t="s">
        <v>15326</v>
      </c>
      <c r="W865" t="s">
        <v>15327</v>
      </c>
      <c r="X865" t="s">
        <v>15328</v>
      </c>
      <c r="Y865" t="s">
        <v>15329</v>
      </c>
      <c r="Z865" t="s">
        <v>15330</v>
      </c>
      <c r="AA865" t="s">
        <v>15331</v>
      </c>
      <c r="AB865" t="s">
        <v>15332</v>
      </c>
      <c r="AC865" t="s">
        <v>15333</v>
      </c>
      <c r="AD865" t="s">
        <v>15334</v>
      </c>
      <c r="AE865" t="s">
        <v>15335</v>
      </c>
      <c r="AF865" t="s">
        <v>74</v>
      </c>
      <c r="AG865">
        <v>44</v>
      </c>
      <c r="AH865">
        <v>5</v>
      </c>
      <c r="AI865">
        <v>9</v>
      </c>
      <c r="AJ865">
        <v>0</v>
      </c>
      <c r="AK865">
        <v>23</v>
      </c>
      <c r="AL865" t="s">
        <v>119</v>
      </c>
      <c r="AM865" t="s">
        <v>120</v>
      </c>
      <c r="AN865" t="s">
        <v>121</v>
      </c>
      <c r="AO865" t="s">
        <v>93</v>
      </c>
      <c r="AP865" t="s">
        <v>94</v>
      </c>
      <c r="AQ865" t="s">
        <v>74</v>
      </c>
      <c r="AR865" t="s">
        <v>95</v>
      </c>
      <c r="AS865" t="s">
        <v>96</v>
      </c>
      <c r="AT865" t="s">
        <v>15251</v>
      </c>
      <c r="AU865">
        <v>2010</v>
      </c>
      <c r="AV865">
        <v>42</v>
      </c>
      <c r="AW865">
        <v>2</v>
      </c>
      <c r="AX865" t="s">
        <v>74</v>
      </c>
      <c r="AY865" t="s">
        <v>74</v>
      </c>
      <c r="AZ865" t="s">
        <v>74</v>
      </c>
      <c r="BA865" t="s">
        <v>74</v>
      </c>
      <c r="BB865">
        <v>179</v>
      </c>
      <c r="BC865">
        <v>187</v>
      </c>
      <c r="BD865" t="s">
        <v>74</v>
      </c>
      <c r="BE865" t="s">
        <v>15336</v>
      </c>
      <c r="BF865" t="str">
        <f>HYPERLINK("http://dx.doi.org/10.1657/1938-4246-42.2.179","http://dx.doi.org/10.1657/1938-4246-42.2.179")</f>
        <v>http://dx.doi.org/10.1657/1938-4246-42.2.179</v>
      </c>
      <c r="BG865" t="s">
        <v>74</v>
      </c>
      <c r="BH865" t="s">
        <v>74</v>
      </c>
      <c r="BI865">
        <v>9</v>
      </c>
      <c r="BJ865" t="s">
        <v>99</v>
      </c>
      <c r="BK865" t="s">
        <v>100</v>
      </c>
      <c r="BL865" t="s">
        <v>101</v>
      </c>
      <c r="BM865" t="s">
        <v>15293</v>
      </c>
      <c r="BN865" t="s">
        <v>74</v>
      </c>
      <c r="BO865" t="s">
        <v>134</v>
      </c>
      <c r="BP865" t="s">
        <v>74</v>
      </c>
      <c r="BQ865" t="s">
        <v>74</v>
      </c>
      <c r="BR865" t="s">
        <v>104</v>
      </c>
      <c r="BS865" t="s">
        <v>15337</v>
      </c>
      <c r="BT865" t="str">
        <f>HYPERLINK("https%3A%2F%2Fwww.webofscience.com%2Fwos%2Fwoscc%2Ffull-record%2FWOS:000278113800004","View Full Record in Web of Science")</f>
        <v>View Full Record in Web of Science</v>
      </c>
    </row>
    <row r="866" spans="1:72" x14ac:dyDescent="0.15">
      <c r="A866" t="s">
        <v>72</v>
      </c>
      <c r="B866" t="s">
        <v>15338</v>
      </c>
      <c r="C866" t="s">
        <v>74</v>
      </c>
      <c r="D866" t="s">
        <v>74</v>
      </c>
      <c r="E866" t="s">
        <v>74</v>
      </c>
      <c r="F866" t="s">
        <v>15339</v>
      </c>
      <c r="G866" t="s">
        <v>74</v>
      </c>
      <c r="H866" t="s">
        <v>74</v>
      </c>
      <c r="I866" t="s">
        <v>15340</v>
      </c>
      <c r="J866" t="s">
        <v>77</v>
      </c>
      <c r="K866" t="s">
        <v>74</v>
      </c>
      <c r="L866" t="s">
        <v>74</v>
      </c>
      <c r="M866" t="s">
        <v>78</v>
      </c>
      <c r="N866" t="s">
        <v>79</v>
      </c>
      <c r="O866" t="s">
        <v>74</v>
      </c>
      <c r="P866" t="s">
        <v>74</v>
      </c>
      <c r="Q866" t="s">
        <v>74</v>
      </c>
      <c r="R866" t="s">
        <v>74</v>
      </c>
      <c r="S866" t="s">
        <v>74</v>
      </c>
      <c r="T866" t="s">
        <v>74</v>
      </c>
      <c r="U866" t="s">
        <v>15341</v>
      </c>
      <c r="V866" t="s">
        <v>15342</v>
      </c>
      <c r="W866" t="s">
        <v>15343</v>
      </c>
      <c r="X866" t="s">
        <v>15344</v>
      </c>
      <c r="Y866" t="s">
        <v>15345</v>
      </c>
      <c r="Z866" t="s">
        <v>15346</v>
      </c>
      <c r="AA866" t="s">
        <v>15347</v>
      </c>
      <c r="AB866" t="s">
        <v>15348</v>
      </c>
      <c r="AC866" t="s">
        <v>15349</v>
      </c>
      <c r="AD866" t="s">
        <v>15350</v>
      </c>
      <c r="AE866" t="s">
        <v>15351</v>
      </c>
      <c r="AF866" t="s">
        <v>74</v>
      </c>
      <c r="AG866">
        <v>39</v>
      </c>
      <c r="AH866">
        <v>15</v>
      </c>
      <c r="AI866">
        <v>20</v>
      </c>
      <c r="AJ866">
        <v>0</v>
      </c>
      <c r="AK866">
        <v>15</v>
      </c>
      <c r="AL866" t="s">
        <v>90</v>
      </c>
      <c r="AM866" t="s">
        <v>91</v>
      </c>
      <c r="AN866" t="s">
        <v>92</v>
      </c>
      <c r="AO866" t="s">
        <v>93</v>
      </c>
      <c r="AP866" t="s">
        <v>74</v>
      </c>
      <c r="AQ866" t="s">
        <v>74</v>
      </c>
      <c r="AR866" t="s">
        <v>95</v>
      </c>
      <c r="AS866" t="s">
        <v>96</v>
      </c>
      <c r="AT866" t="s">
        <v>15251</v>
      </c>
      <c r="AU866">
        <v>2010</v>
      </c>
      <c r="AV866">
        <v>42</v>
      </c>
      <c r="AW866">
        <v>2</v>
      </c>
      <c r="AX866" t="s">
        <v>74</v>
      </c>
      <c r="AY866" t="s">
        <v>74</v>
      </c>
      <c r="AZ866" t="s">
        <v>74</v>
      </c>
      <c r="BA866" t="s">
        <v>74</v>
      </c>
      <c r="BB866">
        <v>188</v>
      </c>
      <c r="BC866">
        <v>197</v>
      </c>
      <c r="BD866" t="s">
        <v>74</v>
      </c>
      <c r="BE866" t="s">
        <v>15352</v>
      </c>
      <c r="BF866" t="str">
        <f>HYPERLINK("http://dx.doi.org/10.1657/1938-4246-42.2.188","http://dx.doi.org/10.1657/1938-4246-42.2.188")</f>
        <v>http://dx.doi.org/10.1657/1938-4246-42.2.188</v>
      </c>
      <c r="BG866" t="s">
        <v>74</v>
      </c>
      <c r="BH866" t="s">
        <v>74</v>
      </c>
      <c r="BI866">
        <v>10</v>
      </c>
      <c r="BJ866" t="s">
        <v>99</v>
      </c>
      <c r="BK866" t="s">
        <v>100</v>
      </c>
      <c r="BL866" t="s">
        <v>101</v>
      </c>
      <c r="BM866" t="s">
        <v>15293</v>
      </c>
      <c r="BN866" t="s">
        <v>74</v>
      </c>
      <c r="BO866" t="s">
        <v>3515</v>
      </c>
      <c r="BP866" t="s">
        <v>74</v>
      </c>
      <c r="BQ866" t="s">
        <v>74</v>
      </c>
      <c r="BR866" t="s">
        <v>104</v>
      </c>
      <c r="BS866" t="s">
        <v>15353</v>
      </c>
      <c r="BT866" t="str">
        <f>HYPERLINK("https%3A%2F%2Fwww.webofscience.com%2Fwos%2Fwoscc%2Ffull-record%2FWOS:000278113800005","View Full Record in Web of Science")</f>
        <v>View Full Record in Web of Science</v>
      </c>
    </row>
    <row r="867" spans="1:72" x14ac:dyDescent="0.15">
      <c r="A867" t="s">
        <v>72</v>
      </c>
      <c r="B867" t="s">
        <v>15354</v>
      </c>
      <c r="C867" t="s">
        <v>74</v>
      </c>
      <c r="D867" t="s">
        <v>74</v>
      </c>
      <c r="E867" t="s">
        <v>74</v>
      </c>
      <c r="F867" t="s">
        <v>15355</v>
      </c>
      <c r="G867" t="s">
        <v>74</v>
      </c>
      <c r="H867" t="s">
        <v>74</v>
      </c>
      <c r="I867" t="s">
        <v>15356</v>
      </c>
      <c r="J867" t="s">
        <v>77</v>
      </c>
      <c r="K867" t="s">
        <v>74</v>
      </c>
      <c r="L867" t="s">
        <v>74</v>
      </c>
      <c r="M867" t="s">
        <v>78</v>
      </c>
      <c r="N867" t="s">
        <v>79</v>
      </c>
      <c r="O867" t="s">
        <v>74</v>
      </c>
      <c r="P867" t="s">
        <v>74</v>
      </c>
      <c r="Q867" t="s">
        <v>74</v>
      </c>
      <c r="R867" t="s">
        <v>74</v>
      </c>
      <c r="S867" t="s">
        <v>74</v>
      </c>
      <c r="T867" t="s">
        <v>74</v>
      </c>
      <c r="U867" t="s">
        <v>74</v>
      </c>
      <c r="V867" t="s">
        <v>15357</v>
      </c>
      <c r="W867" t="s">
        <v>15358</v>
      </c>
      <c r="X867" t="s">
        <v>15359</v>
      </c>
      <c r="Y867" t="s">
        <v>15360</v>
      </c>
      <c r="Z867" t="s">
        <v>15361</v>
      </c>
      <c r="AA867" t="s">
        <v>15362</v>
      </c>
      <c r="AB867" t="s">
        <v>15363</v>
      </c>
      <c r="AC867" t="s">
        <v>15364</v>
      </c>
      <c r="AD867" t="s">
        <v>15364</v>
      </c>
      <c r="AE867" t="s">
        <v>15365</v>
      </c>
      <c r="AF867" t="s">
        <v>74</v>
      </c>
      <c r="AG867">
        <v>22</v>
      </c>
      <c r="AH867">
        <v>5</v>
      </c>
      <c r="AI867">
        <v>7</v>
      </c>
      <c r="AJ867">
        <v>0</v>
      </c>
      <c r="AK867">
        <v>6</v>
      </c>
      <c r="AL867" t="s">
        <v>119</v>
      </c>
      <c r="AM867" t="s">
        <v>120</v>
      </c>
      <c r="AN867" t="s">
        <v>121</v>
      </c>
      <c r="AO867" t="s">
        <v>93</v>
      </c>
      <c r="AP867" t="s">
        <v>94</v>
      </c>
      <c r="AQ867" t="s">
        <v>74</v>
      </c>
      <c r="AR867" t="s">
        <v>95</v>
      </c>
      <c r="AS867" t="s">
        <v>96</v>
      </c>
      <c r="AT867" t="s">
        <v>15251</v>
      </c>
      <c r="AU867">
        <v>2010</v>
      </c>
      <c r="AV867">
        <v>42</v>
      </c>
      <c r="AW867">
        <v>2</v>
      </c>
      <c r="AX867" t="s">
        <v>74</v>
      </c>
      <c r="AY867" t="s">
        <v>74</v>
      </c>
      <c r="AZ867" t="s">
        <v>74</v>
      </c>
      <c r="BA867" t="s">
        <v>74</v>
      </c>
      <c r="BB867">
        <v>198</v>
      </c>
      <c r="BC867">
        <v>209</v>
      </c>
      <c r="BD867" t="s">
        <v>74</v>
      </c>
      <c r="BE867" t="s">
        <v>15366</v>
      </c>
      <c r="BF867" t="str">
        <f>HYPERLINK("http://dx.doi.org/10.1657/1938-4246-42.2.198","http://dx.doi.org/10.1657/1938-4246-42.2.198")</f>
        <v>http://dx.doi.org/10.1657/1938-4246-42.2.198</v>
      </c>
      <c r="BG867" t="s">
        <v>74</v>
      </c>
      <c r="BH867" t="s">
        <v>74</v>
      </c>
      <c r="BI867">
        <v>12</v>
      </c>
      <c r="BJ867" t="s">
        <v>99</v>
      </c>
      <c r="BK867" t="s">
        <v>100</v>
      </c>
      <c r="BL867" t="s">
        <v>101</v>
      </c>
      <c r="BM867" t="s">
        <v>15293</v>
      </c>
      <c r="BN867" t="s">
        <v>74</v>
      </c>
      <c r="BO867" t="s">
        <v>103</v>
      </c>
      <c r="BP867" t="s">
        <v>74</v>
      </c>
      <c r="BQ867" t="s">
        <v>74</v>
      </c>
      <c r="BR867" t="s">
        <v>104</v>
      </c>
      <c r="BS867" t="s">
        <v>15367</v>
      </c>
      <c r="BT867" t="str">
        <f>HYPERLINK("https%3A%2F%2Fwww.webofscience.com%2Fwos%2Fwoscc%2Ffull-record%2FWOS:000278113800006","View Full Record in Web of Science")</f>
        <v>View Full Record in Web of Science</v>
      </c>
    </row>
    <row r="868" spans="1:72" x14ac:dyDescent="0.15">
      <c r="A868" t="s">
        <v>72</v>
      </c>
      <c r="B868" t="s">
        <v>15368</v>
      </c>
      <c r="C868" t="s">
        <v>74</v>
      </c>
      <c r="D868" t="s">
        <v>74</v>
      </c>
      <c r="E868" t="s">
        <v>74</v>
      </c>
      <c r="F868" t="s">
        <v>15369</v>
      </c>
      <c r="G868" t="s">
        <v>74</v>
      </c>
      <c r="H868" t="s">
        <v>74</v>
      </c>
      <c r="I868" t="s">
        <v>15370</v>
      </c>
      <c r="J868" t="s">
        <v>77</v>
      </c>
      <c r="K868" t="s">
        <v>74</v>
      </c>
      <c r="L868" t="s">
        <v>74</v>
      </c>
      <c r="M868" t="s">
        <v>78</v>
      </c>
      <c r="N868" t="s">
        <v>79</v>
      </c>
      <c r="O868" t="s">
        <v>74</v>
      </c>
      <c r="P868" t="s">
        <v>74</v>
      </c>
      <c r="Q868" t="s">
        <v>74</v>
      </c>
      <c r="R868" t="s">
        <v>74</v>
      </c>
      <c r="S868" t="s">
        <v>74</v>
      </c>
      <c r="T868" t="s">
        <v>74</v>
      </c>
      <c r="U868" t="s">
        <v>15371</v>
      </c>
      <c r="V868" t="s">
        <v>15372</v>
      </c>
      <c r="W868" t="s">
        <v>15373</v>
      </c>
      <c r="X868" t="s">
        <v>15374</v>
      </c>
      <c r="Y868" t="s">
        <v>15375</v>
      </c>
      <c r="Z868" t="s">
        <v>15376</v>
      </c>
      <c r="AA868" t="s">
        <v>15377</v>
      </c>
      <c r="AB868" t="s">
        <v>15378</v>
      </c>
      <c r="AC868" t="s">
        <v>15379</v>
      </c>
      <c r="AD868" t="s">
        <v>15380</v>
      </c>
      <c r="AE868" t="s">
        <v>15381</v>
      </c>
      <c r="AF868" t="s">
        <v>74</v>
      </c>
      <c r="AG868">
        <v>57</v>
      </c>
      <c r="AH868">
        <v>13</v>
      </c>
      <c r="AI868">
        <v>14</v>
      </c>
      <c r="AJ868">
        <v>1</v>
      </c>
      <c r="AK868">
        <v>25</v>
      </c>
      <c r="AL868" t="s">
        <v>119</v>
      </c>
      <c r="AM868" t="s">
        <v>120</v>
      </c>
      <c r="AN868" t="s">
        <v>121</v>
      </c>
      <c r="AO868" t="s">
        <v>93</v>
      </c>
      <c r="AP868" t="s">
        <v>94</v>
      </c>
      <c r="AQ868" t="s">
        <v>74</v>
      </c>
      <c r="AR868" t="s">
        <v>95</v>
      </c>
      <c r="AS868" t="s">
        <v>96</v>
      </c>
      <c r="AT868" t="s">
        <v>15251</v>
      </c>
      <c r="AU868">
        <v>2010</v>
      </c>
      <c r="AV868">
        <v>42</v>
      </c>
      <c r="AW868">
        <v>2</v>
      </c>
      <c r="AX868" t="s">
        <v>74</v>
      </c>
      <c r="AY868" t="s">
        <v>74</v>
      </c>
      <c r="AZ868" t="s">
        <v>74</v>
      </c>
      <c r="BA868" t="s">
        <v>74</v>
      </c>
      <c r="BB868">
        <v>210</v>
      </c>
      <c r="BC868">
        <v>218</v>
      </c>
      <c r="BD868" t="s">
        <v>74</v>
      </c>
      <c r="BE868" t="s">
        <v>15382</v>
      </c>
      <c r="BF868" t="str">
        <f>HYPERLINK("http://dx.doi.org/10.1657/1938-4246-42.2.210","http://dx.doi.org/10.1657/1938-4246-42.2.210")</f>
        <v>http://dx.doi.org/10.1657/1938-4246-42.2.210</v>
      </c>
      <c r="BG868" t="s">
        <v>74</v>
      </c>
      <c r="BH868" t="s">
        <v>74</v>
      </c>
      <c r="BI868">
        <v>9</v>
      </c>
      <c r="BJ868" t="s">
        <v>99</v>
      </c>
      <c r="BK868" t="s">
        <v>100</v>
      </c>
      <c r="BL868" t="s">
        <v>101</v>
      </c>
      <c r="BM868" t="s">
        <v>15293</v>
      </c>
      <c r="BN868" t="s">
        <v>74</v>
      </c>
      <c r="BO868" t="s">
        <v>394</v>
      </c>
      <c r="BP868" t="s">
        <v>74</v>
      </c>
      <c r="BQ868" t="s">
        <v>74</v>
      </c>
      <c r="BR868" t="s">
        <v>104</v>
      </c>
      <c r="BS868" t="s">
        <v>15383</v>
      </c>
      <c r="BT868" t="str">
        <f>HYPERLINK("https%3A%2F%2Fwww.webofscience.com%2Fwos%2Fwoscc%2Ffull-record%2FWOS:000278113800007","View Full Record in Web of Science")</f>
        <v>View Full Record in Web of Science</v>
      </c>
    </row>
    <row r="869" spans="1:72" x14ac:dyDescent="0.15">
      <c r="A869" t="s">
        <v>72</v>
      </c>
      <c r="B869" t="s">
        <v>15384</v>
      </c>
      <c r="C869" t="s">
        <v>74</v>
      </c>
      <c r="D869" t="s">
        <v>74</v>
      </c>
      <c r="E869" t="s">
        <v>74</v>
      </c>
      <c r="F869" t="s">
        <v>15385</v>
      </c>
      <c r="G869" t="s">
        <v>74</v>
      </c>
      <c r="H869" t="s">
        <v>74</v>
      </c>
      <c r="I869" t="s">
        <v>15386</v>
      </c>
      <c r="J869" t="s">
        <v>77</v>
      </c>
      <c r="K869" t="s">
        <v>74</v>
      </c>
      <c r="L869" t="s">
        <v>74</v>
      </c>
      <c r="M869" t="s">
        <v>78</v>
      </c>
      <c r="N869" t="s">
        <v>79</v>
      </c>
      <c r="O869" t="s">
        <v>74</v>
      </c>
      <c r="P869" t="s">
        <v>74</v>
      </c>
      <c r="Q869" t="s">
        <v>74</v>
      </c>
      <c r="R869" t="s">
        <v>74</v>
      </c>
      <c r="S869" t="s">
        <v>74</v>
      </c>
      <c r="T869" t="s">
        <v>74</v>
      </c>
      <c r="U869" t="s">
        <v>15387</v>
      </c>
      <c r="V869" t="s">
        <v>15388</v>
      </c>
      <c r="W869" t="s">
        <v>15389</v>
      </c>
      <c r="X869" t="s">
        <v>15390</v>
      </c>
      <c r="Y869" t="s">
        <v>15391</v>
      </c>
      <c r="Z869" t="s">
        <v>15392</v>
      </c>
      <c r="AA869" t="s">
        <v>74</v>
      </c>
      <c r="AB869" t="s">
        <v>15393</v>
      </c>
      <c r="AC869" t="s">
        <v>15394</v>
      </c>
      <c r="AD869" t="s">
        <v>15395</v>
      </c>
      <c r="AE869" t="s">
        <v>15396</v>
      </c>
      <c r="AF869" t="s">
        <v>74</v>
      </c>
      <c r="AG869">
        <v>45</v>
      </c>
      <c r="AH869">
        <v>23</v>
      </c>
      <c r="AI869">
        <v>28</v>
      </c>
      <c r="AJ869">
        <v>3</v>
      </c>
      <c r="AK869">
        <v>46</v>
      </c>
      <c r="AL869" t="s">
        <v>119</v>
      </c>
      <c r="AM869" t="s">
        <v>120</v>
      </c>
      <c r="AN869" t="s">
        <v>121</v>
      </c>
      <c r="AO869" t="s">
        <v>93</v>
      </c>
      <c r="AP869" t="s">
        <v>94</v>
      </c>
      <c r="AQ869" t="s">
        <v>74</v>
      </c>
      <c r="AR869" t="s">
        <v>95</v>
      </c>
      <c r="AS869" t="s">
        <v>96</v>
      </c>
      <c r="AT869" t="s">
        <v>15251</v>
      </c>
      <c r="AU869">
        <v>2010</v>
      </c>
      <c r="AV869">
        <v>42</v>
      </c>
      <c r="AW869">
        <v>2</v>
      </c>
      <c r="AX869" t="s">
        <v>74</v>
      </c>
      <c r="AY869" t="s">
        <v>74</v>
      </c>
      <c r="AZ869" t="s">
        <v>74</v>
      </c>
      <c r="BA869" t="s">
        <v>74</v>
      </c>
      <c r="BB869">
        <v>219</v>
      </c>
      <c r="BC869">
        <v>226</v>
      </c>
      <c r="BD869" t="s">
        <v>74</v>
      </c>
      <c r="BE869" t="s">
        <v>15397</v>
      </c>
      <c r="BF869" t="str">
        <f>HYPERLINK("http://dx.doi.org/10.1657/1938-4246-42.2.219","http://dx.doi.org/10.1657/1938-4246-42.2.219")</f>
        <v>http://dx.doi.org/10.1657/1938-4246-42.2.219</v>
      </c>
      <c r="BG869" t="s">
        <v>74</v>
      </c>
      <c r="BH869" t="s">
        <v>74</v>
      </c>
      <c r="BI869">
        <v>8</v>
      </c>
      <c r="BJ869" t="s">
        <v>99</v>
      </c>
      <c r="BK869" t="s">
        <v>100</v>
      </c>
      <c r="BL869" t="s">
        <v>101</v>
      </c>
      <c r="BM869" t="s">
        <v>15293</v>
      </c>
      <c r="BN869" t="s">
        <v>74</v>
      </c>
      <c r="BO869" t="s">
        <v>134</v>
      </c>
      <c r="BP869" t="s">
        <v>74</v>
      </c>
      <c r="BQ869" t="s">
        <v>74</v>
      </c>
      <c r="BR869" t="s">
        <v>104</v>
      </c>
      <c r="BS869" t="s">
        <v>15398</v>
      </c>
      <c r="BT869" t="str">
        <f>HYPERLINK("https%3A%2F%2Fwww.webofscience.com%2Fwos%2Fwoscc%2Ffull-record%2FWOS:000278113800008","View Full Record in Web of Science")</f>
        <v>View Full Record in Web of Science</v>
      </c>
    </row>
    <row r="870" spans="1:72" x14ac:dyDescent="0.15">
      <c r="A870" t="s">
        <v>72</v>
      </c>
      <c r="B870" t="s">
        <v>15399</v>
      </c>
      <c r="C870" t="s">
        <v>74</v>
      </c>
      <c r="D870" t="s">
        <v>74</v>
      </c>
      <c r="E870" t="s">
        <v>74</v>
      </c>
      <c r="F870" t="s">
        <v>15400</v>
      </c>
      <c r="G870" t="s">
        <v>74</v>
      </c>
      <c r="H870" t="s">
        <v>74</v>
      </c>
      <c r="I870" t="s">
        <v>15401</v>
      </c>
      <c r="J870" t="s">
        <v>77</v>
      </c>
      <c r="K870" t="s">
        <v>74</v>
      </c>
      <c r="L870" t="s">
        <v>74</v>
      </c>
      <c r="M870" t="s">
        <v>78</v>
      </c>
      <c r="N870" t="s">
        <v>79</v>
      </c>
      <c r="O870" t="s">
        <v>74</v>
      </c>
      <c r="P870" t="s">
        <v>74</v>
      </c>
      <c r="Q870" t="s">
        <v>74</v>
      </c>
      <c r="R870" t="s">
        <v>74</v>
      </c>
      <c r="S870" t="s">
        <v>74</v>
      </c>
      <c r="T870" t="s">
        <v>74</v>
      </c>
      <c r="U870" t="s">
        <v>15402</v>
      </c>
      <c r="V870" t="s">
        <v>15403</v>
      </c>
      <c r="W870" t="s">
        <v>15404</v>
      </c>
      <c r="X870" t="s">
        <v>15405</v>
      </c>
      <c r="Y870" t="s">
        <v>15406</v>
      </c>
      <c r="Z870" t="s">
        <v>15407</v>
      </c>
      <c r="AA870" t="s">
        <v>74</v>
      </c>
      <c r="AB870" t="s">
        <v>74</v>
      </c>
      <c r="AC870" t="s">
        <v>15408</v>
      </c>
      <c r="AD870" t="s">
        <v>15409</v>
      </c>
      <c r="AE870" t="s">
        <v>15410</v>
      </c>
      <c r="AF870" t="s">
        <v>74</v>
      </c>
      <c r="AG870">
        <v>52</v>
      </c>
      <c r="AH870">
        <v>12</v>
      </c>
      <c r="AI870">
        <v>12</v>
      </c>
      <c r="AJ870">
        <v>0</v>
      </c>
      <c r="AK870">
        <v>18</v>
      </c>
      <c r="AL870" t="s">
        <v>119</v>
      </c>
      <c r="AM870" t="s">
        <v>120</v>
      </c>
      <c r="AN870" t="s">
        <v>121</v>
      </c>
      <c r="AO870" t="s">
        <v>93</v>
      </c>
      <c r="AP870" t="s">
        <v>94</v>
      </c>
      <c r="AQ870" t="s">
        <v>74</v>
      </c>
      <c r="AR870" t="s">
        <v>95</v>
      </c>
      <c r="AS870" t="s">
        <v>96</v>
      </c>
      <c r="AT870" t="s">
        <v>15251</v>
      </c>
      <c r="AU870">
        <v>2010</v>
      </c>
      <c r="AV870">
        <v>42</v>
      </c>
      <c r="AW870">
        <v>2</v>
      </c>
      <c r="AX870" t="s">
        <v>74</v>
      </c>
      <c r="AY870" t="s">
        <v>74</v>
      </c>
      <c r="AZ870" t="s">
        <v>74</v>
      </c>
      <c r="BA870" t="s">
        <v>74</v>
      </c>
      <c r="BB870">
        <v>227</v>
      </c>
      <c r="BC870">
        <v>235</v>
      </c>
      <c r="BD870" t="s">
        <v>74</v>
      </c>
      <c r="BE870" t="s">
        <v>15411</v>
      </c>
      <c r="BF870" t="str">
        <f>HYPERLINK("http://dx.doi.org/10.1657/1938-4246-42.2.227","http://dx.doi.org/10.1657/1938-4246-42.2.227")</f>
        <v>http://dx.doi.org/10.1657/1938-4246-42.2.227</v>
      </c>
      <c r="BG870" t="s">
        <v>74</v>
      </c>
      <c r="BH870" t="s">
        <v>74</v>
      </c>
      <c r="BI870">
        <v>9</v>
      </c>
      <c r="BJ870" t="s">
        <v>99</v>
      </c>
      <c r="BK870" t="s">
        <v>100</v>
      </c>
      <c r="BL870" t="s">
        <v>101</v>
      </c>
      <c r="BM870" t="s">
        <v>15293</v>
      </c>
      <c r="BN870" t="s">
        <v>74</v>
      </c>
      <c r="BO870" t="s">
        <v>123</v>
      </c>
      <c r="BP870" t="s">
        <v>74</v>
      </c>
      <c r="BQ870" t="s">
        <v>74</v>
      </c>
      <c r="BR870" t="s">
        <v>104</v>
      </c>
      <c r="BS870" t="s">
        <v>15412</v>
      </c>
      <c r="BT870" t="str">
        <f>HYPERLINK("https%3A%2F%2Fwww.webofscience.com%2Fwos%2Fwoscc%2Ffull-record%2FWOS:000278113800009","View Full Record in Web of Science")</f>
        <v>View Full Record in Web of Science</v>
      </c>
    </row>
    <row r="871" spans="1:72" x14ac:dyDescent="0.15">
      <c r="A871" t="s">
        <v>72</v>
      </c>
      <c r="B871" t="s">
        <v>15413</v>
      </c>
      <c r="C871" t="s">
        <v>74</v>
      </c>
      <c r="D871" t="s">
        <v>74</v>
      </c>
      <c r="E871" t="s">
        <v>74</v>
      </c>
      <c r="F871" t="s">
        <v>15414</v>
      </c>
      <c r="G871" t="s">
        <v>74</v>
      </c>
      <c r="H871" t="s">
        <v>74</v>
      </c>
      <c r="I871" t="s">
        <v>15415</v>
      </c>
      <c r="J871" t="s">
        <v>77</v>
      </c>
      <c r="K871" t="s">
        <v>74</v>
      </c>
      <c r="L871" t="s">
        <v>74</v>
      </c>
      <c r="M871" t="s">
        <v>78</v>
      </c>
      <c r="N871" t="s">
        <v>15416</v>
      </c>
      <c r="O871" t="s">
        <v>74</v>
      </c>
      <c r="P871" t="s">
        <v>74</v>
      </c>
      <c r="Q871" t="s">
        <v>74</v>
      </c>
      <c r="R871" t="s">
        <v>74</v>
      </c>
      <c r="S871" t="s">
        <v>74</v>
      </c>
      <c r="T871" t="s">
        <v>74</v>
      </c>
      <c r="U871" t="s">
        <v>74</v>
      </c>
      <c r="V871" t="s">
        <v>74</v>
      </c>
      <c r="W871" t="s">
        <v>15417</v>
      </c>
      <c r="X871" t="s">
        <v>7943</v>
      </c>
      <c r="Y871" t="s">
        <v>15418</v>
      </c>
      <c r="Z871" t="s">
        <v>74</v>
      </c>
      <c r="AA871" t="s">
        <v>74</v>
      </c>
      <c r="AB871" t="s">
        <v>74</v>
      </c>
      <c r="AC871" t="s">
        <v>74</v>
      </c>
      <c r="AD871" t="s">
        <v>74</v>
      </c>
      <c r="AE871" t="s">
        <v>74</v>
      </c>
      <c r="AF871" t="s">
        <v>74</v>
      </c>
      <c r="AG871">
        <v>8</v>
      </c>
      <c r="AH871">
        <v>0</v>
      </c>
      <c r="AI871">
        <v>0</v>
      </c>
      <c r="AJ871">
        <v>0</v>
      </c>
      <c r="AK871">
        <v>2</v>
      </c>
      <c r="AL871" t="s">
        <v>119</v>
      </c>
      <c r="AM871" t="s">
        <v>120</v>
      </c>
      <c r="AN871" t="s">
        <v>121</v>
      </c>
      <c r="AO871" t="s">
        <v>93</v>
      </c>
      <c r="AP871" t="s">
        <v>94</v>
      </c>
      <c r="AQ871" t="s">
        <v>74</v>
      </c>
      <c r="AR871" t="s">
        <v>95</v>
      </c>
      <c r="AS871" t="s">
        <v>96</v>
      </c>
      <c r="AT871" t="s">
        <v>15251</v>
      </c>
      <c r="AU871">
        <v>2010</v>
      </c>
      <c r="AV871">
        <v>42</v>
      </c>
      <c r="AW871">
        <v>2</v>
      </c>
      <c r="AX871" t="s">
        <v>74</v>
      </c>
      <c r="AY871" t="s">
        <v>74</v>
      </c>
      <c r="AZ871" t="s">
        <v>74</v>
      </c>
      <c r="BA871" t="s">
        <v>74</v>
      </c>
      <c r="BB871">
        <v>236</v>
      </c>
      <c r="BC871">
        <v>237</v>
      </c>
      <c r="BD871" t="s">
        <v>74</v>
      </c>
      <c r="BE871" t="s">
        <v>15419</v>
      </c>
      <c r="BF871" t="str">
        <f>HYPERLINK("http://dx.doi.org/10.1657/1938-4246-42.2.236","http://dx.doi.org/10.1657/1938-4246-42.2.236")</f>
        <v>http://dx.doi.org/10.1657/1938-4246-42.2.236</v>
      </c>
      <c r="BG871" t="s">
        <v>74</v>
      </c>
      <c r="BH871" t="s">
        <v>74</v>
      </c>
      <c r="BI871">
        <v>2</v>
      </c>
      <c r="BJ871" t="s">
        <v>99</v>
      </c>
      <c r="BK871" t="s">
        <v>100</v>
      </c>
      <c r="BL871" t="s">
        <v>101</v>
      </c>
      <c r="BM871" t="s">
        <v>15293</v>
      </c>
      <c r="BN871" t="s">
        <v>74</v>
      </c>
      <c r="BO871" t="s">
        <v>394</v>
      </c>
      <c r="BP871" t="s">
        <v>74</v>
      </c>
      <c r="BQ871" t="s">
        <v>74</v>
      </c>
      <c r="BR871" t="s">
        <v>104</v>
      </c>
      <c r="BS871" t="s">
        <v>15420</v>
      </c>
      <c r="BT871" t="str">
        <f>HYPERLINK("https%3A%2F%2Fwww.webofscience.com%2Fwos%2Fwoscc%2Ffull-record%2FWOS:000278113800010","View Full Record in Web of Science")</f>
        <v>View Full Record in Web of Science</v>
      </c>
    </row>
    <row r="872" spans="1:72" x14ac:dyDescent="0.15">
      <c r="A872" t="s">
        <v>72</v>
      </c>
      <c r="B872" t="s">
        <v>15421</v>
      </c>
      <c r="C872" t="s">
        <v>74</v>
      </c>
      <c r="D872" t="s">
        <v>74</v>
      </c>
      <c r="E872" t="s">
        <v>74</v>
      </c>
      <c r="F872" t="s">
        <v>15422</v>
      </c>
      <c r="G872" t="s">
        <v>74</v>
      </c>
      <c r="H872" t="s">
        <v>74</v>
      </c>
      <c r="I872" t="s">
        <v>15423</v>
      </c>
      <c r="J872" t="s">
        <v>10698</v>
      </c>
      <c r="K872" t="s">
        <v>74</v>
      </c>
      <c r="L872" t="s">
        <v>74</v>
      </c>
      <c r="M872" t="s">
        <v>78</v>
      </c>
      <c r="N872" t="s">
        <v>79</v>
      </c>
      <c r="O872" t="s">
        <v>74</v>
      </c>
      <c r="P872" t="s">
        <v>74</v>
      </c>
      <c r="Q872" t="s">
        <v>74</v>
      </c>
      <c r="R872" t="s">
        <v>74</v>
      </c>
      <c r="S872" t="s">
        <v>74</v>
      </c>
      <c r="T872" t="s">
        <v>15424</v>
      </c>
      <c r="U872" t="s">
        <v>15425</v>
      </c>
      <c r="V872" t="s">
        <v>15426</v>
      </c>
      <c r="W872" t="s">
        <v>15427</v>
      </c>
      <c r="X872" t="s">
        <v>15428</v>
      </c>
      <c r="Y872" t="s">
        <v>15429</v>
      </c>
      <c r="Z872" t="s">
        <v>15430</v>
      </c>
      <c r="AA872" t="s">
        <v>74</v>
      </c>
      <c r="AB872" t="s">
        <v>15431</v>
      </c>
      <c r="AC872" t="s">
        <v>15432</v>
      </c>
      <c r="AD872" t="s">
        <v>15433</v>
      </c>
      <c r="AE872" t="s">
        <v>15434</v>
      </c>
      <c r="AF872" t="s">
        <v>74</v>
      </c>
      <c r="AG872">
        <v>18</v>
      </c>
      <c r="AH872">
        <v>12</v>
      </c>
      <c r="AI872">
        <v>13</v>
      </c>
      <c r="AJ872">
        <v>0</v>
      </c>
      <c r="AK872">
        <v>0</v>
      </c>
      <c r="AL872" t="s">
        <v>10710</v>
      </c>
      <c r="AM872" t="s">
        <v>10711</v>
      </c>
      <c r="AN872" t="s">
        <v>10712</v>
      </c>
      <c r="AO872" t="s">
        <v>10713</v>
      </c>
      <c r="AP872" t="s">
        <v>74</v>
      </c>
      <c r="AQ872" t="s">
        <v>74</v>
      </c>
      <c r="AR872" t="s">
        <v>10715</v>
      </c>
      <c r="AS872" t="s">
        <v>10716</v>
      </c>
      <c r="AT872" t="s">
        <v>15251</v>
      </c>
      <c r="AU872">
        <v>2010</v>
      </c>
      <c r="AV872">
        <v>514</v>
      </c>
      <c r="AW872" t="s">
        <v>74</v>
      </c>
      <c r="AX872" t="s">
        <v>74</v>
      </c>
      <c r="AY872" t="s">
        <v>74</v>
      </c>
      <c r="AZ872" t="s">
        <v>74</v>
      </c>
      <c r="BA872" t="s">
        <v>74</v>
      </c>
      <c r="BB872" t="s">
        <v>74</v>
      </c>
      <c r="BC872" t="s">
        <v>74</v>
      </c>
      <c r="BD872" t="s">
        <v>15435</v>
      </c>
      <c r="BE872" t="s">
        <v>15436</v>
      </c>
      <c r="BF872" t="str">
        <f>HYPERLINK("http://dx.doi.org/10.1051/0004-6361/201014434","http://dx.doi.org/10.1051/0004-6361/201014434")</f>
        <v>http://dx.doi.org/10.1051/0004-6361/201014434</v>
      </c>
      <c r="BG872" t="s">
        <v>74</v>
      </c>
      <c r="BH872" t="s">
        <v>74</v>
      </c>
      <c r="BI872">
        <v>6</v>
      </c>
      <c r="BJ872" t="s">
        <v>1805</v>
      </c>
      <c r="BK872" t="s">
        <v>100</v>
      </c>
      <c r="BL872" t="s">
        <v>1805</v>
      </c>
      <c r="BM872" t="s">
        <v>15437</v>
      </c>
      <c r="BN872" t="s">
        <v>74</v>
      </c>
      <c r="BO872" t="s">
        <v>103</v>
      </c>
      <c r="BP872" t="s">
        <v>74</v>
      </c>
      <c r="BQ872" t="s">
        <v>74</v>
      </c>
      <c r="BR872" t="s">
        <v>104</v>
      </c>
      <c r="BS872" t="s">
        <v>15438</v>
      </c>
      <c r="BT872" t="str">
        <f>HYPERLINK("https%3A%2F%2Fwww.webofscience.com%2Fwos%2Fwoscc%2Ffull-record%2FWOS:000280504800003","View Full Record in Web of Science")</f>
        <v>View Full Record in Web of Science</v>
      </c>
    </row>
    <row r="873" spans="1:72" x14ac:dyDescent="0.15">
      <c r="A873" t="s">
        <v>72</v>
      </c>
      <c r="B873" t="s">
        <v>15439</v>
      </c>
      <c r="C873" t="s">
        <v>74</v>
      </c>
      <c r="D873" t="s">
        <v>74</v>
      </c>
      <c r="E873" t="s">
        <v>74</v>
      </c>
      <c r="F873" t="s">
        <v>15440</v>
      </c>
      <c r="G873" t="s">
        <v>74</v>
      </c>
      <c r="H873" t="s">
        <v>74</v>
      </c>
      <c r="I873" t="s">
        <v>15441</v>
      </c>
      <c r="J873" t="s">
        <v>15442</v>
      </c>
      <c r="K873" t="s">
        <v>74</v>
      </c>
      <c r="L873" t="s">
        <v>74</v>
      </c>
      <c r="M873" t="s">
        <v>78</v>
      </c>
      <c r="N873" t="s">
        <v>79</v>
      </c>
      <c r="O873" t="s">
        <v>74</v>
      </c>
      <c r="P873" t="s">
        <v>74</v>
      </c>
      <c r="Q873" t="s">
        <v>74</v>
      </c>
      <c r="R873" t="s">
        <v>74</v>
      </c>
      <c r="S873" t="s">
        <v>74</v>
      </c>
      <c r="T873" t="s">
        <v>15443</v>
      </c>
      <c r="U873" t="s">
        <v>15444</v>
      </c>
      <c r="V873" t="s">
        <v>15445</v>
      </c>
      <c r="W873" t="s">
        <v>15446</v>
      </c>
      <c r="X873" t="s">
        <v>15447</v>
      </c>
      <c r="Y873" t="s">
        <v>15448</v>
      </c>
      <c r="Z873" t="s">
        <v>15449</v>
      </c>
      <c r="AA873" t="s">
        <v>74</v>
      </c>
      <c r="AB873" t="s">
        <v>74</v>
      </c>
      <c r="AC873" t="s">
        <v>15450</v>
      </c>
      <c r="AD873" t="s">
        <v>15451</v>
      </c>
      <c r="AE873" t="s">
        <v>15452</v>
      </c>
      <c r="AF873" t="s">
        <v>74</v>
      </c>
      <c r="AG873">
        <v>28</v>
      </c>
      <c r="AH873">
        <v>3</v>
      </c>
      <c r="AI873">
        <v>4</v>
      </c>
      <c r="AJ873">
        <v>0</v>
      </c>
      <c r="AK873">
        <v>2</v>
      </c>
      <c r="AL873" t="s">
        <v>1038</v>
      </c>
      <c r="AM873" t="s">
        <v>550</v>
      </c>
      <c r="AN873" t="s">
        <v>1039</v>
      </c>
      <c r="AO873" t="s">
        <v>15453</v>
      </c>
      <c r="AP873" t="s">
        <v>15454</v>
      </c>
      <c r="AQ873" t="s">
        <v>74</v>
      </c>
      <c r="AR873" t="s">
        <v>15455</v>
      </c>
      <c r="AS873" t="s">
        <v>15456</v>
      </c>
      <c r="AT873" t="s">
        <v>15251</v>
      </c>
      <c r="AU873">
        <v>2010</v>
      </c>
      <c r="AV873">
        <v>33</v>
      </c>
      <c r="AW873">
        <v>4</v>
      </c>
      <c r="AX873" t="s">
        <v>74</v>
      </c>
      <c r="AY873" t="s">
        <v>74</v>
      </c>
      <c r="AZ873" t="s">
        <v>74</v>
      </c>
      <c r="BA873" t="s">
        <v>74</v>
      </c>
      <c r="BB873">
        <v>248</v>
      </c>
      <c r="BC873">
        <v>254</v>
      </c>
      <c r="BD873" t="s">
        <v>74</v>
      </c>
      <c r="BE873" t="s">
        <v>15457</v>
      </c>
      <c r="BF873" t="str">
        <f>HYPERLINK("http://dx.doi.org/10.1016/j.astropartphys.2010.02.004","http://dx.doi.org/10.1016/j.astropartphys.2010.02.004")</f>
        <v>http://dx.doi.org/10.1016/j.astropartphys.2010.02.004</v>
      </c>
      <c r="BG873" t="s">
        <v>74</v>
      </c>
      <c r="BH873" t="s">
        <v>74</v>
      </c>
      <c r="BI873">
        <v>7</v>
      </c>
      <c r="BJ873" t="s">
        <v>10202</v>
      </c>
      <c r="BK873" t="s">
        <v>100</v>
      </c>
      <c r="BL873" t="s">
        <v>10203</v>
      </c>
      <c r="BM873" t="s">
        <v>15458</v>
      </c>
      <c r="BN873" t="s">
        <v>74</v>
      </c>
      <c r="BO873" t="s">
        <v>134</v>
      </c>
      <c r="BP873" t="s">
        <v>74</v>
      </c>
      <c r="BQ873" t="s">
        <v>74</v>
      </c>
      <c r="BR873" t="s">
        <v>104</v>
      </c>
      <c r="BS873" t="s">
        <v>15459</v>
      </c>
      <c r="BT873" t="str">
        <f>HYPERLINK("https%3A%2F%2Fwww.webofscience.com%2Fwos%2Fwoscc%2Ffull-record%2FWOS:000277949700005","View Full Record in Web of Science")</f>
        <v>View Full Record in Web of Science</v>
      </c>
    </row>
    <row r="874" spans="1:72" x14ac:dyDescent="0.15">
      <c r="A874" t="s">
        <v>72</v>
      </c>
      <c r="B874" t="s">
        <v>15460</v>
      </c>
      <c r="C874" t="s">
        <v>74</v>
      </c>
      <c r="D874" t="s">
        <v>74</v>
      </c>
      <c r="E874" t="s">
        <v>74</v>
      </c>
      <c r="F874" t="s">
        <v>15461</v>
      </c>
      <c r="G874" t="s">
        <v>74</v>
      </c>
      <c r="H874" t="s">
        <v>74</v>
      </c>
      <c r="I874" t="s">
        <v>15462</v>
      </c>
      <c r="J874" t="s">
        <v>251</v>
      </c>
      <c r="K874" t="s">
        <v>74</v>
      </c>
      <c r="L874" t="s">
        <v>74</v>
      </c>
      <c r="M874" t="s">
        <v>78</v>
      </c>
      <c r="N874" t="s">
        <v>79</v>
      </c>
      <c r="O874" t="s">
        <v>74</v>
      </c>
      <c r="P874" t="s">
        <v>74</v>
      </c>
      <c r="Q874" t="s">
        <v>74</v>
      </c>
      <c r="R874" t="s">
        <v>74</v>
      </c>
      <c r="S874" t="s">
        <v>74</v>
      </c>
      <c r="T874" t="s">
        <v>15463</v>
      </c>
      <c r="U874" t="s">
        <v>15464</v>
      </c>
      <c r="V874" t="s">
        <v>15465</v>
      </c>
      <c r="W874" t="s">
        <v>15466</v>
      </c>
      <c r="X874" t="s">
        <v>15467</v>
      </c>
      <c r="Y874" t="s">
        <v>15468</v>
      </c>
      <c r="Z874" t="s">
        <v>15469</v>
      </c>
      <c r="AA874" t="s">
        <v>15470</v>
      </c>
      <c r="AB874" t="s">
        <v>74</v>
      </c>
      <c r="AC874" t="s">
        <v>15471</v>
      </c>
      <c r="AD874" t="s">
        <v>15472</v>
      </c>
      <c r="AE874" t="s">
        <v>15473</v>
      </c>
      <c r="AF874" t="s">
        <v>74</v>
      </c>
      <c r="AG874">
        <v>27</v>
      </c>
      <c r="AH874">
        <v>30</v>
      </c>
      <c r="AI874">
        <v>32</v>
      </c>
      <c r="AJ874">
        <v>1</v>
      </c>
      <c r="AK874">
        <v>48</v>
      </c>
      <c r="AL874" t="s">
        <v>264</v>
      </c>
      <c r="AM874" t="s">
        <v>265</v>
      </c>
      <c r="AN874" t="s">
        <v>266</v>
      </c>
      <c r="AO874" t="s">
        <v>267</v>
      </c>
      <c r="AP874" t="s">
        <v>268</v>
      </c>
      <c r="AQ874" t="s">
        <v>74</v>
      </c>
      <c r="AR874" t="s">
        <v>269</v>
      </c>
      <c r="AS874" t="s">
        <v>270</v>
      </c>
      <c r="AT874" t="s">
        <v>15251</v>
      </c>
      <c r="AU874">
        <v>2010</v>
      </c>
      <c r="AV874">
        <v>44</v>
      </c>
      <c r="AW874">
        <v>14</v>
      </c>
      <c r="AX874" t="s">
        <v>74</v>
      </c>
      <c r="AY874" t="s">
        <v>74</v>
      </c>
      <c r="AZ874" t="s">
        <v>74</v>
      </c>
      <c r="BA874" t="s">
        <v>74</v>
      </c>
      <c r="BB874">
        <v>1815</v>
      </c>
      <c r="BC874">
        <v>1821</v>
      </c>
      <c r="BD874" t="s">
        <v>74</v>
      </c>
      <c r="BE874" t="s">
        <v>15474</v>
      </c>
      <c r="BF874" t="str">
        <f>HYPERLINK("http://dx.doi.org/10.1016/j.atmosenv.2009.12.039","http://dx.doi.org/10.1016/j.atmosenv.2009.12.039")</f>
        <v>http://dx.doi.org/10.1016/j.atmosenv.2009.12.039</v>
      </c>
      <c r="BG874" t="s">
        <v>74</v>
      </c>
      <c r="BH874" t="s">
        <v>74</v>
      </c>
      <c r="BI874">
        <v>7</v>
      </c>
      <c r="BJ874" t="s">
        <v>272</v>
      </c>
      <c r="BK874" t="s">
        <v>100</v>
      </c>
      <c r="BL874" t="s">
        <v>273</v>
      </c>
      <c r="BM874" t="s">
        <v>15475</v>
      </c>
      <c r="BN874" t="s">
        <v>74</v>
      </c>
      <c r="BO874" t="s">
        <v>74</v>
      </c>
      <c r="BP874" t="s">
        <v>74</v>
      </c>
      <c r="BQ874" t="s">
        <v>74</v>
      </c>
      <c r="BR874" t="s">
        <v>104</v>
      </c>
      <c r="BS874" t="s">
        <v>15476</v>
      </c>
      <c r="BT874" t="str">
        <f>HYPERLINK("https%3A%2F%2Fwww.webofscience.com%2Fwos%2Fwoscc%2Ffull-record%2FWOS:000277476200013","View Full Record in Web of Science")</f>
        <v>View Full Record in Web of Science</v>
      </c>
    </row>
    <row r="875" spans="1:72" x14ac:dyDescent="0.15">
      <c r="A875" t="s">
        <v>72</v>
      </c>
      <c r="B875" t="s">
        <v>15477</v>
      </c>
      <c r="C875" t="s">
        <v>74</v>
      </c>
      <c r="D875" t="s">
        <v>74</v>
      </c>
      <c r="E875" t="s">
        <v>74</v>
      </c>
      <c r="F875" t="s">
        <v>15478</v>
      </c>
      <c r="G875" t="s">
        <v>74</v>
      </c>
      <c r="H875" t="s">
        <v>74</v>
      </c>
      <c r="I875" t="s">
        <v>15479</v>
      </c>
      <c r="J875" t="s">
        <v>353</v>
      </c>
      <c r="K875" t="s">
        <v>74</v>
      </c>
      <c r="L875" t="s">
        <v>74</v>
      </c>
      <c r="M875" t="s">
        <v>78</v>
      </c>
      <c r="N875" t="s">
        <v>79</v>
      </c>
      <c r="O875" t="s">
        <v>74</v>
      </c>
      <c r="P875" t="s">
        <v>74</v>
      </c>
      <c r="Q875" t="s">
        <v>74</v>
      </c>
      <c r="R875" t="s">
        <v>74</v>
      </c>
      <c r="S875" t="s">
        <v>74</v>
      </c>
      <c r="T875" t="s">
        <v>15480</v>
      </c>
      <c r="U875" t="s">
        <v>74</v>
      </c>
      <c r="V875" t="s">
        <v>15481</v>
      </c>
      <c r="W875" t="s">
        <v>15482</v>
      </c>
      <c r="X875" t="s">
        <v>15483</v>
      </c>
      <c r="Y875" t="s">
        <v>15484</v>
      </c>
      <c r="Z875" t="s">
        <v>15485</v>
      </c>
      <c r="AA875" t="s">
        <v>74</v>
      </c>
      <c r="AB875" t="s">
        <v>74</v>
      </c>
      <c r="AC875" t="s">
        <v>15486</v>
      </c>
      <c r="AD875" t="s">
        <v>2581</v>
      </c>
      <c r="AE875" t="s">
        <v>15487</v>
      </c>
      <c r="AF875" t="s">
        <v>74</v>
      </c>
      <c r="AG875">
        <v>18</v>
      </c>
      <c r="AH875">
        <v>8</v>
      </c>
      <c r="AI875">
        <v>9</v>
      </c>
      <c r="AJ875">
        <v>0</v>
      </c>
      <c r="AK875">
        <v>3</v>
      </c>
      <c r="AL875" t="s">
        <v>15488</v>
      </c>
      <c r="AM875" t="s">
        <v>15489</v>
      </c>
      <c r="AN875" t="s">
        <v>15490</v>
      </c>
      <c r="AO875" t="s">
        <v>365</v>
      </c>
      <c r="AP875" t="s">
        <v>366</v>
      </c>
      <c r="AQ875" t="s">
        <v>74</v>
      </c>
      <c r="AR875" t="s">
        <v>367</v>
      </c>
      <c r="AS875" t="s">
        <v>368</v>
      </c>
      <c r="AT875" t="s">
        <v>15251</v>
      </c>
      <c r="AU875">
        <v>2010</v>
      </c>
      <c r="AV875">
        <v>24</v>
      </c>
      <c r="AW875">
        <v>2</v>
      </c>
      <c r="AX875" t="s">
        <v>74</v>
      </c>
      <c r="AY875" t="s">
        <v>74</v>
      </c>
      <c r="AZ875" t="s">
        <v>582</v>
      </c>
      <c r="BA875" t="s">
        <v>74</v>
      </c>
      <c r="BB875">
        <v>507</v>
      </c>
      <c r="BC875">
        <v>511</v>
      </c>
      <c r="BD875" t="s">
        <v>74</v>
      </c>
      <c r="BE875" t="s">
        <v>15491</v>
      </c>
      <c r="BF875" t="str">
        <f>HYPERLINK("http://dx.doi.org/10.1080/13102818.2010.10817891","http://dx.doi.org/10.1080/13102818.2010.10817891")</f>
        <v>http://dx.doi.org/10.1080/13102818.2010.10817891</v>
      </c>
      <c r="BG875" t="s">
        <v>74</v>
      </c>
      <c r="BH875" t="s">
        <v>74</v>
      </c>
      <c r="BI875">
        <v>5</v>
      </c>
      <c r="BJ875" t="s">
        <v>370</v>
      </c>
      <c r="BK875" t="s">
        <v>100</v>
      </c>
      <c r="BL875" t="s">
        <v>370</v>
      </c>
      <c r="BM875" t="s">
        <v>15492</v>
      </c>
      <c r="BN875" t="s">
        <v>74</v>
      </c>
      <c r="BO875" t="s">
        <v>74</v>
      </c>
      <c r="BP875" t="s">
        <v>74</v>
      </c>
      <c r="BQ875" t="s">
        <v>74</v>
      </c>
      <c r="BR875" t="s">
        <v>104</v>
      </c>
      <c r="BS875" t="s">
        <v>15493</v>
      </c>
      <c r="BT875" t="str">
        <f>HYPERLINK("https%3A%2F%2Fwww.webofscience.com%2Fwos%2Fwoscc%2Ffull-record%2FWOS:000208860000091","View Full Record in Web of Science")</f>
        <v>View Full Record in Web of Science</v>
      </c>
    </row>
    <row r="876" spans="1:72" x14ac:dyDescent="0.15">
      <c r="A876" t="s">
        <v>72</v>
      </c>
      <c r="B876" t="s">
        <v>15494</v>
      </c>
      <c r="C876" t="s">
        <v>74</v>
      </c>
      <c r="D876" t="s">
        <v>74</v>
      </c>
      <c r="E876" t="s">
        <v>74</v>
      </c>
      <c r="F876" t="s">
        <v>15495</v>
      </c>
      <c r="G876" t="s">
        <v>74</v>
      </c>
      <c r="H876" t="s">
        <v>74</v>
      </c>
      <c r="I876" t="s">
        <v>15496</v>
      </c>
      <c r="J876" t="s">
        <v>15497</v>
      </c>
      <c r="K876" t="s">
        <v>74</v>
      </c>
      <c r="L876" t="s">
        <v>74</v>
      </c>
      <c r="M876" t="s">
        <v>78</v>
      </c>
      <c r="N876" t="s">
        <v>79</v>
      </c>
      <c r="O876" t="s">
        <v>74</v>
      </c>
      <c r="P876" t="s">
        <v>74</v>
      </c>
      <c r="Q876" t="s">
        <v>74</v>
      </c>
      <c r="R876" t="s">
        <v>74</v>
      </c>
      <c r="S876" t="s">
        <v>74</v>
      </c>
      <c r="T876" t="s">
        <v>15498</v>
      </c>
      <c r="U876" t="s">
        <v>15499</v>
      </c>
      <c r="V876" t="s">
        <v>15500</v>
      </c>
      <c r="W876" t="s">
        <v>15501</v>
      </c>
      <c r="X876" t="s">
        <v>15502</v>
      </c>
      <c r="Y876" t="s">
        <v>15503</v>
      </c>
      <c r="Z876" t="s">
        <v>15504</v>
      </c>
      <c r="AA876" t="s">
        <v>15505</v>
      </c>
      <c r="AB876" t="s">
        <v>15506</v>
      </c>
      <c r="AC876" t="s">
        <v>15507</v>
      </c>
      <c r="AD876" t="s">
        <v>15508</v>
      </c>
      <c r="AE876" t="s">
        <v>15509</v>
      </c>
      <c r="AF876" t="s">
        <v>74</v>
      </c>
      <c r="AG876">
        <v>64</v>
      </c>
      <c r="AH876">
        <v>36</v>
      </c>
      <c r="AI876">
        <v>43</v>
      </c>
      <c r="AJ876">
        <v>0</v>
      </c>
      <c r="AK876">
        <v>11</v>
      </c>
      <c r="AL876" t="s">
        <v>464</v>
      </c>
      <c r="AM876" t="s">
        <v>310</v>
      </c>
      <c r="AN876" t="s">
        <v>971</v>
      </c>
      <c r="AO876" t="s">
        <v>15510</v>
      </c>
      <c r="AP876" t="s">
        <v>15511</v>
      </c>
      <c r="AQ876" t="s">
        <v>74</v>
      </c>
      <c r="AR876" t="s">
        <v>15512</v>
      </c>
      <c r="AS876" t="s">
        <v>15513</v>
      </c>
      <c r="AT876" t="s">
        <v>15251</v>
      </c>
      <c r="AU876">
        <v>2010</v>
      </c>
      <c r="AV876">
        <v>72</v>
      </c>
      <c r="AW876">
        <v>4</v>
      </c>
      <c r="AX876" t="s">
        <v>74</v>
      </c>
      <c r="AY876" t="s">
        <v>74</v>
      </c>
      <c r="AZ876" t="s">
        <v>74</v>
      </c>
      <c r="BA876" t="s">
        <v>74</v>
      </c>
      <c r="BB876">
        <v>487</v>
      </c>
      <c r="BC876">
        <v>505</v>
      </c>
      <c r="BD876" t="s">
        <v>74</v>
      </c>
      <c r="BE876" t="s">
        <v>15514</v>
      </c>
      <c r="BF876" t="str">
        <f>HYPERLINK("http://dx.doi.org/10.1007/s00445-009-0337-z","http://dx.doi.org/10.1007/s00445-009-0337-z")</f>
        <v>http://dx.doi.org/10.1007/s00445-009-0337-z</v>
      </c>
      <c r="BG876" t="s">
        <v>74</v>
      </c>
      <c r="BH876" t="s">
        <v>74</v>
      </c>
      <c r="BI876">
        <v>19</v>
      </c>
      <c r="BJ876" t="s">
        <v>1194</v>
      </c>
      <c r="BK876" t="s">
        <v>100</v>
      </c>
      <c r="BL876" t="s">
        <v>807</v>
      </c>
      <c r="BM876" t="s">
        <v>15515</v>
      </c>
      <c r="BN876" t="s">
        <v>74</v>
      </c>
      <c r="BO876" t="s">
        <v>631</v>
      </c>
      <c r="BP876" t="s">
        <v>74</v>
      </c>
      <c r="BQ876" t="s">
        <v>74</v>
      </c>
      <c r="BR876" t="s">
        <v>104</v>
      </c>
      <c r="BS876" t="s">
        <v>15516</v>
      </c>
      <c r="BT876" t="str">
        <f>HYPERLINK("https%3A%2F%2Fwww.webofscience.com%2Fwos%2Fwoscc%2Ffull-record%2FWOS:000276903200007","View Full Record in Web of Science")</f>
        <v>View Full Record in Web of Science</v>
      </c>
    </row>
    <row r="877" spans="1:72" x14ac:dyDescent="0.15">
      <c r="A877" t="s">
        <v>72</v>
      </c>
      <c r="B877" t="s">
        <v>15517</v>
      </c>
      <c r="C877" t="s">
        <v>74</v>
      </c>
      <c r="D877" t="s">
        <v>74</v>
      </c>
      <c r="E877" t="s">
        <v>74</v>
      </c>
      <c r="F877" t="s">
        <v>15518</v>
      </c>
      <c r="G877" t="s">
        <v>74</v>
      </c>
      <c r="H877" t="s">
        <v>74</v>
      </c>
      <c r="I877" t="s">
        <v>15519</v>
      </c>
      <c r="J877" t="s">
        <v>15520</v>
      </c>
      <c r="K877" t="s">
        <v>74</v>
      </c>
      <c r="L877" t="s">
        <v>74</v>
      </c>
      <c r="M877" t="s">
        <v>78</v>
      </c>
      <c r="N877" t="s">
        <v>79</v>
      </c>
      <c r="O877" t="s">
        <v>74</v>
      </c>
      <c r="P877" t="s">
        <v>74</v>
      </c>
      <c r="Q877" t="s">
        <v>74</v>
      </c>
      <c r="R877" t="s">
        <v>74</v>
      </c>
      <c r="S877" t="s">
        <v>74</v>
      </c>
      <c r="T877" t="s">
        <v>15521</v>
      </c>
      <c r="U877" t="s">
        <v>15522</v>
      </c>
      <c r="V877" t="s">
        <v>15523</v>
      </c>
      <c r="W877" t="s">
        <v>15524</v>
      </c>
      <c r="X877" t="s">
        <v>15525</v>
      </c>
      <c r="Y877" t="s">
        <v>15526</v>
      </c>
      <c r="Z877" t="s">
        <v>15527</v>
      </c>
      <c r="AA877" t="s">
        <v>15528</v>
      </c>
      <c r="AB877" t="s">
        <v>15529</v>
      </c>
      <c r="AC877" t="s">
        <v>15530</v>
      </c>
      <c r="AD877" t="s">
        <v>15531</v>
      </c>
      <c r="AE877" t="s">
        <v>15532</v>
      </c>
      <c r="AF877" t="s">
        <v>74</v>
      </c>
      <c r="AG877">
        <v>70</v>
      </c>
      <c r="AH877">
        <v>74</v>
      </c>
      <c r="AI877">
        <v>78</v>
      </c>
      <c r="AJ877">
        <v>0</v>
      </c>
      <c r="AK877">
        <v>34</v>
      </c>
      <c r="AL877" t="s">
        <v>648</v>
      </c>
      <c r="AM877" t="s">
        <v>265</v>
      </c>
      <c r="AN877" t="s">
        <v>649</v>
      </c>
      <c r="AO877" t="s">
        <v>15533</v>
      </c>
      <c r="AP877" t="s">
        <v>15534</v>
      </c>
      <c r="AQ877" t="s">
        <v>74</v>
      </c>
      <c r="AR877" t="s">
        <v>15535</v>
      </c>
      <c r="AS877" t="s">
        <v>15536</v>
      </c>
      <c r="AT877" t="s">
        <v>15251</v>
      </c>
      <c r="AU877">
        <v>2010</v>
      </c>
      <c r="AV877">
        <v>35</v>
      </c>
      <c r="AW877">
        <v>4</v>
      </c>
      <c r="AX877" t="s">
        <v>74</v>
      </c>
      <c r="AY877" t="s">
        <v>74</v>
      </c>
      <c r="AZ877" t="s">
        <v>74</v>
      </c>
      <c r="BA877" t="s">
        <v>74</v>
      </c>
      <c r="BB877">
        <v>309</v>
      </c>
      <c r="BC877">
        <v>321</v>
      </c>
      <c r="BD877" t="s">
        <v>74</v>
      </c>
      <c r="BE877" t="s">
        <v>15537</v>
      </c>
      <c r="BF877" t="str">
        <f>HYPERLINK("http://dx.doi.org/10.1093/chemse/bjq021","http://dx.doi.org/10.1093/chemse/bjq021")</f>
        <v>http://dx.doi.org/10.1093/chemse/bjq021</v>
      </c>
      <c r="BG877" t="s">
        <v>74</v>
      </c>
      <c r="BH877" t="s">
        <v>74</v>
      </c>
      <c r="BI877">
        <v>13</v>
      </c>
      <c r="BJ877" t="s">
        <v>15538</v>
      </c>
      <c r="BK877" t="s">
        <v>2796</v>
      </c>
      <c r="BL877" t="s">
        <v>15539</v>
      </c>
      <c r="BM877" t="s">
        <v>15540</v>
      </c>
      <c r="BN877">
        <v>20190009</v>
      </c>
      <c r="BO877" t="s">
        <v>394</v>
      </c>
      <c r="BP877" t="s">
        <v>74</v>
      </c>
      <c r="BQ877" t="s">
        <v>74</v>
      </c>
      <c r="BR877" t="s">
        <v>104</v>
      </c>
      <c r="BS877" t="s">
        <v>15541</v>
      </c>
      <c r="BT877" t="str">
        <f>HYPERLINK("https%3A%2F%2Fwww.webofscience.com%2Fwos%2Fwoscc%2Ffull-record%2FWOS:000276735500007","View Full Record in Web of Science")</f>
        <v>View Full Record in Web of Science</v>
      </c>
    </row>
    <row r="878" spans="1:72" x14ac:dyDescent="0.15">
      <c r="A878" t="s">
        <v>72</v>
      </c>
      <c r="B878" t="s">
        <v>15542</v>
      </c>
      <c r="C878" t="s">
        <v>74</v>
      </c>
      <c r="D878" t="s">
        <v>74</v>
      </c>
      <c r="E878" t="s">
        <v>74</v>
      </c>
      <c r="F878" t="s">
        <v>15543</v>
      </c>
      <c r="G878" t="s">
        <v>74</v>
      </c>
      <c r="H878" t="s">
        <v>74</v>
      </c>
      <c r="I878" t="s">
        <v>15544</v>
      </c>
      <c r="J878" t="s">
        <v>425</v>
      </c>
      <c r="K878" t="s">
        <v>74</v>
      </c>
      <c r="L878" t="s">
        <v>74</v>
      </c>
      <c r="M878" t="s">
        <v>78</v>
      </c>
      <c r="N878" t="s">
        <v>79</v>
      </c>
      <c r="O878" t="s">
        <v>74</v>
      </c>
      <c r="P878" t="s">
        <v>74</v>
      </c>
      <c r="Q878" t="s">
        <v>74</v>
      </c>
      <c r="R878" t="s">
        <v>74</v>
      </c>
      <c r="S878" t="s">
        <v>74</v>
      </c>
      <c r="T878" t="s">
        <v>15545</v>
      </c>
      <c r="U878" t="s">
        <v>15546</v>
      </c>
      <c r="V878" t="s">
        <v>15547</v>
      </c>
      <c r="W878" t="s">
        <v>15548</v>
      </c>
      <c r="X878" t="s">
        <v>15549</v>
      </c>
      <c r="Y878" t="s">
        <v>15550</v>
      </c>
      <c r="Z878" t="s">
        <v>15551</v>
      </c>
      <c r="AA878" t="s">
        <v>15552</v>
      </c>
      <c r="AB878" t="s">
        <v>15553</v>
      </c>
      <c r="AC878" t="s">
        <v>15554</v>
      </c>
      <c r="AD878" t="s">
        <v>15555</v>
      </c>
      <c r="AE878" t="s">
        <v>15556</v>
      </c>
      <c r="AF878" t="s">
        <v>74</v>
      </c>
      <c r="AG878">
        <v>13</v>
      </c>
      <c r="AH878">
        <v>9</v>
      </c>
      <c r="AI878">
        <v>14</v>
      </c>
      <c r="AJ878">
        <v>0</v>
      </c>
      <c r="AK878">
        <v>14</v>
      </c>
      <c r="AL878" t="s">
        <v>436</v>
      </c>
      <c r="AM878" t="s">
        <v>437</v>
      </c>
      <c r="AN878" t="s">
        <v>438</v>
      </c>
      <c r="AO878" t="s">
        <v>439</v>
      </c>
      <c r="AP878" t="s">
        <v>440</v>
      </c>
      <c r="AQ878" t="s">
        <v>74</v>
      </c>
      <c r="AR878" t="s">
        <v>441</v>
      </c>
      <c r="AS878" t="s">
        <v>442</v>
      </c>
      <c r="AT878" t="s">
        <v>15251</v>
      </c>
      <c r="AU878">
        <v>2010</v>
      </c>
      <c r="AV878">
        <v>55</v>
      </c>
      <c r="AW878">
        <v>14</v>
      </c>
      <c r="AX878" t="s">
        <v>74</v>
      </c>
      <c r="AY878" t="s">
        <v>74</v>
      </c>
      <c r="AZ878" t="s">
        <v>74</v>
      </c>
      <c r="BA878" t="s">
        <v>74</v>
      </c>
      <c r="BB878">
        <v>1430</v>
      </c>
      <c r="BC878">
        <v>1436</v>
      </c>
      <c r="BD878" t="s">
        <v>74</v>
      </c>
      <c r="BE878" t="s">
        <v>15557</v>
      </c>
      <c r="BF878" t="str">
        <f>HYPERLINK("http://dx.doi.org/10.1007/s11434-010-0099-1","http://dx.doi.org/10.1007/s11434-010-0099-1")</f>
        <v>http://dx.doi.org/10.1007/s11434-010-0099-1</v>
      </c>
      <c r="BG878" t="s">
        <v>74</v>
      </c>
      <c r="BH878" t="s">
        <v>74</v>
      </c>
      <c r="BI878">
        <v>7</v>
      </c>
      <c r="BJ878" t="s">
        <v>444</v>
      </c>
      <c r="BK878" t="s">
        <v>100</v>
      </c>
      <c r="BL878" t="s">
        <v>445</v>
      </c>
      <c r="BM878" t="s">
        <v>15558</v>
      </c>
      <c r="BN878" t="s">
        <v>74</v>
      </c>
      <c r="BO878" t="s">
        <v>74</v>
      </c>
      <c r="BP878" t="s">
        <v>74</v>
      </c>
      <c r="BQ878" t="s">
        <v>74</v>
      </c>
      <c r="BR878" t="s">
        <v>104</v>
      </c>
      <c r="BS878" t="s">
        <v>15559</v>
      </c>
      <c r="BT878" t="str">
        <f>HYPERLINK("https%3A%2F%2Fwww.webofscience.com%2Fwos%2Fwoscc%2Ffull-record%2FWOS:000277335300013","View Full Record in Web of Science")</f>
        <v>View Full Record in Web of Science</v>
      </c>
    </row>
    <row r="879" spans="1:72" x14ac:dyDescent="0.15">
      <c r="A879" t="s">
        <v>72</v>
      </c>
      <c r="B879" t="s">
        <v>15560</v>
      </c>
      <c r="C879" t="s">
        <v>74</v>
      </c>
      <c r="D879" t="s">
        <v>74</v>
      </c>
      <c r="E879" t="s">
        <v>74</v>
      </c>
      <c r="F879" t="s">
        <v>15561</v>
      </c>
      <c r="G879" t="s">
        <v>74</v>
      </c>
      <c r="H879" t="s">
        <v>74</v>
      </c>
      <c r="I879" t="s">
        <v>15562</v>
      </c>
      <c r="J879" t="s">
        <v>2862</v>
      </c>
      <c r="K879" t="s">
        <v>74</v>
      </c>
      <c r="L879" t="s">
        <v>74</v>
      </c>
      <c r="M879" t="s">
        <v>78</v>
      </c>
      <c r="N879" t="s">
        <v>79</v>
      </c>
      <c r="O879" t="s">
        <v>74</v>
      </c>
      <c r="P879" t="s">
        <v>74</v>
      </c>
      <c r="Q879" t="s">
        <v>74</v>
      </c>
      <c r="R879" t="s">
        <v>74</v>
      </c>
      <c r="S879" t="s">
        <v>74</v>
      </c>
      <c r="T879" t="s">
        <v>74</v>
      </c>
      <c r="U879" t="s">
        <v>15563</v>
      </c>
      <c r="V879" t="s">
        <v>74</v>
      </c>
      <c r="W879" t="s">
        <v>15564</v>
      </c>
      <c r="X879" t="s">
        <v>15565</v>
      </c>
      <c r="Y879" t="s">
        <v>15566</v>
      </c>
      <c r="Z879" t="s">
        <v>15567</v>
      </c>
      <c r="AA879" t="s">
        <v>74</v>
      </c>
      <c r="AB879" t="s">
        <v>74</v>
      </c>
      <c r="AC879" t="s">
        <v>74</v>
      </c>
      <c r="AD879" t="s">
        <v>74</v>
      </c>
      <c r="AE879" t="s">
        <v>74</v>
      </c>
      <c r="AF879" t="s">
        <v>74</v>
      </c>
      <c r="AG879">
        <v>292</v>
      </c>
      <c r="AH879">
        <v>44</v>
      </c>
      <c r="AI879">
        <v>48</v>
      </c>
      <c r="AJ879">
        <v>1</v>
      </c>
      <c r="AK879">
        <v>32</v>
      </c>
      <c r="AL879" t="s">
        <v>464</v>
      </c>
      <c r="AM879" t="s">
        <v>576</v>
      </c>
      <c r="AN879" t="s">
        <v>577</v>
      </c>
      <c r="AO879" t="s">
        <v>2874</v>
      </c>
      <c r="AP879" t="s">
        <v>2875</v>
      </c>
      <c r="AQ879" t="s">
        <v>74</v>
      </c>
      <c r="AR879" t="s">
        <v>2862</v>
      </c>
      <c r="AS879" t="s">
        <v>2876</v>
      </c>
      <c r="AT879" t="s">
        <v>15251</v>
      </c>
      <c r="AU879">
        <v>2010</v>
      </c>
      <c r="AV879">
        <v>100</v>
      </c>
      <c r="AW879">
        <v>1</v>
      </c>
      <c r="AX879" t="s">
        <v>74</v>
      </c>
      <c r="AY879" t="s">
        <v>74</v>
      </c>
      <c r="AZ879" t="s">
        <v>74</v>
      </c>
      <c r="BA879" t="s">
        <v>74</v>
      </c>
      <c r="BB879">
        <v>173</v>
      </c>
      <c r="BC879">
        <v>194</v>
      </c>
      <c r="BD879" t="s">
        <v>74</v>
      </c>
      <c r="BE879" t="s">
        <v>15568</v>
      </c>
      <c r="BF879" t="str">
        <f>HYPERLINK("http://dx.doi.org/10.1007/s10584-010-9830-9","http://dx.doi.org/10.1007/s10584-010-9830-9")</f>
        <v>http://dx.doi.org/10.1007/s10584-010-9830-9</v>
      </c>
      <c r="BG879" t="s">
        <v>74</v>
      </c>
      <c r="BH879" t="s">
        <v>74</v>
      </c>
      <c r="BI879">
        <v>22</v>
      </c>
      <c r="BJ879" t="s">
        <v>272</v>
      </c>
      <c r="BK879" t="s">
        <v>100</v>
      </c>
      <c r="BL879" t="s">
        <v>273</v>
      </c>
      <c r="BM879" t="s">
        <v>15569</v>
      </c>
      <c r="BN879" t="s">
        <v>74</v>
      </c>
      <c r="BO879" t="s">
        <v>74</v>
      </c>
      <c r="BP879" t="s">
        <v>74</v>
      </c>
      <c r="BQ879" t="s">
        <v>74</v>
      </c>
      <c r="BR879" t="s">
        <v>104</v>
      </c>
      <c r="BS879" t="s">
        <v>15570</v>
      </c>
      <c r="BT879" t="str">
        <f>HYPERLINK("https%3A%2F%2Fwww.webofscience.com%2Fwos%2Fwoscc%2Ffull-record%2FWOS:000277936900021","View Full Record in Web of Science")</f>
        <v>View Full Record in Web of Science</v>
      </c>
    </row>
    <row r="880" spans="1:72" x14ac:dyDescent="0.15">
      <c r="A880" t="s">
        <v>72</v>
      </c>
      <c r="B880" t="s">
        <v>15571</v>
      </c>
      <c r="C880" t="s">
        <v>74</v>
      </c>
      <c r="D880" t="s">
        <v>74</v>
      </c>
      <c r="E880" t="s">
        <v>74</v>
      </c>
      <c r="F880" t="s">
        <v>15572</v>
      </c>
      <c r="G880" t="s">
        <v>74</v>
      </c>
      <c r="H880" t="s">
        <v>74</v>
      </c>
      <c r="I880" t="s">
        <v>15573</v>
      </c>
      <c r="J880" t="s">
        <v>5666</v>
      </c>
      <c r="K880" t="s">
        <v>74</v>
      </c>
      <c r="L880" t="s">
        <v>74</v>
      </c>
      <c r="M880" t="s">
        <v>78</v>
      </c>
      <c r="N880" t="s">
        <v>79</v>
      </c>
      <c r="O880" t="s">
        <v>74</v>
      </c>
      <c r="P880" t="s">
        <v>74</v>
      </c>
      <c r="Q880" t="s">
        <v>74</v>
      </c>
      <c r="R880" t="s">
        <v>74</v>
      </c>
      <c r="S880" t="s">
        <v>74</v>
      </c>
      <c r="T880" t="s">
        <v>15574</v>
      </c>
      <c r="U880" t="s">
        <v>15575</v>
      </c>
      <c r="V880" t="s">
        <v>15576</v>
      </c>
      <c r="W880" t="s">
        <v>15577</v>
      </c>
      <c r="X880" t="s">
        <v>15578</v>
      </c>
      <c r="Y880" t="s">
        <v>15579</v>
      </c>
      <c r="Z880" t="s">
        <v>15580</v>
      </c>
      <c r="AA880" t="s">
        <v>74</v>
      </c>
      <c r="AB880" t="s">
        <v>74</v>
      </c>
      <c r="AC880" t="s">
        <v>15581</v>
      </c>
      <c r="AD880" t="s">
        <v>15582</v>
      </c>
      <c r="AE880" t="s">
        <v>15583</v>
      </c>
      <c r="AF880" t="s">
        <v>74</v>
      </c>
      <c r="AG880">
        <v>35</v>
      </c>
      <c r="AH880">
        <v>15</v>
      </c>
      <c r="AI880">
        <v>15</v>
      </c>
      <c r="AJ880">
        <v>2</v>
      </c>
      <c r="AK880">
        <v>48</v>
      </c>
      <c r="AL880" t="s">
        <v>309</v>
      </c>
      <c r="AM880" t="s">
        <v>310</v>
      </c>
      <c r="AN880" t="s">
        <v>311</v>
      </c>
      <c r="AO880" t="s">
        <v>5673</v>
      </c>
      <c r="AP880" t="s">
        <v>8299</v>
      </c>
      <c r="AQ880" t="s">
        <v>74</v>
      </c>
      <c r="AR880" t="s">
        <v>5674</v>
      </c>
      <c r="AS880" t="s">
        <v>5675</v>
      </c>
      <c r="AT880" t="s">
        <v>15251</v>
      </c>
      <c r="AU880">
        <v>2010</v>
      </c>
      <c r="AV880">
        <v>156</v>
      </c>
      <c r="AW880">
        <v>1</v>
      </c>
      <c r="AX880" t="s">
        <v>74</v>
      </c>
      <c r="AY880" t="s">
        <v>74</v>
      </c>
      <c r="AZ880" t="s">
        <v>74</v>
      </c>
      <c r="BA880" t="s">
        <v>74</v>
      </c>
      <c r="BB880">
        <v>151</v>
      </c>
      <c r="BC880">
        <v>155</v>
      </c>
      <c r="BD880" t="s">
        <v>74</v>
      </c>
      <c r="BE880" t="s">
        <v>15584</v>
      </c>
      <c r="BF880" t="str">
        <f>HYPERLINK("http://dx.doi.org/10.1016/j.cbpa.2010.01.015","http://dx.doi.org/10.1016/j.cbpa.2010.01.015")</f>
        <v>http://dx.doi.org/10.1016/j.cbpa.2010.01.015</v>
      </c>
      <c r="BG880" t="s">
        <v>74</v>
      </c>
      <c r="BH880" t="s">
        <v>74</v>
      </c>
      <c r="BI880">
        <v>5</v>
      </c>
      <c r="BJ880" t="s">
        <v>5678</v>
      </c>
      <c r="BK880" t="s">
        <v>100</v>
      </c>
      <c r="BL880" t="s">
        <v>5678</v>
      </c>
      <c r="BM880" t="s">
        <v>15585</v>
      </c>
      <c r="BN880">
        <v>20116441</v>
      </c>
      <c r="BO880" t="s">
        <v>74</v>
      </c>
      <c r="BP880" t="s">
        <v>74</v>
      </c>
      <c r="BQ880" t="s">
        <v>74</v>
      </c>
      <c r="BR880" t="s">
        <v>104</v>
      </c>
      <c r="BS880" t="s">
        <v>15586</v>
      </c>
      <c r="BT880" t="str">
        <f>HYPERLINK("https%3A%2F%2Fwww.webofscience.com%2Fwos%2Fwoscc%2Ffull-record%2FWOS:000276133500019","View Full Record in Web of Science")</f>
        <v>View Full Record in Web of Science</v>
      </c>
    </row>
    <row r="881" spans="1:72" x14ac:dyDescent="0.15">
      <c r="A881" t="s">
        <v>72</v>
      </c>
      <c r="B881" t="s">
        <v>15587</v>
      </c>
      <c r="C881" t="s">
        <v>74</v>
      </c>
      <c r="D881" t="s">
        <v>74</v>
      </c>
      <c r="E881" t="s">
        <v>74</v>
      </c>
      <c r="F881" t="s">
        <v>15588</v>
      </c>
      <c r="G881" t="s">
        <v>74</v>
      </c>
      <c r="H881" t="s">
        <v>74</v>
      </c>
      <c r="I881" t="s">
        <v>15589</v>
      </c>
      <c r="J881" t="s">
        <v>15590</v>
      </c>
      <c r="K881" t="s">
        <v>74</v>
      </c>
      <c r="L881" t="s">
        <v>74</v>
      </c>
      <c r="M881" t="s">
        <v>78</v>
      </c>
      <c r="N881" t="s">
        <v>79</v>
      </c>
      <c r="O881" t="s">
        <v>74</v>
      </c>
      <c r="P881" t="s">
        <v>74</v>
      </c>
      <c r="Q881" t="s">
        <v>74</v>
      </c>
      <c r="R881" t="s">
        <v>74</v>
      </c>
      <c r="S881" t="s">
        <v>74</v>
      </c>
      <c r="T881" t="s">
        <v>15591</v>
      </c>
      <c r="U881" t="s">
        <v>15592</v>
      </c>
      <c r="V881" t="s">
        <v>15593</v>
      </c>
      <c r="W881" t="s">
        <v>15594</v>
      </c>
      <c r="X881" t="s">
        <v>15595</v>
      </c>
      <c r="Y881" t="s">
        <v>15596</v>
      </c>
      <c r="Z881" t="s">
        <v>1495</v>
      </c>
      <c r="AA881" t="s">
        <v>15597</v>
      </c>
      <c r="AB881" t="s">
        <v>15598</v>
      </c>
      <c r="AC881" t="s">
        <v>15599</v>
      </c>
      <c r="AD881" t="s">
        <v>15599</v>
      </c>
      <c r="AE881" t="s">
        <v>15600</v>
      </c>
      <c r="AF881" t="s">
        <v>74</v>
      </c>
      <c r="AG881">
        <v>48</v>
      </c>
      <c r="AH881">
        <v>22</v>
      </c>
      <c r="AI881">
        <v>31</v>
      </c>
      <c r="AJ881">
        <v>0</v>
      </c>
      <c r="AK881">
        <v>9</v>
      </c>
      <c r="AL881" t="s">
        <v>15601</v>
      </c>
      <c r="AM881" t="s">
        <v>15602</v>
      </c>
      <c r="AN881" t="s">
        <v>15603</v>
      </c>
      <c r="AO881" t="s">
        <v>15604</v>
      </c>
      <c r="AP881" t="s">
        <v>15605</v>
      </c>
      <c r="AQ881" t="s">
        <v>74</v>
      </c>
      <c r="AR881" t="s">
        <v>15606</v>
      </c>
      <c r="AS881" t="s">
        <v>15607</v>
      </c>
      <c r="AT881" t="s">
        <v>15251</v>
      </c>
      <c r="AU881">
        <v>2010</v>
      </c>
      <c r="AV881">
        <v>333</v>
      </c>
      <c r="AW881">
        <v>5</v>
      </c>
      <c r="AX881" t="s">
        <v>74</v>
      </c>
      <c r="AY881" t="s">
        <v>74</v>
      </c>
      <c r="AZ881" t="s">
        <v>74</v>
      </c>
      <c r="BA881" t="s">
        <v>74</v>
      </c>
      <c r="BB881">
        <v>395</v>
      </c>
      <c r="BC881">
        <v>404</v>
      </c>
      <c r="BD881" t="s">
        <v>74</v>
      </c>
      <c r="BE881" t="s">
        <v>15608</v>
      </c>
      <c r="BF881" t="str">
        <f>HYPERLINK("http://dx.doi.org/10.1016/j.crvi.2010.02.002","http://dx.doi.org/10.1016/j.crvi.2010.02.002")</f>
        <v>http://dx.doi.org/10.1016/j.crvi.2010.02.002</v>
      </c>
      <c r="BG881" t="s">
        <v>74</v>
      </c>
      <c r="BH881" t="s">
        <v>74</v>
      </c>
      <c r="BI881">
        <v>10</v>
      </c>
      <c r="BJ881" t="s">
        <v>346</v>
      </c>
      <c r="BK881" t="s">
        <v>100</v>
      </c>
      <c r="BL881" t="s">
        <v>347</v>
      </c>
      <c r="BM881" t="s">
        <v>15609</v>
      </c>
      <c r="BN881">
        <v>20451881</v>
      </c>
      <c r="BO881" t="s">
        <v>631</v>
      </c>
      <c r="BP881" t="s">
        <v>74</v>
      </c>
      <c r="BQ881" t="s">
        <v>74</v>
      </c>
      <c r="BR881" t="s">
        <v>104</v>
      </c>
      <c r="BS881" t="s">
        <v>15610</v>
      </c>
      <c r="BT881" t="str">
        <f>HYPERLINK("https%3A%2F%2Fwww.webofscience.com%2Fwos%2Fwoscc%2Ffull-record%2FWOS:000278603900001","View Full Record in Web of Science")</f>
        <v>View Full Record in Web of Science</v>
      </c>
    </row>
    <row r="882" spans="1:72" x14ac:dyDescent="0.15">
      <c r="A882" t="s">
        <v>72</v>
      </c>
      <c r="B882" t="s">
        <v>15611</v>
      </c>
      <c r="C882" t="s">
        <v>74</v>
      </c>
      <c r="D882" t="s">
        <v>74</v>
      </c>
      <c r="E882" t="s">
        <v>74</v>
      </c>
      <c r="F882" t="s">
        <v>15612</v>
      </c>
      <c r="G882" t="s">
        <v>74</v>
      </c>
      <c r="H882" t="s">
        <v>74</v>
      </c>
      <c r="I882" t="s">
        <v>15613</v>
      </c>
      <c r="J882" t="s">
        <v>15614</v>
      </c>
      <c r="K882" t="s">
        <v>74</v>
      </c>
      <c r="L882" t="s">
        <v>74</v>
      </c>
      <c r="M882" t="s">
        <v>78</v>
      </c>
      <c r="N882" t="s">
        <v>79</v>
      </c>
      <c r="O882" t="s">
        <v>74</v>
      </c>
      <c r="P882" t="s">
        <v>74</v>
      </c>
      <c r="Q882" t="s">
        <v>74</v>
      </c>
      <c r="R882" t="s">
        <v>74</v>
      </c>
      <c r="S882" t="s">
        <v>74</v>
      </c>
      <c r="T882" t="s">
        <v>15615</v>
      </c>
      <c r="U882" t="s">
        <v>15616</v>
      </c>
      <c r="V882" t="s">
        <v>15617</v>
      </c>
      <c r="W882" t="s">
        <v>15618</v>
      </c>
      <c r="X882" t="s">
        <v>6732</v>
      </c>
      <c r="Y882" t="s">
        <v>12615</v>
      </c>
      <c r="Z882" t="s">
        <v>12616</v>
      </c>
      <c r="AA882" t="s">
        <v>15619</v>
      </c>
      <c r="AB882" t="s">
        <v>15620</v>
      </c>
      <c r="AC882" t="s">
        <v>2314</v>
      </c>
      <c r="AD882" t="s">
        <v>2314</v>
      </c>
      <c r="AE882" t="s">
        <v>15621</v>
      </c>
      <c r="AF882" t="s">
        <v>74</v>
      </c>
      <c r="AG882">
        <v>45</v>
      </c>
      <c r="AH882">
        <v>4</v>
      </c>
      <c r="AI882">
        <v>4</v>
      </c>
      <c r="AJ882">
        <v>0</v>
      </c>
      <c r="AK882">
        <v>13</v>
      </c>
      <c r="AL882" t="s">
        <v>15622</v>
      </c>
      <c r="AM882" t="s">
        <v>1598</v>
      </c>
      <c r="AN882" t="s">
        <v>15623</v>
      </c>
      <c r="AO882" t="s">
        <v>15624</v>
      </c>
      <c r="AP882" t="s">
        <v>15625</v>
      </c>
      <c r="AQ882" t="s">
        <v>74</v>
      </c>
      <c r="AR882" t="s">
        <v>15614</v>
      </c>
      <c r="AS882" t="s">
        <v>15626</v>
      </c>
      <c r="AT882" t="s">
        <v>15275</v>
      </c>
      <c r="AU882">
        <v>2010</v>
      </c>
      <c r="AV882">
        <v>31</v>
      </c>
      <c r="AW882">
        <v>3</v>
      </c>
      <c r="AX882" t="s">
        <v>74</v>
      </c>
      <c r="AY882" t="s">
        <v>74</v>
      </c>
      <c r="AZ882" t="s">
        <v>74</v>
      </c>
      <c r="BA882" t="s">
        <v>74</v>
      </c>
      <c r="BB882">
        <v>239</v>
      </c>
      <c r="BC882">
        <v>248</v>
      </c>
      <c r="BD882" t="s">
        <v>74</v>
      </c>
      <c r="BE882" t="s">
        <v>74</v>
      </c>
      <c r="BF882" t="s">
        <v>74</v>
      </c>
      <c r="BG882" t="s">
        <v>74</v>
      </c>
      <c r="BH882" t="s">
        <v>74</v>
      </c>
      <c r="BI882">
        <v>10</v>
      </c>
      <c r="BJ882" t="s">
        <v>8321</v>
      </c>
      <c r="BK882" t="s">
        <v>100</v>
      </c>
      <c r="BL882" t="s">
        <v>8322</v>
      </c>
      <c r="BM882" t="s">
        <v>15627</v>
      </c>
      <c r="BN882">
        <v>20919453</v>
      </c>
      <c r="BO882" t="s">
        <v>74</v>
      </c>
      <c r="BP882" t="s">
        <v>74</v>
      </c>
      <c r="BQ882" t="s">
        <v>74</v>
      </c>
      <c r="BR882" t="s">
        <v>104</v>
      </c>
      <c r="BS882" t="s">
        <v>15628</v>
      </c>
      <c r="BT882" t="str">
        <f>HYPERLINK("https%3A%2F%2Fwww.webofscience.com%2Fwos%2Fwoscc%2Ffull-record%2FWOS:000280463600005","View Full Record in Web of Science")</f>
        <v>View Full Record in Web of Science</v>
      </c>
    </row>
    <row r="883" spans="1:72" x14ac:dyDescent="0.15">
      <c r="A883" t="s">
        <v>72</v>
      </c>
      <c r="B883" t="s">
        <v>15629</v>
      </c>
      <c r="C883" t="s">
        <v>74</v>
      </c>
      <c r="D883" t="s">
        <v>74</v>
      </c>
      <c r="E883" t="s">
        <v>74</v>
      </c>
      <c r="F883" t="s">
        <v>15630</v>
      </c>
      <c r="G883" t="s">
        <v>74</v>
      </c>
      <c r="H883" t="s">
        <v>74</v>
      </c>
      <c r="I883" t="s">
        <v>15631</v>
      </c>
      <c r="J883" t="s">
        <v>5778</v>
      </c>
      <c r="K883" t="s">
        <v>74</v>
      </c>
      <c r="L883" t="s">
        <v>74</v>
      </c>
      <c r="M883" t="s">
        <v>78</v>
      </c>
      <c r="N883" t="s">
        <v>79</v>
      </c>
      <c r="O883" t="s">
        <v>74</v>
      </c>
      <c r="P883" t="s">
        <v>74</v>
      </c>
      <c r="Q883" t="s">
        <v>74</v>
      </c>
      <c r="R883" t="s">
        <v>74</v>
      </c>
      <c r="S883" t="s">
        <v>74</v>
      </c>
      <c r="T883" t="s">
        <v>15632</v>
      </c>
      <c r="U883" t="s">
        <v>15633</v>
      </c>
      <c r="V883" t="s">
        <v>15634</v>
      </c>
      <c r="W883" t="s">
        <v>15635</v>
      </c>
      <c r="X883" t="s">
        <v>15636</v>
      </c>
      <c r="Y883" t="s">
        <v>15637</v>
      </c>
      <c r="Z883" t="s">
        <v>15638</v>
      </c>
      <c r="AA883" t="s">
        <v>15639</v>
      </c>
      <c r="AB883" t="s">
        <v>15640</v>
      </c>
      <c r="AC883" t="s">
        <v>15641</v>
      </c>
      <c r="AD883" t="s">
        <v>15642</v>
      </c>
      <c r="AE883" t="s">
        <v>15643</v>
      </c>
      <c r="AF883" t="s">
        <v>74</v>
      </c>
      <c r="AG883">
        <v>73</v>
      </c>
      <c r="AH883">
        <v>8</v>
      </c>
      <c r="AI883">
        <v>10</v>
      </c>
      <c r="AJ883">
        <v>0</v>
      </c>
      <c r="AK883">
        <v>15</v>
      </c>
      <c r="AL883" t="s">
        <v>264</v>
      </c>
      <c r="AM883" t="s">
        <v>265</v>
      </c>
      <c r="AN883" t="s">
        <v>266</v>
      </c>
      <c r="AO883" t="s">
        <v>5789</v>
      </c>
      <c r="AP883" t="s">
        <v>5790</v>
      </c>
      <c r="AQ883" t="s">
        <v>74</v>
      </c>
      <c r="AR883" t="s">
        <v>5791</v>
      </c>
      <c r="AS883" t="s">
        <v>5792</v>
      </c>
      <c r="AT883" t="s">
        <v>15251</v>
      </c>
      <c r="AU883">
        <v>2010</v>
      </c>
      <c r="AV883">
        <v>57</v>
      </c>
      <c r="AW883">
        <v>5</v>
      </c>
      <c r="AX883" t="s">
        <v>74</v>
      </c>
      <c r="AY883" t="s">
        <v>74</v>
      </c>
      <c r="AZ883" t="s">
        <v>74</v>
      </c>
      <c r="BA883" t="s">
        <v>74</v>
      </c>
      <c r="BB883">
        <v>639</v>
      </c>
      <c r="BC883">
        <v>652</v>
      </c>
      <c r="BD883" t="s">
        <v>74</v>
      </c>
      <c r="BE883" t="s">
        <v>15644</v>
      </c>
      <c r="BF883" t="str">
        <f>HYPERLINK("http://dx.doi.org/10.1016/j.dsr.2010.03.005","http://dx.doi.org/10.1016/j.dsr.2010.03.005")</f>
        <v>http://dx.doi.org/10.1016/j.dsr.2010.03.005</v>
      </c>
      <c r="BG883" t="s">
        <v>74</v>
      </c>
      <c r="BH883" t="s">
        <v>74</v>
      </c>
      <c r="BI883">
        <v>14</v>
      </c>
      <c r="BJ883" t="s">
        <v>1531</v>
      </c>
      <c r="BK883" t="s">
        <v>100</v>
      </c>
      <c r="BL883" t="s">
        <v>1531</v>
      </c>
      <c r="BM883" t="s">
        <v>15645</v>
      </c>
      <c r="BN883" t="s">
        <v>74</v>
      </c>
      <c r="BO883" t="s">
        <v>74</v>
      </c>
      <c r="BP883" t="s">
        <v>74</v>
      </c>
      <c r="BQ883" t="s">
        <v>74</v>
      </c>
      <c r="BR883" t="s">
        <v>104</v>
      </c>
      <c r="BS883" t="s">
        <v>15646</v>
      </c>
      <c r="BT883" t="str">
        <f>HYPERLINK("https%3A%2F%2Fwww.webofscience.com%2Fwos%2Fwoscc%2Ffull-record%2FWOS:000278195500001","View Full Record in Web of Science")</f>
        <v>View Full Record in Web of Science</v>
      </c>
    </row>
    <row r="884" spans="1:72" x14ac:dyDescent="0.15">
      <c r="A884" t="s">
        <v>72</v>
      </c>
      <c r="B884" t="s">
        <v>15647</v>
      </c>
      <c r="C884" t="s">
        <v>74</v>
      </c>
      <c r="D884" t="s">
        <v>74</v>
      </c>
      <c r="E884" t="s">
        <v>74</v>
      </c>
      <c r="F884" t="s">
        <v>15648</v>
      </c>
      <c r="G884" t="s">
        <v>74</v>
      </c>
      <c r="H884" t="s">
        <v>74</v>
      </c>
      <c r="I884" t="s">
        <v>15649</v>
      </c>
      <c r="J884" t="s">
        <v>5778</v>
      </c>
      <c r="K884" t="s">
        <v>74</v>
      </c>
      <c r="L884" t="s">
        <v>74</v>
      </c>
      <c r="M884" t="s">
        <v>78</v>
      </c>
      <c r="N884" t="s">
        <v>79</v>
      </c>
      <c r="O884" t="s">
        <v>74</v>
      </c>
      <c r="P884" t="s">
        <v>74</v>
      </c>
      <c r="Q884" t="s">
        <v>74</v>
      </c>
      <c r="R884" t="s">
        <v>74</v>
      </c>
      <c r="S884" t="s">
        <v>74</v>
      </c>
      <c r="T884" t="s">
        <v>15650</v>
      </c>
      <c r="U884" t="s">
        <v>15651</v>
      </c>
      <c r="V884" t="s">
        <v>15652</v>
      </c>
      <c r="W884" t="s">
        <v>15653</v>
      </c>
      <c r="X884" t="s">
        <v>15654</v>
      </c>
      <c r="Y884" t="s">
        <v>15655</v>
      </c>
      <c r="Z884" t="s">
        <v>15656</v>
      </c>
      <c r="AA884" t="s">
        <v>15657</v>
      </c>
      <c r="AB884" t="s">
        <v>15658</v>
      </c>
      <c r="AC884" t="s">
        <v>15659</v>
      </c>
      <c r="AD884" t="s">
        <v>15660</v>
      </c>
      <c r="AE884" t="s">
        <v>15661</v>
      </c>
      <c r="AF884" t="s">
        <v>74</v>
      </c>
      <c r="AG884">
        <v>56</v>
      </c>
      <c r="AH884">
        <v>19</v>
      </c>
      <c r="AI884">
        <v>19</v>
      </c>
      <c r="AJ884">
        <v>0</v>
      </c>
      <c r="AK884">
        <v>14</v>
      </c>
      <c r="AL884" t="s">
        <v>264</v>
      </c>
      <c r="AM884" t="s">
        <v>265</v>
      </c>
      <c r="AN884" t="s">
        <v>266</v>
      </c>
      <c r="AO884" t="s">
        <v>5789</v>
      </c>
      <c r="AP884" t="s">
        <v>5790</v>
      </c>
      <c r="AQ884" t="s">
        <v>74</v>
      </c>
      <c r="AR884" t="s">
        <v>5791</v>
      </c>
      <c r="AS884" t="s">
        <v>5792</v>
      </c>
      <c r="AT884" t="s">
        <v>15251</v>
      </c>
      <c r="AU884">
        <v>2010</v>
      </c>
      <c r="AV884">
        <v>57</v>
      </c>
      <c r="AW884">
        <v>5</v>
      </c>
      <c r="AX884" t="s">
        <v>74</v>
      </c>
      <c r="AY884" t="s">
        <v>74</v>
      </c>
      <c r="AZ884" t="s">
        <v>74</v>
      </c>
      <c r="BA884" t="s">
        <v>74</v>
      </c>
      <c r="BB884">
        <v>653</v>
      </c>
      <c r="BC884">
        <v>669</v>
      </c>
      <c r="BD884" t="s">
        <v>74</v>
      </c>
      <c r="BE884" t="s">
        <v>15662</v>
      </c>
      <c r="BF884" t="str">
        <f>HYPERLINK("http://dx.doi.org/10.1016/j.dsr.2010.03.001","http://dx.doi.org/10.1016/j.dsr.2010.03.001")</f>
        <v>http://dx.doi.org/10.1016/j.dsr.2010.03.001</v>
      </c>
      <c r="BG884" t="s">
        <v>74</v>
      </c>
      <c r="BH884" t="s">
        <v>74</v>
      </c>
      <c r="BI884">
        <v>17</v>
      </c>
      <c r="BJ884" t="s">
        <v>1531</v>
      </c>
      <c r="BK884" t="s">
        <v>100</v>
      </c>
      <c r="BL884" t="s">
        <v>1531</v>
      </c>
      <c r="BM884" t="s">
        <v>15645</v>
      </c>
      <c r="BN884" t="s">
        <v>74</v>
      </c>
      <c r="BO884" t="s">
        <v>74</v>
      </c>
      <c r="BP884" t="s">
        <v>74</v>
      </c>
      <c r="BQ884" t="s">
        <v>74</v>
      </c>
      <c r="BR884" t="s">
        <v>104</v>
      </c>
      <c r="BS884" t="s">
        <v>15663</v>
      </c>
      <c r="BT884" t="str">
        <f>HYPERLINK("https%3A%2F%2Fwww.webofscience.com%2Fwos%2Fwoscc%2Ffull-record%2FWOS:000278195500002","View Full Record in Web of Science")</f>
        <v>View Full Record in Web of Science</v>
      </c>
    </row>
    <row r="885" spans="1:72" x14ac:dyDescent="0.15">
      <c r="A885" t="s">
        <v>72</v>
      </c>
      <c r="B885" t="s">
        <v>15664</v>
      </c>
      <c r="C885" t="s">
        <v>74</v>
      </c>
      <c r="D885" t="s">
        <v>74</v>
      </c>
      <c r="E885" t="s">
        <v>74</v>
      </c>
      <c r="F885" t="s">
        <v>15665</v>
      </c>
      <c r="G885" t="s">
        <v>74</v>
      </c>
      <c r="H885" t="s">
        <v>74</v>
      </c>
      <c r="I885" t="s">
        <v>15666</v>
      </c>
      <c r="J885" t="s">
        <v>10820</v>
      </c>
      <c r="K885" t="s">
        <v>74</v>
      </c>
      <c r="L885" t="s">
        <v>74</v>
      </c>
      <c r="M885" t="s">
        <v>78</v>
      </c>
      <c r="N885" t="s">
        <v>220</v>
      </c>
      <c r="O885" t="s">
        <v>74</v>
      </c>
      <c r="P885" t="s">
        <v>74</v>
      </c>
      <c r="Q885" t="s">
        <v>74</v>
      </c>
      <c r="R885" t="s">
        <v>74</v>
      </c>
      <c r="S885" t="s">
        <v>74</v>
      </c>
      <c r="T885" t="s">
        <v>74</v>
      </c>
      <c r="U885" t="s">
        <v>15667</v>
      </c>
      <c r="V885" t="s">
        <v>74</v>
      </c>
      <c r="W885" t="s">
        <v>15668</v>
      </c>
      <c r="X885" t="s">
        <v>15669</v>
      </c>
      <c r="Y885" t="s">
        <v>15670</v>
      </c>
      <c r="Z885" t="s">
        <v>13486</v>
      </c>
      <c r="AA885" t="s">
        <v>74</v>
      </c>
      <c r="AB885" t="s">
        <v>74</v>
      </c>
      <c r="AC885" t="s">
        <v>74</v>
      </c>
      <c r="AD885" t="s">
        <v>74</v>
      </c>
      <c r="AE885" t="s">
        <v>74</v>
      </c>
      <c r="AF885" t="s">
        <v>74</v>
      </c>
      <c r="AG885">
        <v>69</v>
      </c>
      <c r="AH885">
        <v>32</v>
      </c>
      <c r="AI885">
        <v>33</v>
      </c>
      <c r="AJ885">
        <v>0</v>
      </c>
      <c r="AK885">
        <v>27</v>
      </c>
      <c r="AL885" t="s">
        <v>264</v>
      </c>
      <c r="AM885" t="s">
        <v>265</v>
      </c>
      <c r="AN885" t="s">
        <v>266</v>
      </c>
      <c r="AO885" t="s">
        <v>10830</v>
      </c>
      <c r="AP885" t="s">
        <v>10831</v>
      </c>
      <c r="AQ885" t="s">
        <v>74</v>
      </c>
      <c r="AR885" t="s">
        <v>10832</v>
      </c>
      <c r="AS885" t="s">
        <v>10833</v>
      </c>
      <c r="AT885" t="s">
        <v>15251</v>
      </c>
      <c r="AU885">
        <v>2010</v>
      </c>
      <c r="AV885">
        <v>57</v>
      </c>
      <c r="AW885" t="s">
        <v>13852</v>
      </c>
      <c r="AX885" t="s">
        <v>74</v>
      </c>
      <c r="AY885" t="s">
        <v>74</v>
      </c>
      <c r="AZ885" t="s">
        <v>582</v>
      </c>
      <c r="BA885" t="s">
        <v>74</v>
      </c>
      <c r="BB885">
        <v>693</v>
      </c>
      <c r="BC885">
        <v>700</v>
      </c>
      <c r="BD885" t="s">
        <v>74</v>
      </c>
      <c r="BE885" t="s">
        <v>15671</v>
      </c>
      <c r="BF885" t="str">
        <f>HYPERLINK("http://dx.doi.org/10.1016/j.dsr2.2009.11.002","http://dx.doi.org/10.1016/j.dsr2.2009.11.002")</f>
        <v>http://dx.doi.org/10.1016/j.dsr2.2009.11.002</v>
      </c>
      <c r="BG885" t="s">
        <v>74</v>
      </c>
      <c r="BH885" t="s">
        <v>74</v>
      </c>
      <c r="BI885">
        <v>8</v>
      </c>
      <c r="BJ885" t="s">
        <v>1531</v>
      </c>
      <c r="BK885" t="s">
        <v>100</v>
      </c>
      <c r="BL885" t="s">
        <v>1531</v>
      </c>
      <c r="BM885" t="s">
        <v>15672</v>
      </c>
      <c r="BN885" t="s">
        <v>74</v>
      </c>
      <c r="BO885" t="s">
        <v>74</v>
      </c>
      <c r="BP885" t="s">
        <v>74</v>
      </c>
      <c r="BQ885" t="s">
        <v>74</v>
      </c>
      <c r="BR885" t="s">
        <v>104</v>
      </c>
      <c r="BS885" t="s">
        <v>15673</v>
      </c>
      <c r="BT885" t="str">
        <f>HYPERLINK("https%3A%2F%2Fwww.webofscience.com%2Fwos%2Fwoscc%2Ffull-record%2FWOS:000278580500001","View Full Record in Web of Science")</f>
        <v>View Full Record in Web of Science</v>
      </c>
    </row>
    <row r="886" spans="1:72" x14ac:dyDescent="0.15">
      <c r="A886" t="s">
        <v>72</v>
      </c>
      <c r="B886" t="s">
        <v>15674</v>
      </c>
      <c r="C886" t="s">
        <v>74</v>
      </c>
      <c r="D886" t="s">
        <v>74</v>
      </c>
      <c r="E886" t="s">
        <v>74</v>
      </c>
      <c r="F886" t="s">
        <v>15675</v>
      </c>
      <c r="G886" t="s">
        <v>74</v>
      </c>
      <c r="H886" t="s">
        <v>74</v>
      </c>
      <c r="I886" t="s">
        <v>15676</v>
      </c>
      <c r="J886" t="s">
        <v>10820</v>
      </c>
      <c r="K886" t="s">
        <v>74</v>
      </c>
      <c r="L886" t="s">
        <v>74</v>
      </c>
      <c r="M886" t="s">
        <v>78</v>
      </c>
      <c r="N886" t="s">
        <v>79</v>
      </c>
      <c r="O886" t="s">
        <v>74</v>
      </c>
      <c r="P886" t="s">
        <v>74</v>
      </c>
      <c r="Q886" t="s">
        <v>74</v>
      </c>
      <c r="R886" t="s">
        <v>74</v>
      </c>
      <c r="S886" t="s">
        <v>74</v>
      </c>
      <c r="T886" t="s">
        <v>15677</v>
      </c>
      <c r="U886" t="s">
        <v>15678</v>
      </c>
      <c r="V886" t="s">
        <v>15679</v>
      </c>
      <c r="W886" t="s">
        <v>15680</v>
      </c>
      <c r="X886" t="s">
        <v>15681</v>
      </c>
      <c r="Y886" t="s">
        <v>15682</v>
      </c>
      <c r="Z886" t="s">
        <v>15683</v>
      </c>
      <c r="AA886" t="s">
        <v>15684</v>
      </c>
      <c r="AB886" t="s">
        <v>15685</v>
      </c>
      <c r="AC886" t="s">
        <v>15686</v>
      </c>
      <c r="AD886" t="s">
        <v>15687</v>
      </c>
      <c r="AE886" t="s">
        <v>15688</v>
      </c>
      <c r="AF886" t="s">
        <v>74</v>
      </c>
      <c r="AG886">
        <v>57</v>
      </c>
      <c r="AH886">
        <v>16</v>
      </c>
      <c r="AI886">
        <v>17</v>
      </c>
      <c r="AJ886">
        <v>2</v>
      </c>
      <c r="AK886">
        <v>37</v>
      </c>
      <c r="AL886" t="s">
        <v>264</v>
      </c>
      <c r="AM886" t="s">
        <v>265</v>
      </c>
      <c r="AN886" t="s">
        <v>266</v>
      </c>
      <c r="AO886" t="s">
        <v>10830</v>
      </c>
      <c r="AP886" t="s">
        <v>10831</v>
      </c>
      <c r="AQ886" t="s">
        <v>74</v>
      </c>
      <c r="AR886" t="s">
        <v>10832</v>
      </c>
      <c r="AS886" t="s">
        <v>10833</v>
      </c>
      <c r="AT886" t="s">
        <v>15251</v>
      </c>
      <c r="AU886">
        <v>2010</v>
      </c>
      <c r="AV886">
        <v>57</v>
      </c>
      <c r="AW886" t="s">
        <v>13852</v>
      </c>
      <c r="AX886" t="s">
        <v>74</v>
      </c>
      <c r="AY886" t="s">
        <v>74</v>
      </c>
      <c r="AZ886" t="s">
        <v>582</v>
      </c>
      <c r="BA886" t="s">
        <v>74</v>
      </c>
      <c r="BB886">
        <v>701</v>
      </c>
      <c r="BC886">
        <v>722</v>
      </c>
      <c r="BD886" t="s">
        <v>74</v>
      </c>
      <c r="BE886" t="s">
        <v>15689</v>
      </c>
      <c r="BF886" t="str">
        <f>HYPERLINK("http://dx.doi.org/10.1016/j.dsr2.2009.06.014","http://dx.doi.org/10.1016/j.dsr2.2009.06.014")</f>
        <v>http://dx.doi.org/10.1016/j.dsr2.2009.06.014</v>
      </c>
      <c r="BG886" t="s">
        <v>74</v>
      </c>
      <c r="BH886" t="s">
        <v>74</v>
      </c>
      <c r="BI886">
        <v>22</v>
      </c>
      <c r="BJ886" t="s">
        <v>1531</v>
      </c>
      <c r="BK886" t="s">
        <v>100</v>
      </c>
      <c r="BL886" t="s">
        <v>1531</v>
      </c>
      <c r="BM886" t="s">
        <v>15672</v>
      </c>
      <c r="BN886" t="s">
        <v>74</v>
      </c>
      <c r="BO886" t="s">
        <v>74</v>
      </c>
      <c r="BP886" t="s">
        <v>74</v>
      </c>
      <c r="BQ886" t="s">
        <v>74</v>
      </c>
      <c r="BR886" t="s">
        <v>104</v>
      </c>
      <c r="BS886" t="s">
        <v>15690</v>
      </c>
      <c r="BT886" t="str">
        <f>HYPERLINK("https%3A%2F%2Fwww.webofscience.com%2Fwos%2Fwoscc%2Ffull-record%2FWOS:000278580500002","View Full Record in Web of Science")</f>
        <v>View Full Record in Web of Science</v>
      </c>
    </row>
    <row r="887" spans="1:72" x14ac:dyDescent="0.15">
      <c r="A887" t="s">
        <v>72</v>
      </c>
      <c r="B887" t="s">
        <v>15691</v>
      </c>
      <c r="C887" t="s">
        <v>74</v>
      </c>
      <c r="D887" t="s">
        <v>74</v>
      </c>
      <c r="E887" t="s">
        <v>74</v>
      </c>
      <c r="F887" t="s">
        <v>15692</v>
      </c>
      <c r="G887" t="s">
        <v>74</v>
      </c>
      <c r="H887" t="s">
        <v>74</v>
      </c>
      <c r="I887" t="s">
        <v>15693</v>
      </c>
      <c r="J887" t="s">
        <v>10820</v>
      </c>
      <c r="K887" t="s">
        <v>74</v>
      </c>
      <c r="L887" t="s">
        <v>74</v>
      </c>
      <c r="M887" t="s">
        <v>78</v>
      </c>
      <c r="N887" t="s">
        <v>79</v>
      </c>
      <c r="O887" t="s">
        <v>74</v>
      </c>
      <c r="P887" t="s">
        <v>74</v>
      </c>
      <c r="Q887" t="s">
        <v>74</v>
      </c>
      <c r="R887" t="s">
        <v>74</v>
      </c>
      <c r="S887" t="s">
        <v>74</v>
      </c>
      <c r="T887" t="s">
        <v>15694</v>
      </c>
      <c r="U887" t="s">
        <v>15695</v>
      </c>
      <c r="V887" t="s">
        <v>15696</v>
      </c>
      <c r="W887" t="s">
        <v>15697</v>
      </c>
      <c r="X887" t="s">
        <v>15698</v>
      </c>
      <c r="Y887" t="s">
        <v>15699</v>
      </c>
      <c r="Z887" t="s">
        <v>15700</v>
      </c>
      <c r="AA887" t="s">
        <v>15701</v>
      </c>
      <c r="AB887" t="s">
        <v>15702</v>
      </c>
      <c r="AC887" t="s">
        <v>15703</v>
      </c>
      <c r="AD887" t="s">
        <v>15704</v>
      </c>
      <c r="AE887" t="s">
        <v>15705</v>
      </c>
      <c r="AF887" t="s">
        <v>74</v>
      </c>
      <c r="AG887">
        <v>38</v>
      </c>
      <c r="AH887">
        <v>83</v>
      </c>
      <c r="AI887">
        <v>96</v>
      </c>
      <c r="AJ887">
        <v>1</v>
      </c>
      <c r="AK887">
        <v>24</v>
      </c>
      <c r="AL887" t="s">
        <v>264</v>
      </c>
      <c r="AM887" t="s">
        <v>265</v>
      </c>
      <c r="AN887" t="s">
        <v>266</v>
      </c>
      <c r="AO887" t="s">
        <v>10830</v>
      </c>
      <c r="AP887" t="s">
        <v>10831</v>
      </c>
      <c r="AQ887" t="s">
        <v>74</v>
      </c>
      <c r="AR887" t="s">
        <v>10832</v>
      </c>
      <c r="AS887" t="s">
        <v>10833</v>
      </c>
      <c r="AT887" t="s">
        <v>15251</v>
      </c>
      <c r="AU887">
        <v>2010</v>
      </c>
      <c r="AV887">
        <v>57</v>
      </c>
      <c r="AW887" t="s">
        <v>13852</v>
      </c>
      <c r="AX887" t="s">
        <v>74</v>
      </c>
      <c r="AY887" t="s">
        <v>74</v>
      </c>
      <c r="AZ887" t="s">
        <v>582</v>
      </c>
      <c r="BA887" t="s">
        <v>74</v>
      </c>
      <c r="BB887">
        <v>723</v>
      </c>
      <c r="BC887">
        <v>737</v>
      </c>
      <c r="BD887" t="s">
        <v>74</v>
      </c>
      <c r="BE887" t="s">
        <v>15706</v>
      </c>
      <c r="BF887" t="str">
        <f>HYPERLINK("http://dx.doi.org/10.1016/j.dsr2.2009.04.019","http://dx.doi.org/10.1016/j.dsr2.2009.04.019")</f>
        <v>http://dx.doi.org/10.1016/j.dsr2.2009.04.019</v>
      </c>
      <c r="BG887" t="s">
        <v>74</v>
      </c>
      <c r="BH887" t="s">
        <v>74</v>
      </c>
      <c r="BI887">
        <v>15</v>
      </c>
      <c r="BJ887" t="s">
        <v>1531</v>
      </c>
      <c r="BK887" t="s">
        <v>100</v>
      </c>
      <c r="BL887" t="s">
        <v>1531</v>
      </c>
      <c r="BM887" t="s">
        <v>15672</v>
      </c>
      <c r="BN887" t="s">
        <v>74</v>
      </c>
      <c r="BO887" t="s">
        <v>74</v>
      </c>
      <c r="BP887" t="s">
        <v>74</v>
      </c>
      <c r="BQ887" t="s">
        <v>74</v>
      </c>
      <c r="BR887" t="s">
        <v>104</v>
      </c>
      <c r="BS887" t="s">
        <v>15707</v>
      </c>
      <c r="BT887" t="str">
        <f>HYPERLINK("https%3A%2F%2Fwww.webofscience.com%2Fwos%2Fwoscc%2Ffull-record%2FWOS:000278580500003","View Full Record in Web of Science")</f>
        <v>View Full Record in Web of Science</v>
      </c>
    </row>
    <row r="888" spans="1:72" x14ac:dyDescent="0.15">
      <c r="A888" t="s">
        <v>72</v>
      </c>
      <c r="B888" t="s">
        <v>15708</v>
      </c>
      <c r="C888" t="s">
        <v>74</v>
      </c>
      <c r="D888" t="s">
        <v>74</v>
      </c>
      <c r="E888" t="s">
        <v>74</v>
      </c>
      <c r="F888" t="s">
        <v>15709</v>
      </c>
      <c r="G888" t="s">
        <v>74</v>
      </c>
      <c r="H888" t="s">
        <v>74</v>
      </c>
      <c r="I888" t="s">
        <v>15710</v>
      </c>
      <c r="J888" t="s">
        <v>10820</v>
      </c>
      <c r="K888" t="s">
        <v>74</v>
      </c>
      <c r="L888" t="s">
        <v>74</v>
      </c>
      <c r="M888" t="s">
        <v>78</v>
      </c>
      <c r="N888" t="s">
        <v>79</v>
      </c>
      <c r="O888" t="s">
        <v>74</v>
      </c>
      <c r="P888" t="s">
        <v>74</v>
      </c>
      <c r="Q888" t="s">
        <v>74</v>
      </c>
      <c r="R888" t="s">
        <v>74</v>
      </c>
      <c r="S888" t="s">
        <v>74</v>
      </c>
      <c r="T888" t="s">
        <v>15711</v>
      </c>
      <c r="U888" t="s">
        <v>15712</v>
      </c>
      <c r="V888" t="s">
        <v>15713</v>
      </c>
      <c r="W888" t="s">
        <v>15714</v>
      </c>
      <c r="X888" t="s">
        <v>15715</v>
      </c>
      <c r="Y888" t="s">
        <v>15716</v>
      </c>
      <c r="Z888" t="s">
        <v>15717</v>
      </c>
      <c r="AA888" t="s">
        <v>15718</v>
      </c>
      <c r="AB888" t="s">
        <v>15719</v>
      </c>
      <c r="AC888" t="s">
        <v>15720</v>
      </c>
      <c r="AD888" t="s">
        <v>15721</v>
      </c>
      <c r="AE888" t="s">
        <v>15722</v>
      </c>
      <c r="AF888" t="s">
        <v>74</v>
      </c>
      <c r="AG888">
        <v>64</v>
      </c>
      <c r="AH888">
        <v>66</v>
      </c>
      <c r="AI888">
        <v>75</v>
      </c>
      <c r="AJ888">
        <v>1</v>
      </c>
      <c r="AK888">
        <v>38</v>
      </c>
      <c r="AL888" t="s">
        <v>264</v>
      </c>
      <c r="AM888" t="s">
        <v>265</v>
      </c>
      <c r="AN888" t="s">
        <v>266</v>
      </c>
      <c r="AO888" t="s">
        <v>10830</v>
      </c>
      <c r="AP888" t="s">
        <v>74</v>
      </c>
      <c r="AQ888" t="s">
        <v>74</v>
      </c>
      <c r="AR888" t="s">
        <v>10832</v>
      </c>
      <c r="AS888" t="s">
        <v>10833</v>
      </c>
      <c r="AT888" t="s">
        <v>15251</v>
      </c>
      <c r="AU888">
        <v>2010</v>
      </c>
      <c r="AV888">
        <v>57</v>
      </c>
      <c r="AW888" t="s">
        <v>13852</v>
      </c>
      <c r="AX888" t="s">
        <v>74</v>
      </c>
      <c r="AY888" t="s">
        <v>74</v>
      </c>
      <c r="AZ888" t="s">
        <v>582</v>
      </c>
      <c r="BA888" t="s">
        <v>74</v>
      </c>
      <c r="BB888">
        <v>738</v>
      </c>
      <c r="BC888">
        <v>757</v>
      </c>
      <c r="BD888" t="s">
        <v>74</v>
      </c>
      <c r="BE888" t="s">
        <v>15723</v>
      </c>
      <c r="BF888" t="str">
        <f>HYPERLINK("http://dx.doi.org/10.1016/j.dsr2.2009.04.020","http://dx.doi.org/10.1016/j.dsr2.2009.04.020")</f>
        <v>http://dx.doi.org/10.1016/j.dsr2.2009.04.020</v>
      </c>
      <c r="BG888" t="s">
        <v>74</v>
      </c>
      <c r="BH888" t="s">
        <v>74</v>
      </c>
      <c r="BI888">
        <v>20</v>
      </c>
      <c r="BJ888" t="s">
        <v>1531</v>
      </c>
      <c r="BK888" t="s">
        <v>100</v>
      </c>
      <c r="BL888" t="s">
        <v>1531</v>
      </c>
      <c r="BM888" t="s">
        <v>15672</v>
      </c>
      <c r="BN888" t="s">
        <v>74</v>
      </c>
      <c r="BO888" t="s">
        <v>74</v>
      </c>
      <c r="BP888" t="s">
        <v>74</v>
      </c>
      <c r="BQ888" t="s">
        <v>74</v>
      </c>
      <c r="BR888" t="s">
        <v>104</v>
      </c>
      <c r="BS888" t="s">
        <v>15724</v>
      </c>
      <c r="BT888" t="str">
        <f>HYPERLINK("https%3A%2F%2Fwww.webofscience.com%2Fwos%2Fwoscc%2Ffull-record%2FWOS:000278580500004","View Full Record in Web of Science")</f>
        <v>View Full Record in Web of Science</v>
      </c>
    </row>
    <row r="889" spans="1:72" x14ac:dyDescent="0.15">
      <c r="A889" t="s">
        <v>72</v>
      </c>
      <c r="B889" t="s">
        <v>15725</v>
      </c>
      <c r="C889" t="s">
        <v>74</v>
      </c>
      <c r="D889" t="s">
        <v>74</v>
      </c>
      <c r="E889" t="s">
        <v>74</v>
      </c>
      <c r="F889" t="s">
        <v>15726</v>
      </c>
      <c r="G889" t="s">
        <v>74</v>
      </c>
      <c r="H889" t="s">
        <v>74</v>
      </c>
      <c r="I889" t="s">
        <v>15727</v>
      </c>
      <c r="J889" t="s">
        <v>10820</v>
      </c>
      <c r="K889" t="s">
        <v>74</v>
      </c>
      <c r="L889" t="s">
        <v>74</v>
      </c>
      <c r="M889" t="s">
        <v>78</v>
      </c>
      <c r="N889" t="s">
        <v>79</v>
      </c>
      <c r="O889" t="s">
        <v>74</v>
      </c>
      <c r="P889" t="s">
        <v>74</v>
      </c>
      <c r="Q889" t="s">
        <v>74</v>
      </c>
      <c r="R889" t="s">
        <v>74</v>
      </c>
      <c r="S889" t="s">
        <v>74</v>
      </c>
      <c r="T889" t="s">
        <v>15728</v>
      </c>
      <c r="U889" t="s">
        <v>15729</v>
      </c>
      <c r="V889" t="s">
        <v>15730</v>
      </c>
      <c r="W889" t="s">
        <v>15731</v>
      </c>
      <c r="X889" t="s">
        <v>15732</v>
      </c>
      <c r="Y889" t="s">
        <v>15733</v>
      </c>
      <c r="Z889" t="s">
        <v>15734</v>
      </c>
      <c r="AA889" t="s">
        <v>74</v>
      </c>
      <c r="AB889" t="s">
        <v>15735</v>
      </c>
      <c r="AC889" t="s">
        <v>15736</v>
      </c>
      <c r="AD889" t="s">
        <v>15737</v>
      </c>
      <c r="AE889" t="s">
        <v>15738</v>
      </c>
      <c r="AF889" t="s">
        <v>74</v>
      </c>
      <c r="AG889">
        <v>82</v>
      </c>
      <c r="AH889">
        <v>187</v>
      </c>
      <c r="AI889">
        <v>204</v>
      </c>
      <c r="AJ889">
        <v>3</v>
      </c>
      <c r="AK889">
        <v>95</v>
      </c>
      <c r="AL889" t="s">
        <v>264</v>
      </c>
      <c r="AM889" t="s">
        <v>265</v>
      </c>
      <c r="AN889" t="s">
        <v>266</v>
      </c>
      <c r="AO889" t="s">
        <v>10830</v>
      </c>
      <c r="AP889" t="s">
        <v>10831</v>
      </c>
      <c r="AQ889" t="s">
        <v>74</v>
      </c>
      <c r="AR889" t="s">
        <v>10832</v>
      </c>
      <c r="AS889" t="s">
        <v>10833</v>
      </c>
      <c r="AT889" t="s">
        <v>15251</v>
      </c>
      <c r="AU889">
        <v>2010</v>
      </c>
      <c r="AV889">
        <v>57</v>
      </c>
      <c r="AW889" t="s">
        <v>13852</v>
      </c>
      <c r="AX889" t="s">
        <v>74</v>
      </c>
      <c r="AY889" t="s">
        <v>74</v>
      </c>
      <c r="AZ889" t="s">
        <v>582</v>
      </c>
      <c r="BA889" t="s">
        <v>74</v>
      </c>
      <c r="BB889">
        <v>758</v>
      </c>
      <c r="BC889">
        <v>778</v>
      </c>
      <c r="BD889" t="s">
        <v>74</v>
      </c>
      <c r="BE889" t="s">
        <v>15739</v>
      </c>
      <c r="BF889" t="str">
        <f>HYPERLINK("http://dx.doi.org/10.1016/j.dsr2.2009.06.015","http://dx.doi.org/10.1016/j.dsr2.2009.06.015")</f>
        <v>http://dx.doi.org/10.1016/j.dsr2.2009.06.015</v>
      </c>
      <c r="BG889" t="s">
        <v>74</v>
      </c>
      <c r="BH889" t="s">
        <v>74</v>
      </c>
      <c r="BI889">
        <v>21</v>
      </c>
      <c r="BJ889" t="s">
        <v>1531</v>
      </c>
      <c r="BK889" t="s">
        <v>100</v>
      </c>
      <c r="BL889" t="s">
        <v>1531</v>
      </c>
      <c r="BM889" t="s">
        <v>15672</v>
      </c>
      <c r="BN889" t="s">
        <v>74</v>
      </c>
      <c r="BO889" t="s">
        <v>74</v>
      </c>
      <c r="BP889" t="s">
        <v>74</v>
      </c>
      <c r="BQ889" t="s">
        <v>74</v>
      </c>
      <c r="BR889" t="s">
        <v>104</v>
      </c>
      <c r="BS889" t="s">
        <v>15740</v>
      </c>
      <c r="BT889" t="str">
        <f>HYPERLINK("https%3A%2F%2Fwww.webofscience.com%2Fwos%2Fwoscc%2Ffull-record%2FWOS:000278580500005","View Full Record in Web of Science")</f>
        <v>View Full Record in Web of Science</v>
      </c>
    </row>
    <row r="890" spans="1:72" x14ac:dyDescent="0.15">
      <c r="A890" t="s">
        <v>72</v>
      </c>
      <c r="B890" t="s">
        <v>15741</v>
      </c>
      <c r="C890" t="s">
        <v>74</v>
      </c>
      <c r="D890" t="s">
        <v>74</v>
      </c>
      <c r="E890" t="s">
        <v>74</v>
      </c>
      <c r="F890" t="s">
        <v>15742</v>
      </c>
      <c r="G890" t="s">
        <v>74</v>
      </c>
      <c r="H890" t="s">
        <v>74</v>
      </c>
      <c r="I890" t="s">
        <v>15743</v>
      </c>
      <c r="J890" t="s">
        <v>10820</v>
      </c>
      <c r="K890" t="s">
        <v>74</v>
      </c>
      <c r="L890" t="s">
        <v>74</v>
      </c>
      <c r="M890" t="s">
        <v>78</v>
      </c>
      <c r="N890" t="s">
        <v>79</v>
      </c>
      <c r="O890" t="s">
        <v>74</v>
      </c>
      <c r="P890" t="s">
        <v>74</v>
      </c>
      <c r="Q890" t="s">
        <v>74</v>
      </c>
      <c r="R890" t="s">
        <v>74</v>
      </c>
      <c r="S890" t="s">
        <v>74</v>
      </c>
      <c r="T890" t="s">
        <v>15744</v>
      </c>
      <c r="U890" t="s">
        <v>15745</v>
      </c>
      <c r="V890" t="s">
        <v>15746</v>
      </c>
      <c r="W890" t="s">
        <v>15747</v>
      </c>
      <c r="X890" t="s">
        <v>15748</v>
      </c>
      <c r="Y890" t="s">
        <v>15749</v>
      </c>
      <c r="Z890" t="s">
        <v>15750</v>
      </c>
      <c r="AA890" t="s">
        <v>15751</v>
      </c>
      <c r="AB890" t="s">
        <v>15752</v>
      </c>
      <c r="AC890" t="s">
        <v>15753</v>
      </c>
      <c r="AD890" t="s">
        <v>15754</v>
      </c>
      <c r="AE890" t="s">
        <v>15755</v>
      </c>
      <c r="AF890" t="s">
        <v>74</v>
      </c>
      <c r="AG890">
        <v>71</v>
      </c>
      <c r="AH890">
        <v>14</v>
      </c>
      <c r="AI890">
        <v>18</v>
      </c>
      <c r="AJ890">
        <v>1</v>
      </c>
      <c r="AK890">
        <v>23</v>
      </c>
      <c r="AL890" t="s">
        <v>264</v>
      </c>
      <c r="AM890" t="s">
        <v>265</v>
      </c>
      <c r="AN890" t="s">
        <v>266</v>
      </c>
      <c r="AO890" t="s">
        <v>10830</v>
      </c>
      <c r="AP890" t="s">
        <v>74</v>
      </c>
      <c r="AQ890" t="s">
        <v>74</v>
      </c>
      <c r="AR890" t="s">
        <v>10832</v>
      </c>
      <c r="AS890" t="s">
        <v>10833</v>
      </c>
      <c r="AT890" t="s">
        <v>15251</v>
      </c>
      <c r="AU890">
        <v>2010</v>
      </c>
      <c r="AV890">
        <v>57</v>
      </c>
      <c r="AW890" t="s">
        <v>13852</v>
      </c>
      <c r="AX890" t="s">
        <v>74</v>
      </c>
      <c r="AY890" t="s">
        <v>74</v>
      </c>
      <c r="AZ890" t="s">
        <v>582</v>
      </c>
      <c r="BA890" t="s">
        <v>74</v>
      </c>
      <c r="BB890">
        <v>779</v>
      </c>
      <c r="BC890">
        <v>793</v>
      </c>
      <c r="BD890" t="s">
        <v>74</v>
      </c>
      <c r="BE890" t="s">
        <v>15756</v>
      </c>
      <c r="BF890" t="str">
        <f>HYPERLINK("http://dx.doi.org/10.1016/j.dsr2.2008.12.040","http://dx.doi.org/10.1016/j.dsr2.2008.12.040")</f>
        <v>http://dx.doi.org/10.1016/j.dsr2.2008.12.040</v>
      </c>
      <c r="BG890" t="s">
        <v>74</v>
      </c>
      <c r="BH890" t="s">
        <v>74</v>
      </c>
      <c r="BI890">
        <v>15</v>
      </c>
      <c r="BJ890" t="s">
        <v>1531</v>
      </c>
      <c r="BK890" t="s">
        <v>100</v>
      </c>
      <c r="BL890" t="s">
        <v>1531</v>
      </c>
      <c r="BM890" t="s">
        <v>15672</v>
      </c>
      <c r="BN890" t="s">
        <v>74</v>
      </c>
      <c r="BO890" t="s">
        <v>74</v>
      </c>
      <c r="BP890" t="s">
        <v>74</v>
      </c>
      <c r="BQ890" t="s">
        <v>74</v>
      </c>
      <c r="BR890" t="s">
        <v>104</v>
      </c>
      <c r="BS890" t="s">
        <v>15757</v>
      </c>
      <c r="BT890" t="str">
        <f>HYPERLINK("https%3A%2F%2Fwww.webofscience.com%2Fwos%2Fwoscc%2Ffull-record%2FWOS:000278580500006","View Full Record in Web of Science")</f>
        <v>View Full Record in Web of Science</v>
      </c>
    </row>
    <row r="891" spans="1:72" x14ac:dyDescent="0.15">
      <c r="A891" t="s">
        <v>72</v>
      </c>
      <c r="B891" t="s">
        <v>15758</v>
      </c>
      <c r="C891" t="s">
        <v>74</v>
      </c>
      <c r="D891" t="s">
        <v>74</v>
      </c>
      <c r="E891" t="s">
        <v>74</v>
      </c>
      <c r="F891" t="s">
        <v>15759</v>
      </c>
      <c r="G891" t="s">
        <v>74</v>
      </c>
      <c r="H891" t="s">
        <v>74</v>
      </c>
      <c r="I891" t="s">
        <v>15760</v>
      </c>
      <c r="J891" t="s">
        <v>10820</v>
      </c>
      <c r="K891" t="s">
        <v>74</v>
      </c>
      <c r="L891" t="s">
        <v>74</v>
      </c>
      <c r="M891" t="s">
        <v>78</v>
      </c>
      <c r="N891" t="s">
        <v>79</v>
      </c>
      <c r="O891" t="s">
        <v>74</v>
      </c>
      <c r="P891" t="s">
        <v>74</v>
      </c>
      <c r="Q891" t="s">
        <v>74</v>
      </c>
      <c r="R891" t="s">
        <v>74</v>
      </c>
      <c r="S891" t="s">
        <v>74</v>
      </c>
      <c r="T891" t="s">
        <v>15761</v>
      </c>
      <c r="U891" t="s">
        <v>15762</v>
      </c>
      <c r="V891" t="s">
        <v>15763</v>
      </c>
      <c r="W891" t="s">
        <v>15764</v>
      </c>
      <c r="X891" t="s">
        <v>15765</v>
      </c>
      <c r="Y891" t="s">
        <v>15766</v>
      </c>
      <c r="Z891" t="s">
        <v>15767</v>
      </c>
      <c r="AA891" t="s">
        <v>74</v>
      </c>
      <c r="AB891" t="s">
        <v>15735</v>
      </c>
      <c r="AC891" t="s">
        <v>15768</v>
      </c>
      <c r="AD891" t="s">
        <v>15769</v>
      </c>
      <c r="AE891" t="s">
        <v>15770</v>
      </c>
      <c r="AF891" t="s">
        <v>74</v>
      </c>
      <c r="AG891">
        <v>93</v>
      </c>
      <c r="AH891">
        <v>35</v>
      </c>
      <c r="AI891">
        <v>39</v>
      </c>
      <c r="AJ891">
        <v>2</v>
      </c>
      <c r="AK891">
        <v>21</v>
      </c>
      <c r="AL891" t="s">
        <v>264</v>
      </c>
      <c r="AM891" t="s">
        <v>265</v>
      </c>
      <c r="AN891" t="s">
        <v>266</v>
      </c>
      <c r="AO891" t="s">
        <v>10830</v>
      </c>
      <c r="AP891" t="s">
        <v>10831</v>
      </c>
      <c r="AQ891" t="s">
        <v>74</v>
      </c>
      <c r="AR891" t="s">
        <v>10832</v>
      </c>
      <c r="AS891" t="s">
        <v>10833</v>
      </c>
      <c r="AT891" t="s">
        <v>15251</v>
      </c>
      <c r="AU891">
        <v>2010</v>
      </c>
      <c r="AV891">
        <v>57</v>
      </c>
      <c r="AW891" t="s">
        <v>13852</v>
      </c>
      <c r="AX891" t="s">
        <v>74</v>
      </c>
      <c r="AY891" t="s">
        <v>74</v>
      </c>
      <c r="AZ891" t="s">
        <v>582</v>
      </c>
      <c r="BA891" t="s">
        <v>74</v>
      </c>
      <c r="BB891">
        <v>794</v>
      </c>
      <c r="BC891">
        <v>814</v>
      </c>
      <c r="BD891" t="s">
        <v>74</v>
      </c>
      <c r="BE891" t="s">
        <v>15771</v>
      </c>
      <c r="BF891" t="str">
        <f>HYPERLINK("http://dx.doi.org/10.1016/j.dsr2.2008.08.020","http://dx.doi.org/10.1016/j.dsr2.2008.08.020")</f>
        <v>http://dx.doi.org/10.1016/j.dsr2.2008.08.020</v>
      </c>
      <c r="BG891" t="s">
        <v>74</v>
      </c>
      <c r="BH891" t="s">
        <v>74</v>
      </c>
      <c r="BI891">
        <v>21</v>
      </c>
      <c r="BJ891" t="s">
        <v>1531</v>
      </c>
      <c r="BK891" t="s">
        <v>100</v>
      </c>
      <c r="BL891" t="s">
        <v>1531</v>
      </c>
      <c r="BM891" t="s">
        <v>15672</v>
      </c>
      <c r="BN891" t="s">
        <v>74</v>
      </c>
      <c r="BO891" t="s">
        <v>74</v>
      </c>
      <c r="BP891" t="s">
        <v>74</v>
      </c>
      <c r="BQ891" t="s">
        <v>74</v>
      </c>
      <c r="BR891" t="s">
        <v>104</v>
      </c>
      <c r="BS891" t="s">
        <v>15772</v>
      </c>
      <c r="BT891" t="str">
        <f>HYPERLINK("https%3A%2F%2Fwww.webofscience.com%2Fwos%2Fwoscc%2Ffull-record%2FWOS:000278580500007","View Full Record in Web of Science")</f>
        <v>View Full Record in Web of Science</v>
      </c>
    </row>
    <row r="892" spans="1:72" x14ac:dyDescent="0.15">
      <c r="A892" t="s">
        <v>72</v>
      </c>
      <c r="B892" t="s">
        <v>15773</v>
      </c>
      <c r="C892" t="s">
        <v>74</v>
      </c>
      <c r="D892" t="s">
        <v>74</v>
      </c>
      <c r="E892" t="s">
        <v>74</v>
      </c>
      <c r="F892" t="s">
        <v>15774</v>
      </c>
      <c r="G892" t="s">
        <v>74</v>
      </c>
      <c r="H892" t="s">
        <v>74</v>
      </c>
      <c r="I892" t="s">
        <v>15775</v>
      </c>
      <c r="J892" t="s">
        <v>10820</v>
      </c>
      <c r="K892" t="s">
        <v>74</v>
      </c>
      <c r="L892" t="s">
        <v>74</v>
      </c>
      <c r="M892" t="s">
        <v>78</v>
      </c>
      <c r="N892" t="s">
        <v>79</v>
      </c>
      <c r="O892" t="s">
        <v>74</v>
      </c>
      <c r="P892" t="s">
        <v>74</v>
      </c>
      <c r="Q892" t="s">
        <v>74</v>
      </c>
      <c r="R892" t="s">
        <v>74</v>
      </c>
      <c r="S892" t="s">
        <v>74</v>
      </c>
      <c r="T892" t="s">
        <v>15776</v>
      </c>
      <c r="U892" t="s">
        <v>15777</v>
      </c>
      <c r="V892" t="s">
        <v>15778</v>
      </c>
      <c r="W892" t="s">
        <v>15779</v>
      </c>
      <c r="X892" t="s">
        <v>15780</v>
      </c>
      <c r="Y892" t="s">
        <v>15781</v>
      </c>
      <c r="Z892" t="s">
        <v>15782</v>
      </c>
      <c r="AA892" t="s">
        <v>74</v>
      </c>
      <c r="AB892" t="s">
        <v>15783</v>
      </c>
      <c r="AC892" t="s">
        <v>15784</v>
      </c>
      <c r="AD892" t="s">
        <v>15785</v>
      </c>
      <c r="AE892" t="s">
        <v>15786</v>
      </c>
      <c r="AF892" t="s">
        <v>74</v>
      </c>
      <c r="AG892">
        <v>76</v>
      </c>
      <c r="AH892">
        <v>31</v>
      </c>
      <c r="AI892">
        <v>32</v>
      </c>
      <c r="AJ892">
        <v>0</v>
      </c>
      <c r="AK892">
        <v>41</v>
      </c>
      <c r="AL892" t="s">
        <v>264</v>
      </c>
      <c r="AM892" t="s">
        <v>265</v>
      </c>
      <c r="AN892" t="s">
        <v>266</v>
      </c>
      <c r="AO892" t="s">
        <v>10830</v>
      </c>
      <c r="AP892" t="s">
        <v>10831</v>
      </c>
      <c r="AQ892" t="s">
        <v>74</v>
      </c>
      <c r="AR892" t="s">
        <v>10832</v>
      </c>
      <c r="AS892" t="s">
        <v>10833</v>
      </c>
      <c r="AT892" t="s">
        <v>15251</v>
      </c>
      <c r="AU892">
        <v>2010</v>
      </c>
      <c r="AV892">
        <v>57</v>
      </c>
      <c r="AW892" t="s">
        <v>13852</v>
      </c>
      <c r="AX892" t="s">
        <v>74</v>
      </c>
      <c r="AY892" t="s">
        <v>74</v>
      </c>
      <c r="AZ892" t="s">
        <v>582</v>
      </c>
      <c r="BA892" t="s">
        <v>74</v>
      </c>
      <c r="BB892">
        <v>815</v>
      </c>
      <c r="BC892">
        <v>827</v>
      </c>
      <c r="BD892" t="s">
        <v>74</v>
      </c>
      <c r="BE892" t="s">
        <v>15787</v>
      </c>
      <c r="BF892" t="str">
        <f>HYPERLINK("http://dx.doi.org/10.1016/j.dsr2.2008.10.040","http://dx.doi.org/10.1016/j.dsr2.2008.10.040")</f>
        <v>http://dx.doi.org/10.1016/j.dsr2.2008.10.040</v>
      </c>
      <c r="BG892" t="s">
        <v>74</v>
      </c>
      <c r="BH892" t="s">
        <v>74</v>
      </c>
      <c r="BI892">
        <v>13</v>
      </c>
      <c r="BJ892" t="s">
        <v>1531</v>
      </c>
      <c r="BK892" t="s">
        <v>100</v>
      </c>
      <c r="BL892" t="s">
        <v>1531</v>
      </c>
      <c r="BM892" t="s">
        <v>15672</v>
      </c>
      <c r="BN892" t="s">
        <v>74</v>
      </c>
      <c r="BO892" t="s">
        <v>74</v>
      </c>
      <c r="BP892" t="s">
        <v>74</v>
      </c>
      <c r="BQ892" t="s">
        <v>74</v>
      </c>
      <c r="BR892" t="s">
        <v>104</v>
      </c>
      <c r="BS892" t="s">
        <v>15788</v>
      </c>
      <c r="BT892" t="str">
        <f>HYPERLINK("https%3A%2F%2Fwww.webofscience.com%2Fwos%2Fwoscc%2Ffull-record%2FWOS:000278580500008","View Full Record in Web of Science")</f>
        <v>View Full Record in Web of Science</v>
      </c>
    </row>
    <row r="893" spans="1:72" x14ac:dyDescent="0.15">
      <c r="A893" t="s">
        <v>72</v>
      </c>
      <c r="B893" t="s">
        <v>15789</v>
      </c>
      <c r="C893" t="s">
        <v>74</v>
      </c>
      <c r="D893" t="s">
        <v>74</v>
      </c>
      <c r="E893" t="s">
        <v>74</v>
      </c>
      <c r="F893" t="s">
        <v>15790</v>
      </c>
      <c r="G893" t="s">
        <v>74</v>
      </c>
      <c r="H893" t="s">
        <v>74</v>
      </c>
      <c r="I893" t="s">
        <v>15791</v>
      </c>
      <c r="J893" t="s">
        <v>10820</v>
      </c>
      <c r="K893" t="s">
        <v>74</v>
      </c>
      <c r="L893" t="s">
        <v>74</v>
      </c>
      <c r="M893" t="s">
        <v>78</v>
      </c>
      <c r="N893" t="s">
        <v>79</v>
      </c>
      <c r="O893" t="s">
        <v>74</v>
      </c>
      <c r="P893" t="s">
        <v>74</v>
      </c>
      <c r="Q893" t="s">
        <v>74</v>
      </c>
      <c r="R893" t="s">
        <v>74</v>
      </c>
      <c r="S893" t="s">
        <v>74</v>
      </c>
      <c r="T893" t="s">
        <v>15792</v>
      </c>
      <c r="U893" t="s">
        <v>15793</v>
      </c>
      <c r="V893" t="s">
        <v>15794</v>
      </c>
      <c r="W893" t="s">
        <v>15795</v>
      </c>
      <c r="X893" t="s">
        <v>15796</v>
      </c>
      <c r="Y893" t="s">
        <v>15797</v>
      </c>
      <c r="Z893" t="s">
        <v>15798</v>
      </c>
      <c r="AA893" t="s">
        <v>74</v>
      </c>
      <c r="AB893" t="s">
        <v>74</v>
      </c>
      <c r="AC893" t="s">
        <v>15799</v>
      </c>
      <c r="AD893" t="s">
        <v>15800</v>
      </c>
      <c r="AE893" t="s">
        <v>15801</v>
      </c>
      <c r="AF893" t="s">
        <v>74</v>
      </c>
      <c r="AG893">
        <v>101</v>
      </c>
      <c r="AH893">
        <v>37</v>
      </c>
      <c r="AI893">
        <v>40</v>
      </c>
      <c r="AJ893">
        <v>1</v>
      </c>
      <c r="AK893">
        <v>45</v>
      </c>
      <c r="AL893" t="s">
        <v>264</v>
      </c>
      <c r="AM893" t="s">
        <v>265</v>
      </c>
      <c r="AN893" t="s">
        <v>266</v>
      </c>
      <c r="AO893" t="s">
        <v>10830</v>
      </c>
      <c r="AP893" t="s">
        <v>10831</v>
      </c>
      <c r="AQ893" t="s">
        <v>74</v>
      </c>
      <c r="AR893" t="s">
        <v>10832</v>
      </c>
      <c r="AS893" t="s">
        <v>10833</v>
      </c>
      <c r="AT893" t="s">
        <v>15251</v>
      </c>
      <c r="AU893">
        <v>2010</v>
      </c>
      <c r="AV893">
        <v>57</v>
      </c>
      <c r="AW893" t="s">
        <v>13852</v>
      </c>
      <c r="AX893" t="s">
        <v>74</v>
      </c>
      <c r="AY893" t="s">
        <v>74</v>
      </c>
      <c r="AZ893" t="s">
        <v>582</v>
      </c>
      <c r="BA893" t="s">
        <v>74</v>
      </c>
      <c r="BB893">
        <v>828</v>
      </c>
      <c r="BC893">
        <v>848</v>
      </c>
      <c r="BD893" t="s">
        <v>74</v>
      </c>
      <c r="BE893" t="s">
        <v>15802</v>
      </c>
      <c r="BF893" t="str">
        <f>HYPERLINK("http://dx.doi.org/10.1016/j.dsr2.2009.02.011","http://dx.doi.org/10.1016/j.dsr2.2009.02.011")</f>
        <v>http://dx.doi.org/10.1016/j.dsr2.2009.02.011</v>
      </c>
      <c r="BG893" t="s">
        <v>74</v>
      </c>
      <c r="BH893" t="s">
        <v>74</v>
      </c>
      <c r="BI893">
        <v>21</v>
      </c>
      <c r="BJ893" t="s">
        <v>1531</v>
      </c>
      <c r="BK893" t="s">
        <v>100</v>
      </c>
      <c r="BL893" t="s">
        <v>1531</v>
      </c>
      <c r="BM893" t="s">
        <v>15672</v>
      </c>
      <c r="BN893" t="s">
        <v>74</v>
      </c>
      <c r="BO893" t="s">
        <v>74</v>
      </c>
      <c r="BP893" t="s">
        <v>74</v>
      </c>
      <c r="BQ893" t="s">
        <v>74</v>
      </c>
      <c r="BR893" t="s">
        <v>104</v>
      </c>
      <c r="BS893" t="s">
        <v>15803</v>
      </c>
      <c r="BT893" t="str">
        <f>HYPERLINK("https%3A%2F%2Fwww.webofscience.com%2Fwos%2Fwoscc%2Ffull-record%2FWOS:000278580500009","View Full Record in Web of Science")</f>
        <v>View Full Record in Web of Science</v>
      </c>
    </row>
    <row r="894" spans="1:72" x14ac:dyDescent="0.15">
      <c r="A894" t="s">
        <v>72</v>
      </c>
      <c r="B894" t="s">
        <v>15804</v>
      </c>
      <c r="C894" t="s">
        <v>74</v>
      </c>
      <c r="D894" t="s">
        <v>74</v>
      </c>
      <c r="E894" t="s">
        <v>74</v>
      </c>
      <c r="F894" t="s">
        <v>15805</v>
      </c>
      <c r="G894" t="s">
        <v>74</v>
      </c>
      <c r="H894" t="s">
        <v>74</v>
      </c>
      <c r="I894" t="s">
        <v>15806</v>
      </c>
      <c r="J894" t="s">
        <v>10820</v>
      </c>
      <c r="K894" t="s">
        <v>74</v>
      </c>
      <c r="L894" t="s">
        <v>74</v>
      </c>
      <c r="M894" t="s">
        <v>78</v>
      </c>
      <c r="N894" t="s">
        <v>79</v>
      </c>
      <c r="O894" t="s">
        <v>74</v>
      </c>
      <c r="P894" t="s">
        <v>74</v>
      </c>
      <c r="Q894" t="s">
        <v>74</v>
      </c>
      <c r="R894" t="s">
        <v>74</v>
      </c>
      <c r="S894" t="s">
        <v>74</v>
      </c>
      <c r="T894" t="s">
        <v>15807</v>
      </c>
      <c r="U894" t="s">
        <v>15808</v>
      </c>
      <c r="V894" t="s">
        <v>15809</v>
      </c>
      <c r="W894" t="s">
        <v>15810</v>
      </c>
      <c r="X894" t="s">
        <v>15732</v>
      </c>
      <c r="Y894" t="s">
        <v>15811</v>
      </c>
      <c r="Z894" t="s">
        <v>15812</v>
      </c>
      <c r="AA894" t="s">
        <v>74</v>
      </c>
      <c r="AB894" t="s">
        <v>74</v>
      </c>
      <c r="AC894" t="s">
        <v>15686</v>
      </c>
      <c r="AD894" t="s">
        <v>15687</v>
      </c>
      <c r="AE894" t="s">
        <v>15813</v>
      </c>
      <c r="AF894" t="s">
        <v>74</v>
      </c>
      <c r="AG894">
        <v>66</v>
      </c>
      <c r="AH894">
        <v>34</v>
      </c>
      <c r="AI894">
        <v>38</v>
      </c>
      <c r="AJ894">
        <v>1</v>
      </c>
      <c r="AK894">
        <v>38</v>
      </c>
      <c r="AL894" t="s">
        <v>264</v>
      </c>
      <c r="AM894" t="s">
        <v>265</v>
      </c>
      <c r="AN894" t="s">
        <v>266</v>
      </c>
      <c r="AO894" t="s">
        <v>10830</v>
      </c>
      <c r="AP894" t="s">
        <v>10831</v>
      </c>
      <c r="AQ894" t="s">
        <v>74</v>
      </c>
      <c r="AR894" t="s">
        <v>10832</v>
      </c>
      <c r="AS894" t="s">
        <v>10833</v>
      </c>
      <c r="AT894" t="s">
        <v>15251</v>
      </c>
      <c r="AU894">
        <v>2010</v>
      </c>
      <c r="AV894">
        <v>57</v>
      </c>
      <c r="AW894" t="s">
        <v>13852</v>
      </c>
      <c r="AX894" t="s">
        <v>74</v>
      </c>
      <c r="AY894" t="s">
        <v>74</v>
      </c>
      <c r="AZ894" t="s">
        <v>582</v>
      </c>
      <c r="BA894" t="s">
        <v>74</v>
      </c>
      <c r="BB894">
        <v>849</v>
      </c>
      <c r="BC894">
        <v>862</v>
      </c>
      <c r="BD894" t="s">
        <v>74</v>
      </c>
      <c r="BE894" t="s">
        <v>15814</v>
      </c>
      <c r="BF894" t="str">
        <f>HYPERLINK("http://dx.doi.org/10.1016/j.dsr2.2008.04.039","http://dx.doi.org/10.1016/j.dsr2.2008.04.039")</f>
        <v>http://dx.doi.org/10.1016/j.dsr2.2008.04.039</v>
      </c>
      <c r="BG894" t="s">
        <v>74</v>
      </c>
      <c r="BH894" t="s">
        <v>74</v>
      </c>
      <c r="BI894">
        <v>14</v>
      </c>
      <c r="BJ894" t="s">
        <v>1531</v>
      </c>
      <c r="BK894" t="s">
        <v>100</v>
      </c>
      <c r="BL894" t="s">
        <v>1531</v>
      </c>
      <c r="BM894" t="s">
        <v>15672</v>
      </c>
      <c r="BN894" t="s">
        <v>74</v>
      </c>
      <c r="BO894" t="s">
        <v>74</v>
      </c>
      <c r="BP894" t="s">
        <v>74</v>
      </c>
      <c r="BQ894" t="s">
        <v>74</v>
      </c>
      <c r="BR894" t="s">
        <v>104</v>
      </c>
      <c r="BS894" t="s">
        <v>15815</v>
      </c>
      <c r="BT894" t="str">
        <f>HYPERLINK("https%3A%2F%2Fwww.webofscience.com%2Fwos%2Fwoscc%2Ffull-record%2FWOS:000278580500010","View Full Record in Web of Science")</f>
        <v>View Full Record in Web of Science</v>
      </c>
    </row>
    <row r="895" spans="1:72" x14ac:dyDescent="0.15">
      <c r="A895" t="s">
        <v>72</v>
      </c>
      <c r="B895" t="s">
        <v>15816</v>
      </c>
      <c r="C895" t="s">
        <v>74</v>
      </c>
      <c r="D895" t="s">
        <v>74</v>
      </c>
      <c r="E895" t="s">
        <v>74</v>
      </c>
      <c r="F895" t="s">
        <v>15817</v>
      </c>
      <c r="G895" t="s">
        <v>74</v>
      </c>
      <c r="H895" t="s">
        <v>74</v>
      </c>
      <c r="I895" t="s">
        <v>15818</v>
      </c>
      <c r="J895" t="s">
        <v>10820</v>
      </c>
      <c r="K895" t="s">
        <v>74</v>
      </c>
      <c r="L895" t="s">
        <v>74</v>
      </c>
      <c r="M895" t="s">
        <v>78</v>
      </c>
      <c r="N895" t="s">
        <v>79</v>
      </c>
      <c r="O895" t="s">
        <v>74</v>
      </c>
      <c r="P895" t="s">
        <v>74</v>
      </c>
      <c r="Q895" t="s">
        <v>74</v>
      </c>
      <c r="R895" t="s">
        <v>74</v>
      </c>
      <c r="S895" t="s">
        <v>74</v>
      </c>
      <c r="T895" t="s">
        <v>15819</v>
      </c>
      <c r="U895" t="s">
        <v>15820</v>
      </c>
      <c r="V895" t="s">
        <v>15821</v>
      </c>
      <c r="W895" t="s">
        <v>15822</v>
      </c>
      <c r="X895" t="s">
        <v>15823</v>
      </c>
      <c r="Y895" t="s">
        <v>15824</v>
      </c>
      <c r="Z895" t="s">
        <v>15825</v>
      </c>
      <c r="AA895" t="s">
        <v>74</v>
      </c>
      <c r="AB895" t="s">
        <v>15826</v>
      </c>
      <c r="AC895" t="s">
        <v>15827</v>
      </c>
      <c r="AD895" t="s">
        <v>15828</v>
      </c>
      <c r="AE895" t="s">
        <v>15829</v>
      </c>
      <c r="AF895" t="s">
        <v>74</v>
      </c>
      <c r="AG895">
        <v>65</v>
      </c>
      <c r="AH895">
        <v>11</v>
      </c>
      <c r="AI895">
        <v>14</v>
      </c>
      <c r="AJ895">
        <v>0</v>
      </c>
      <c r="AK895">
        <v>21</v>
      </c>
      <c r="AL895" t="s">
        <v>264</v>
      </c>
      <c r="AM895" t="s">
        <v>265</v>
      </c>
      <c r="AN895" t="s">
        <v>266</v>
      </c>
      <c r="AO895" t="s">
        <v>10830</v>
      </c>
      <c r="AP895" t="s">
        <v>10831</v>
      </c>
      <c r="AQ895" t="s">
        <v>74</v>
      </c>
      <c r="AR895" t="s">
        <v>10832</v>
      </c>
      <c r="AS895" t="s">
        <v>10833</v>
      </c>
      <c r="AT895" t="s">
        <v>15251</v>
      </c>
      <c r="AU895">
        <v>2010</v>
      </c>
      <c r="AV895">
        <v>57</v>
      </c>
      <c r="AW895" t="s">
        <v>13852</v>
      </c>
      <c r="AX895" t="s">
        <v>74</v>
      </c>
      <c r="AY895" t="s">
        <v>74</v>
      </c>
      <c r="AZ895" t="s">
        <v>582</v>
      </c>
      <c r="BA895" t="s">
        <v>74</v>
      </c>
      <c r="BB895">
        <v>863</v>
      </c>
      <c r="BC895">
        <v>876</v>
      </c>
      <c r="BD895" t="s">
        <v>74</v>
      </c>
      <c r="BE895" t="s">
        <v>15830</v>
      </c>
      <c r="BF895" t="str">
        <f>HYPERLINK("http://dx.doi.org/10.1016/j.dsr2.2009.01.003","http://dx.doi.org/10.1016/j.dsr2.2009.01.003")</f>
        <v>http://dx.doi.org/10.1016/j.dsr2.2009.01.003</v>
      </c>
      <c r="BG895" t="s">
        <v>74</v>
      </c>
      <c r="BH895" t="s">
        <v>74</v>
      </c>
      <c r="BI895">
        <v>14</v>
      </c>
      <c r="BJ895" t="s">
        <v>1531</v>
      </c>
      <c r="BK895" t="s">
        <v>100</v>
      </c>
      <c r="BL895" t="s">
        <v>1531</v>
      </c>
      <c r="BM895" t="s">
        <v>15672</v>
      </c>
      <c r="BN895" t="s">
        <v>74</v>
      </c>
      <c r="BO895" t="s">
        <v>74</v>
      </c>
      <c r="BP895" t="s">
        <v>74</v>
      </c>
      <c r="BQ895" t="s">
        <v>74</v>
      </c>
      <c r="BR895" t="s">
        <v>104</v>
      </c>
      <c r="BS895" t="s">
        <v>15831</v>
      </c>
      <c r="BT895" t="str">
        <f>HYPERLINK("https%3A%2F%2Fwww.webofscience.com%2Fwos%2Fwoscc%2Ffull-record%2FWOS:000278580500011","View Full Record in Web of Science")</f>
        <v>View Full Record in Web of Science</v>
      </c>
    </row>
    <row r="896" spans="1:72" x14ac:dyDescent="0.15">
      <c r="A896" t="s">
        <v>72</v>
      </c>
      <c r="B896" t="s">
        <v>15832</v>
      </c>
      <c r="C896" t="s">
        <v>74</v>
      </c>
      <c r="D896" t="s">
        <v>74</v>
      </c>
      <c r="E896" t="s">
        <v>74</v>
      </c>
      <c r="F896" t="s">
        <v>15833</v>
      </c>
      <c r="G896" t="s">
        <v>74</v>
      </c>
      <c r="H896" t="s">
        <v>74</v>
      </c>
      <c r="I896" t="s">
        <v>15834</v>
      </c>
      <c r="J896" t="s">
        <v>10820</v>
      </c>
      <c r="K896" t="s">
        <v>74</v>
      </c>
      <c r="L896" t="s">
        <v>74</v>
      </c>
      <c r="M896" t="s">
        <v>78</v>
      </c>
      <c r="N896" t="s">
        <v>79</v>
      </c>
      <c r="O896" t="s">
        <v>74</v>
      </c>
      <c r="P896" t="s">
        <v>74</v>
      </c>
      <c r="Q896" t="s">
        <v>74</v>
      </c>
      <c r="R896" t="s">
        <v>74</v>
      </c>
      <c r="S896" t="s">
        <v>74</v>
      </c>
      <c r="T896" t="s">
        <v>15835</v>
      </c>
      <c r="U896" t="s">
        <v>15836</v>
      </c>
      <c r="V896" t="s">
        <v>15837</v>
      </c>
      <c r="W896" t="s">
        <v>15838</v>
      </c>
      <c r="X896" t="s">
        <v>15839</v>
      </c>
      <c r="Y896" t="s">
        <v>15840</v>
      </c>
      <c r="Z896" t="s">
        <v>15841</v>
      </c>
      <c r="AA896" t="s">
        <v>15842</v>
      </c>
      <c r="AB896" t="s">
        <v>15843</v>
      </c>
      <c r="AC896" t="s">
        <v>15844</v>
      </c>
      <c r="AD896" t="s">
        <v>15845</v>
      </c>
      <c r="AE896" t="s">
        <v>15846</v>
      </c>
      <c r="AF896" t="s">
        <v>74</v>
      </c>
      <c r="AG896">
        <v>61</v>
      </c>
      <c r="AH896">
        <v>26</v>
      </c>
      <c r="AI896">
        <v>27</v>
      </c>
      <c r="AJ896">
        <v>0</v>
      </c>
      <c r="AK896">
        <v>29</v>
      </c>
      <c r="AL896" t="s">
        <v>264</v>
      </c>
      <c r="AM896" t="s">
        <v>265</v>
      </c>
      <c r="AN896" t="s">
        <v>266</v>
      </c>
      <c r="AO896" t="s">
        <v>10830</v>
      </c>
      <c r="AP896" t="s">
        <v>10831</v>
      </c>
      <c r="AQ896" t="s">
        <v>74</v>
      </c>
      <c r="AR896" t="s">
        <v>10832</v>
      </c>
      <c r="AS896" t="s">
        <v>10833</v>
      </c>
      <c r="AT896" t="s">
        <v>15251</v>
      </c>
      <c r="AU896">
        <v>2010</v>
      </c>
      <c r="AV896">
        <v>57</v>
      </c>
      <c r="AW896" t="s">
        <v>13852</v>
      </c>
      <c r="AX896" t="s">
        <v>74</v>
      </c>
      <c r="AY896" t="s">
        <v>74</v>
      </c>
      <c r="AZ896" t="s">
        <v>582</v>
      </c>
      <c r="BA896" t="s">
        <v>74</v>
      </c>
      <c r="BB896">
        <v>877</v>
      </c>
      <c r="BC896">
        <v>886</v>
      </c>
      <c r="BD896" t="s">
        <v>74</v>
      </c>
      <c r="BE896" t="s">
        <v>15847</v>
      </c>
      <c r="BF896" t="str">
        <f>HYPERLINK("http://dx.doi.org/10.1016/j.dsr2.2008.09.018","http://dx.doi.org/10.1016/j.dsr2.2008.09.018")</f>
        <v>http://dx.doi.org/10.1016/j.dsr2.2008.09.018</v>
      </c>
      <c r="BG896" t="s">
        <v>74</v>
      </c>
      <c r="BH896" t="s">
        <v>74</v>
      </c>
      <c r="BI896">
        <v>10</v>
      </c>
      <c r="BJ896" t="s">
        <v>1531</v>
      </c>
      <c r="BK896" t="s">
        <v>100</v>
      </c>
      <c r="BL896" t="s">
        <v>1531</v>
      </c>
      <c r="BM896" t="s">
        <v>15672</v>
      </c>
      <c r="BN896" t="s">
        <v>74</v>
      </c>
      <c r="BO896" t="s">
        <v>74</v>
      </c>
      <c r="BP896" t="s">
        <v>74</v>
      </c>
      <c r="BQ896" t="s">
        <v>74</v>
      </c>
      <c r="BR896" t="s">
        <v>104</v>
      </c>
      <c r="BS896" t="s">
        <v>15848</v>
      </c>
      <c r="BT896" t="str">
        <f>HYPERLINK("https%3A%2F%2Fwww.webofscience.com%2Fwos%2Fwoscc%2Ffull-record%2FWOS:000278580500012","View Full Record in Web of Science")</f>
        <v>View Full Record in Web of Science</v>
      </c>
    </row>
    <row r="897" spans="1:72" x14ac:dyDescent="0.15">
      <c r="A897" t="s">
        <v>72</v>
      </c>
      <c r="B897" t="s">
        <v>15849</v>
      </c>
      <c r="C897" t="s">
        <v>74</v>
      </c>
      <c r="D897" t="s">
        <v>74</v>
      </c>
      <c r="E897" t="s">
        <v>74</v>
      </c>
      <c r="F897" t="s">
        <v>15850</v>
      </c>
      <c r="G897" t="s">
        <v>74</v>
      </c>
      <c r="H897" t="s">
        <v>74</v>
      </c>
      <c r="I897" t="s">
        <v>15851</v>
      </c>
      <c r="J897" t="s">
        <v>10820</v>
      </c>
      <c r="K897" t="s">
        <v>74</v>
      </c>
      <c r="L897" t="s">
        <v>74</v>
      </c>
      <c r="M897" t="s">
        <v>78</v>
      </c>
      <c r="N897" t="s">
        <v>79</v>
      </c>
      <c r="O897" t="s">
        <v>74</v>
      </c>
      <c r="P897" t="s">
        <v>74</v>
      </c>
      <c r="Q897" t="s">
        <v>74</v>
      </c>
      <c r="R897" t="s">
        <v>74</v>
      </c>
      <c r="S897" t="s">
        <v>74</v>
      </c>
      <c r="T897" t="s">
        <v>15852</v>
      </c>
      <c r="U897" t="s">
        <v>15853</v>
      </c>
      <c r="V897" t="s">
        <v>15854</v>
      </c>
      <c r="W897" t="s">
        <v>15855</v>
      </c>
      <c r="X897" t="s">
        <v>7691</v>
      </c>
      <c r="Y897" t="s">
        <v>15856</v>
      </c>
      <c r="Z897" t="s">
        <v>15857</v>
      </c>
      <c r="AA897" t="s">
        <v>15858</v>
      </c>
      <c r="AB897" t="s">
        <v>15859</v>
      </c>
      <c r="AC897" t="s">
        <v>74</v>
      </c>
      <c r="AD897" t="s">
        <v>74</v>
      </c>
      <c r="AE897" t="s">
        <v>74</v>
      </c>
      <c r="AF897" t="s">
        <v>74</v>
      </c>
      <c r="AG897">
        <v>35</v>
      </c>
      <c r="AH897">
        <v>31</v>
      </c>
      <c r="AI897">
        <v>35</v>
      </c>
      <c r="AJ897">
        <v>0</v>
      </c>
      <c r="AK897">
        <v>15</v>
      </c>
      <c r="AL897" t="s">
        <v>264</v>
      </c>
      <c r="AM897" t="s">
        <v>265</v>
      </c>
      <c r="AN897" t="s">
        <v>266</v>
      </c>
      <c r="AO897" t="s">
        <v>10830</v>
      </c>
      <c r="AP897" t="s">
        <v>74</v>
      </c>
      <c r="AQ897" t="s">
        <v>74</v>
      </c>
      <c r="AR897" t="s">
        <v>10832</v>
      </c>
      <c r="AS897" t="s">
        <v>10833</v>
      </c>
      <c r="AT897" t="s">
        <v>15251</v>
      </c>
      <c r="AU897">
        <v>2010</v>
      </c>
      <c r="AV897">
        <v>57</v>
      </c>
      <c r="AW897" t="s">
        <v>13852</v>
      </c>
      <c r="AX897" t="s">
        <v>74</v>
      </c>
      <c r="AY897" t="s">
        <v>74</v>
      </c>
      <c r="AZ897" t="s">
        <v>582</v>
      </c>
      <c r="BA897" t="s">
        <v>74</v>
      </c>
      <c r="BB897">
        <v>887</v>
      </c>
      <c r="BC897">
        <v>904</v>
      </c>
      <c r="BD897" t="s">
        <v>74</v>
      </c>
      <c r="BE897" t="s">
        <v>15860</v>
      </c>
      <c r="BF897" t="str">
        <f>HYPERLINK("http://dx.doi.org/10.1016/j.dsr2.2008.10.041","http://dx.doi.org/10.1016/j.dsr2.2008.10.041")</f>
        <v>http://dx.doi.org/10.1016/j.dsr2.2008.10.041</v>
      </c>
      <c r="BG897" t="s">
        <v>74</v>
      </c>
      <c r="BH897" t="s">
        <v>74</v>
      </c>
      <c r="BI897">
        <v>18</v>
      </c>
      <c r="BJ897" t="s">
        <v>1531</v>
      </c>
      <c r="BK897" t="s">
        <v>100</v>
      </c>
      <c r="BL897" t="s">
        <v>1531</v>
      </c>
      <c r="BM897" t="s">
        <v>15672</v>
      </c>
      <c r="BN897" t="s">
        <v>74</v>
      </c>
      <c r="BO897" t="s">
        <v>74</v>
      </c>
      <c r="BP897" t="s">
        <v>74</v>
      </c>
      <c r="BQ897" t="s">
        <v>74</v>
      </c>
      <c r="BR897" t="s">
        <v>104</v>
      </c>
      <c r="BS897" t="s">
        <v>15861</v>
      </c>
      <c r="BT897" t="str">
        <f>HYPERLINK("https%3A%2F%2Fwww.webofscience.com%2Fwos%2Fwoscc%2Ffull-record%2FWOS:000278580500013","View Full Record in Web of Science")</f>
        <v>View Full Record in Web of Science</v>
      </c>
    </row>
    <row r="898" spans="1:72" x14ac:dyDescent="0.15">
      <c r="A898" t="s">
        <v>72</v>
      </c>
      <c r="B898" t="s">
        <v>15862</v>
      </c>
      <c r="C898" t="s">
        <v>74</v>
      </c>
      <c r="D898" t="s">
        <v>74</v>
      </c>
      <c r="E898" t="s">
        <v>74</v>
      </c>
      <c r="F898" t="s">
        <v>15863</v>
      </c>
      <c r="G898" t="s">
        <v>74</v>
      </c>
      <c r="H898" t="s">
        <v>74</v>
      </c>
      <c r="I898" t="s">
        <v>15864</v>
      </c>
      <c r="J898" t="s">
        <v>10820</v>
      </c>
      <c r="K898" t="s">
        <v>74</v>
      </c>
      <c r="L898" t="s">
        <v>74</v>
      </c>
      <c r="M898" t="s">
        <v>78</v>
      </c>
      <c r="N898" t="s">
        <v>79</v>
      </c>
      <c r="O898" t="s">
        <v>74</v>
      </c>
      <c r="P898" t="s">
        <v>74</v>
      </c>
      <c r="Q898" t="s">
        <v>74</v>
      </c>
      <c r="R898" t="s">
        <v>74</v>
      </c>
      <c r="S898" t="s">
        <v>74</v>
      </c>
      <c r="T898" t="s">
        <v>15865</v>
      </c>
      <c r="U898" t="s">
        <v>15866</v>
      </c>
      <c r="V898" t="s">
        <v>15867</v>
      </c>
      <c r="W898" t="s">
        <v>15868</v>
      </c>
      <c r="X898" t="s">
        <v>15869</v>
      </c>
      <c r="Y898" t="s">
        <v>15870</v>
      </c>
      <c r="Z898" t="s">
        <v>15871</v>
      </c>
      <c r="AA898" t="s">
        <v>74</v>
      </c>
      <c r="AB898" t="s">
        <v>74</v>
      </c>
      <c r="AC898" t="s">
        <v>15872</v>
      </c>
      <c r="AD898" t="s">
        <v>15873</v>
      </c>
      <c r="AE898" t="s">
        <v>15874</v>
      </c>
      <c r="AF898" t="s">
        <v>74</v>
      </c>
      <c r="AG898">
        <v>41</v>
      </c>
      <c r="AH898">
        <v>10</v>
      </c>
      <c r="AI898">
        <v>10</v>
      </c>
      <c r="AJ898">
        <v>0</v>
      </c>
      <c r="AK898">
        <v>11</v>
      </c>
      <c r="AL898" t="s">
        <v>264</v>
      </c>
      <c r="AM898" t="s">
        <v>265</v>
      </c>
      <c r="AN898" t="s">
        <v>266</v>
      </c>
      <c r="AO898" t="s">
        <v>10830</v>
      </c>
      <c r="AP898" t="s">
        <v>10831</v>
      </c>
      <c r="AQ898" t="s">
        <v>74</v>
      </c>
      <c r="AR898" t="s">
        <v>10832</v>
      </c>
      <c r="AS898" t="s">
        <v>10833</v>
      </c>
      <c r="AT898" t="s">
        <v>15251</v>
      </c>
      <c r="AU898">
        <v>2010</v>
      </c>
      <c r="AV898">
        <v>57</v>
      </c>
      <c r="AW898" t="s">
        <v>13852</v>
      </c>
      <c r="AX898" t="s">
        <v>74</v>
      </c>
      <c r="AY898" t="s">
        <v>74</v>
      </c>
      <c r="AZ898" t="s">
        <v>582</v>
      </c>
      <c r="BA898" t="s">
        <v>74</v>
      </c>
      <c r="BB898">
        <v>905</v>
      </c>
      <c r="BC898">
        <v>915</v>
      </c>
      <c r="BD898" t="s">
        <v>74</v>
      </c>
      <c r="BE898" t="s">
        <v>15875</v>
      </c>
      <c r="BF898" t="str">
        <f>HYPERLINK("http://dx.doi.org/10.1016/j.dsr2.2009.04.021","http://dx.doi.org/10.1016/j.dsr2.2009.04.021")</f>
        <v>http://dx.doi.org/10.1016/j.dsr2.2009.04.021</v>
      </c>
      <c r="BG898" t="s">
        <v>74</v>
      </c>
      <c r="BH898" t="s">
        <v>74</v>
      </c>
      <c r="BI898">
        <v>11</v>
      </c>
      <c r="BJ898" t="s">
        <v>1531</v>
      </c>
      <c r="BK898" t="s">
        <v>100</v>
      </c>
      <c r="BL898" t="s">
        <v>1531</v>
      </c>
      <c r="BM898" t="s">
        <v>15672</v>
      </c>
      <c r="BN898" t="s">
        <v>74</v>
      </c>
      <c r="BO898" t="s">
        <v>74</v>
      </c>
      <c r="BP898" t="s">
        <v>74</v>
      </c>
      <c r="BQ898" t="s">
        <v>74</v>
      </c>
      <c r="BR898" t="s">
        <v>104</v>
      </c>
      <c r="BS898" t="s">
        <v>15876</v>
      </c>
      <c r="BT898" t="str">
        <f>HYPERLINK("https%3A%2F%2Fwww.webofscience.com%2Fwos%2Fwoscc%2Ffull-record%2FWOS:000278580500014","View Full Record in Web of Science")</f>
        <v>View Full Record in Web of Science</v>
      </c>
    </row>
    <row r="899" spans="1:72" x14ac:dyDescent="0.15">
      <c r="A899" t="s">
        <v>72</v>
      </c>
      <c r="B899" t="s">
        <v>15877</v>
      </c>
      <c r="C899" t="s">
        <v>74</v>
      </c>
      <c r="D899" t="s">
        <v>74</v>
      </c>
      <c r="E899" t="s">
        <v>74</v>
      </c>
      <c r="F899" t="s">
        <v>15878</v>
      </c>
      <c r="G899" t="s">
        <v>74</v>
      </c>
      <c r="H899" t="s">
        <v>74</v>
      </c>
      <c r="I899" t="s">
        <v>15879</v>
      </c>
      <c r="J899" t="s">
        <v>10820</v>
      </c>
      <c r="K899" t="s">
        <v>74</v>
      </c>
      <c r="L899" t="s">
        <v>74</v>
      </c>
      <c r="M899" t="s">
        <v>78</v>
      </c>
      <c r="N899" t="s">
        <v>79</v>
      </c>
      <c r="O899" t="s">
        <v>74</v>
      </c>
      <c r="P899" t="s">
        <v>74</v>
      </c>
      <c r="Q899" t="s">
        <v>74</v>
      </c>
      <c r="R899" t="s">
        <v>74</v>
      </c>
      <c r="S899" t="s">
        <v>74</v>
      </c>
      <c r="T899" t="s">
        <v>15880</v>
      </c>
      <c r="U899" t="s">
        <v>15881</v>
      </c>
      <c r="V899" t="s">
        <v>15882</v>
      </c>
      <c r="W899" t="s">
        <v>15883</v>
      </c>
      <c r="X899" t="s">
        <v>5454</v>
      </c>
      <c r="Y899" t="s">
        <v>15884</v>
      </c>
      <c r="Z899" t="s">
        <v>15885</v>
      </c>
      <c r="AA899" t="s">
        <v>15886</v>
      </c>
      <c r="AB899" t="s">
        <v>15887</v>
      </c>
      <c r="AC899" t="s">
        <v>74</v>
      </c>
      <c r="AD899" t="s">
        <v>74</v>
      </c>
      <c r="AE899" t="s">
        <v>74</v>
      </c>
      <c r="AF899" t="s">
        <v>74</v>
      </c>
      <c r="AG899">
        <v>86</v>
      </c>
      <c r="AH899">
        <v>64</v>
      </c>
      <c r="AI899">
        <v>71</v>
      </c>
      <c r="AJ899">
        <v>1</v>
      </c>
      <c r="AK899">
        <v>28</v>
      </c>
      <c r="AL899" t="s">
        <v>264</v>
      </c>
      <c r="AM899" t="s">
        <v>265</v>
      </c>
      <c r="AN899" t="s">
        <v>266</v>
      </c>
      <c r="AO899" t="s">
        <v>10830</v>
      </c>
      <c r="AP899" t="s">
        <v>74</v>
      </c>
      <c r="AQ899" t="s">
        <v>74</v>
      </c>
      <c r="AR899" t="s">
        <v>10832</v>
      </c>
      <c r="AS899" t="s">
        <v>10833</v>
      </c>
      <c r="AT899" t="s">
        <v>15251</v>
      </c>
      <c r="AU899">
        <v>2010</v>
      </c>
      <c r="AV899">
        <v>57</v>
      </c>
      <c r="AW899" t="s">
        <v>13852</v>
      </c>
      <c r="AX899" t="s">
        <v>74</v>
      </c>
      <c r="AY899" t="s">
        <v>74</v>
      </c>
      <c r="AZ899" t="s">
        <v>582</v>
      </c>
      <c r="BA899" t="s">
        <v>74</v>
      </c>
      <c r="BB899">
        <v>916</v>
      </c>
      <c r="BC899">
        <v>933</v>
      </c>
      <c r="BD899" t="s">
        <v>74</v>
      </c>
      <c r="BE899" t="s">
        <v>15888</v>
      </c>
      <c r="BF899" t="str">
        <f>HYPERLINK("http://dx.doi.org/10.1016/j.dsr2.2008.06.013","http://dx.doi.org/10.1016/j.dsr2.2008.06.013")</f>
        <v>http://dx.doi.org/10.1016/j.dsr2.2008.06.013</v>
      </c>
      <c r="BG899" t="s">
        <v>74</v>
      </c>
      <c r="BH899" t="s">
        <v>74</v>
      </c>
      <c r="BI899">
        <v>18</v>
      </c>
      <c r="BJ899" t="s">
        <v>1531</v>
      </c>
      <c r="BK899" t="s">
        <v>100</v>
      </c>
      <c r="BL899" t="s">
        <v>1531</v>
      </c>
      <c r="BM899" t="s">
        <v>15672</v>
      </c>
      <c r="BN899" t="s">
        <v>74</v>
      </c>
      <c r="BO899" t="s">
        <v>74</v>
      </c>
      <c r="BP899" t="s">
        <v>74</v>
      </c>
      <c r="BQ899" t="s">
        <v>74</v>
      </c>
      <c r="BR899" t="s">
        <v>104</v>
      </c>
      <c r="BS899" t="s">
        <v>15889</v>
      </c>
      <c r="BT899" t="str">
        <f>HYPERLINK("https%3A%2F%2Fwww.webofscience.com%2Fwos%2Fwoscc%2Ffull-record%2FWOS:000278580500015","View Full Record in Web of Science")</f>
        <v>View Full Record in Web of Science</v>
      </c>
    </row>
    <row r="900" spans="1:72" x14ac:dyDescent="0.15">
      <c r="A900" t="s">
        <v>72</v>
      </c>
      <c r="B900" t="s">
        <v>15890</v>
      </c>
      <c r="C900" t="s">
        <v>74</v>
      </c>
      <c r="D900" t="s">
        <v>74</v>
      </c>
      <c r="E900" t="s">
        <v>74</v>
      </c>
      <c r="F900" t="s">
        <v>15891</v>
      </c>
      <c r="G900" t="s">
        <v>74</v>
      </c>
      <c r="H900" t="s">
        <v>74</v>
      </c>
      <c r="I900" t="s">
        <v>15892</v>
      </c>
      <c r="J900" t="s">
        <v>10820</v>
      </c>
      <c r="K900" t="s">
        <v>74</v>
      </c>
      <c r="L900" t="s">
        <v>74</v>
      </c>
      <c r="M900" t="s">
        <v>78</v>
      </c>
      <c r="N900" t="s">
        <v>79</v>
      </c>
      <c r="O900" t="s">
        <v>74</v>
      </c>
      <c r="P900" t="s">
        <v>74</v>
      </c>
      <c r="Q900" t="s">
        <v>74</v>
      </c>
      <c r="R900" t="s">
        <v>74</v>
      </c>
      <c r="S900" t="s">
        <v>74</v>
      </c>
      <c r="T900" t="s">
        <v>15893</v>
      </c>
      <c r="U900" t="s">
        <v>15894</v>
      </c>
      <c r="V900" t="s">
        <v>15895</v>
      </c>
      <c r="W900" t="s">
        <v>15896</v>
      </c>
      <c r="X900" t="s">
        <v>15897</v>
      </c>
      <c r="Y900" t="s">
        <v>15898</v>
      </c>
      <c r="Z900" t="s">
        <v>15899</v>
      </c>
      <c r="AA900" t="s">
        <v>15858</v>
      </c>
      <c r="AB900" t="s">
        <v>15900</v>
      </c>
      <c r="AC900" t="s">
        <v>15901</v>
      </c>
      <c r="AD900" t="s">
        <v>15902</v>
      </c>
      <c r="AE900" t="s">
        <v>15903</v>
      </c>
      <c r="AF900" t="s">
        <v>74</v>
      </c>
      <c r="AG900">
        <v>72</v>
      </c>
      <c r="AH900">
        <v>29</v>
      </c>
      <c r="AI900">
        <v>34</v>
      </c>
      <c r="AJ900">
        <v>1</v>
      </c>
      <c r="AK900">
        <v>27</v>
      </c>
      <c r="AL900" t="s">
        <v>264</v>
      </c>
      <c r="AM900" t="s">
        <v>265</v>
      </c>
      <c r="AN900" t="s">
        <v>266</v>
      </c>
      <c r="AO900" t="s">
        <v>10830</v>
      </c>
      <c r="AP900" t="s">
        <v>10831</v>
      </c>
      <c r="AQ900" t="s">
        <v>74</v>
      </c>
      <c r="AR900" t="s">
        <v>10832</v>
      </c>
      <c r="AS900" t="s">
        <v>10833</v>
      </c>
      <c r="AT900" t="s">
        <v>15251</v>
      </c>
      <c r="AU900">
        <v>2010</v>
      </c>
      <c r="AV900">
        <v>57</v>
      </c>
      <c r="AW900" t="s">
        <v>13852</v>
      </c>
      <c r="AX900" t="s">
        <v>74</v>
      </c>
      <c r="AY900" t="s">
        <v>74</v>
      </c>
      <c r="AZ900" t="s">
        <v>582</v>
      </c>
      <c r="BA900" t="s">
        <v>74</v>
      </c>
      <c r="BB900">
        <v>934</v>
      </c>
      <c r="BC900">
        <v>947</v>
      </c>
      <c r="BD900" t="s">
        <v>74</v>
      </c>
      <c r="BE900" t="s">
        <v>15904</v>
      </c>
      <c r="BF900" t="str">
        <f>HYPERLINK("http://dx.doi.org/10.1016/j.dsr2.2008.06.014","http://dx.doi.org/10.1016/j.dsr2.2008.06.014")</f>
        <v>http://dx.doi.org/10.1016/j.dsr2.2008.06.014</v>
      </c>
      <c r="BG900" t="s">
        <v>74</v>
      </c>
      <c r="BH900" t="s">
        <v>74</v>
      </c>
      <c r="BI900">
        <v>14</v>
      </c>
      <c r="BJ900" t="s">
        <v>1531</v>
      </c>
      <c r="BK900" t="s">
        <v>100</v>
      </c>
      <c r="BL900" t="s">
        <v>1531</v>
      </c>
      <c r="BM900" t="s">
        <v>15672</v>
      </c>
      <c r="BN900" t="s">
        <v>74</v>
      </c>
      <c r="BO900" t="s">
        <v>74</v>
      </c>
      <c r="BP900" t="s">
        <v>74</v>
      </c>
      <c r="BQ900" t="s">
        <v>74</v>
      </c>
      <c r="BR900" t="s">
        <v>104</v>
      </c>
      <c r="BS900" t="s">
        <v>15905</v>
      </c>
      <c r="BT900" t="str">
        <f>HYPERLINK("https%3A%2F%2Fwww.webofscience.com%2Fwos%2Fwoscc%2Ffull-record%2FWOS:000278580500016","View Full Record in Web of Science")</f>
        <v>View Full Record in Web of Science</v>
      </c>
    </row>
    <row r="901" spans="1:72" x14ac:dyDescent="0.15">
      <c r="A901" t="s">
        <v>72</v>
      </c>
      <c r="B901" t="s">
        <v>15906</v>
      </c>
      <c r="C901" t="s">
        <v>74</v>
      </c>
      <c r="D901" t="s">
        <v>74</v>
      </c>
      <c r="E901" t="s">
        <v>74</v>
      </c>
      <c r="F901" t="s">
        <v>15907</v>
      </c>
      <c r="G901" t="s">
        <v>74</v>
      </c>
      <c r="H901" t="s">
        <v>74</v>
      </c>
      <c r="I901" t="s">
        <v>15908</v>
      </c>
      <c r="J901" t="s">
        <v>10820</v>
      </c>
      <c r="K901" t="s">
        <v>74</v>
      </c>
      <c r="L901" t="s">
        <v>74</v>
      </c>
      <c r="M901" t="s">
        <v>78</v>
      </c>
      <c r="N901" t="s">
        <v>79</v>
      </c>
      <c r="O901" t="s">
        <v>74</v>
      </c>
      <c r="P901" t="s">
        <v>74</v>
      </c>
      <c r="Q901" t="s">
        <v>74</v>
      </c>
      <c r="R901" t="s">
        <v>74</v>
      </c>
      <c r="S901" t="s">
        <v>74</v>
      </c>
      <c r="T901" t="s">
        <v>15909</v>
      </c>
      <c r="U901" t="s">
        <v>15910</v>
      </c>
      <c r="V901" t="s">
        <v>15911</v>
      </c>
      <c r="W901" t="s">
        <v>15912</v>
      </c>
      <c r="X901" t="s">
        <v>15913</v>
      </c>
      <c r="Y901" t="s">
        <v>15914</v>
      </c>
      <c r="Z901" t="s">
        <v>15915</v>
      </c>
      <c r="AA901" t="s">
        <v>15916</v>
      </c>
      <c r="AB901" t="s">
        <v>15917</v>
      </c>
      <c r="AC901" t="s">
        <v>15918</v>
      </c>
      <c r="AD901" t="s">
        <v>15919</v>
      </c>
      <c r="AE901" t="s">
        <v>15920</v>
      </c>
      <c r="AF901" t="s">
        <v>74</v>
      </c>
      <c r="AG901">
        <v>39</v>
      </c>
      <c r="AH901">
        <v>13</v>
      </c>
      <c r="AI901">
        <v>14</v>
      </c>
      <c r="AJ901">
        <v>2</v>
      </c>
      <c r="AK901">
        <v>17</v>
      </c>
      <c r="AL901" t="s">
        <v>264</v>
      </c>
      <c r="AM901" t="s">
        <v>265</v>
      </c>
      <c r="AN901" t="s">
        <v>266</v>
      </c>
      <c r="AO901" t="s">
        <v>10830</v>
      </c>
      <c r="AP901" t="s">
        <v>74</v>
      </c>
      <c r="AQ901" t="s">
        <v>74</v>
      </c>
      <c r="AR901" t="s">
        <v>10832</v>
      </c>
      <c r="AS901" t="s">
        <v>10833</v>
      </c>
      <c r="AT901" t="s">
        <v>15251</v>
      </c>
      <c r="AU901">
        <v>2010</v>
      </c>
      <c r="AV901">
        <v>57</v>
      </c>
      <c r="AW901" t="s">
        <v>13852</v>
      </c>
      <c r="AX901" t="s">
        <v>74</v>
      </c>
      <c r="AY901" t="s">
        <v>74</v>
      </c>
      <c r="AZ901" t="s">
        <v>582</v>
      </c>
      <c r="BA901" t="s">
        <v>74</v>
      </c>
      <c r="BB901">
        <v>948</v>
      </c>
      <c r="BC901">
        <v>955</v>
      </c>
      <c r="BD901" t="s">
        <v>74</v>
      </c>
      <c r="BE901" t="s">
        <v>15921</v>
      </c>
      <c r="BF901" t="str">
        <f>HYPERLINK("http://dx.doi.org/10.1016/j.dsr2.2008.11.035","http://dx.doi.org/10.1016/j.dsr2.2008.11.035")</f>
        <v>http://dx.doi.org/10.1016/j.dsr2.2008.11.035</v>
      </c>
      <c r="BG901" t="s">
        <v>74</v>
      </c>
      <c r="BH901" t="s">
        <v>74</v>
      </c>
      <c r="BI901">
        <v>8</v>
      </c>
      <c r="BJ901" t="s">
        <v>1531</v>
      </c>
      <c r="BK901" t="s">
        <v>100</v>
      </c>
      <c r="BL901" t="s">
        <v>1531</v>
      </c>
      <c r="BM901" t="s">
        <v>15672</v>
      </c>
      <c r="BN901" t="s">
        <v>74</v>
      </c>
      <c r="BO901" t="s">
        <v>74</v>
      </c>
      <c r="BP901" t="s">
        <v>74</v>
      </c>
      <c r="BQ901" t="s">
        <v>74</v>
      </c>
      <c r="BR901" t="s">
        <v>104</v>
      </c>
      <c r="BS901" t="s">
        <v>15922</v>
      </c>
      <c r="BT901" t="str">
        <f>HYPERLINK("https%3A%2F%2Fwww.webofscience.com%2Fwos%2Fwoscc%2Ffull-record%2FWOS:000278580500017","View Full Record in Web of Science")</f>
        <v>View Full Record in Web of Science</v>
      </c>
    </row>
    <row r="902" spans="1:72" x14ac:dyDescent="0.15">
      <c r="A902" t="s">
        <v>72</v>
      </c>
      <c r="B902" t="s">
        <v>15923</v>
      </c>
      <c r="C902" t="s">
        <v>74</v>
      </c>
      <c r="D902" t="s">
        <v>74</v>
      </c>
      <c r="E902" t="s">
        <v>74</v>
      </c>
      <c r="F902" t="s">
        <v>15924</v>
      </c>
      <c r="G902" t="s">
        <v>74</v>
      </c>
      <c r="H902" t="s">
        <v>74</v>
      </c>
      <c r="I902" t="s">
        <v>15925</v>
      </c>
      <c r="J902" t="s">
        <v>10820</v>
      </c>
      <c r="K902" t="s">
        <v>74</v>
      </c>
      <c r="L902" t="s">
        <v>74</v>
      </c>
      <c r="M902" t="s">
        <v>78</v>
      </c>
      <c r="N902" t="s">
        <v>79</v>
      </c>
      <c r="O902" t="s">
        <v>74</v>
      </c>
      <c r="P902" t="s">
        <v>74</v>
      </c>
      <c r="Q902" t="s">
        <v>74</v>
      </c>
      <c r="R902" t="s">
        <v>74</v>
      </c>
      <c r="S902" t="s">
        <v>74</v>
      </c>
      <c r="T902" t="s">
        <v>74</v>
      </c>
      <c r="U902" t="s">
        <v>15926</v>
      </c>
      <c r="V902" t="s">
        <v>15927</v>
      </c>
      <c r="W902" t="s">
        <v>15928</v>
      </c>
      <c r="X902" t="s">
        <v>15929</v>
      </c>
      <c r="Y902" t="s">
        <v>15930</v>
      </c>
      <c r="Z902" t="s">
        <v>15931</v>
      </c>
      <c r="AA902" t="s">
        <v>15932</v>
      </c>
      <c r="AB902" t="s">
        <v>15933</v>
      </c>
      <c r="AC902" t="s">
        <v>15934</v>
      </c>
      <c r="AD902" t="s">
        <v>15935</v>
      </c>
      <c r="AE902" t="s">
        <v>15936</v>
      </c>
      <c r="AF902" t="s">
        <v>74</v>
      </c>
      <c r="AG902">
        <v>52</v>
      </c>
      <c r="AH902">
        <v>34</v>
      </c>
      <c r="AI902">
        <v>35</v>
      </c>
      <c r="AJ902">
        <v>4</v>
      </c>
      <c r="AK902">
        <v>52</v>
      </c>
      <c r="AL902" t="s">
        <v>264</v>
      </c>
      <c r="AM902" t="s">
        <v>265</v>
      </c>
      <c r="AN902" t="s">
        <v>266</v>
      </c>
      <c r="AO902" t="s">
        <v>10830</v>
      </c>
      <c r="AP902" t="s">
        <v>74</v>
      </c>
      <c r="AQ902" t="s">
        <v>74</v>
      </c>
      <c r="AR902" t="s">
        <v>10832</v>
      </c>
      <c r="AS902" t="s">
        <v>10833</v>
      </c>
      <c r="AT902" t="s">
        <v>15251</v>
      </c>
      <c r="AU902">
        <v>2010</v>
      </c>
      <c r="AV902">
        <v>57</v>
      </c>
      <c r="AW902" t="s">
        <v>13852</v>
      </c>
      <c r="AX902" t="s">
        <v>74</v>
      </c>
      <c r="AY902" t="s">
        <v>74</v>
      </c>
      <c r="AZ902" t="s">
        <v>582</v>
      </c>
      <c r="BA902" t="s">
        <v>74</v>
      </c>
      <c r="BB902">
        <v>956</v>
      </c>
      <c r="BC902">
        <v>967</v>
      </c>
      <c r="BD902" t="s">
        <v>74</v>
      </c>
      <c r="BE902" t="s">
        <v>15937</v>
      </c>
      <c r="BF902" t="str">
        <f>HYPERLINK("http://dx.doi.org/10.1016/j.dsr2.2008.02.015","http://dx.doi.org/10.1016/j.dsr2.2008.02.015")</f>
        <v>http://dx.doi.org/10.1016/j.dsr2.2008.02.015</v>
      </c>
      <c r="BG902" t="s">
        <v>74</v>
      </c>
      <c r="BH902" t="s">
        <v>74</v>
      </c>
      <c r="BI902">
        <v>12</v>
      </c>
      <c r="BJ902" t="s">
        <v>1531</v>
      </c>
      <c r="BK902" t="s">
        <v>100</v>
      </c>
      <c r="BL902" t="s">
        <v>1531</v>
      </c>
      <c r="BM902" t="s">
        <v>15672</v>
      </c>
      <c r="BN902" t="s">
        <v>74</v>
      </c>
      <c r="BO902" t="s">
        <v>631</v>
      </c>
      <c r="BP902" t="s">
        <v>74</v>
      </c>
      <c r="BQ902" t="s">
        <v>74</v>
      </c>
      <c r="BR902" t="s">
        <v>104</v>
      </c>
      <c r="BS902" t="s">
        <v>15938</v>
      </c>
      <c r="BT902" t="str">
        <f>HYPERLINK("https%3A%2F%2Fwww.webofscience.com%2Fwos%2Fwoscc%2Ffull-record%2FWOS:000278580500018","View Full Record in Web of Science")</f>
        <v>View Full Record in Web of Science</v>
      </c>
    </row>
    <row r="903" spans="1:72" x14ac:dyDescent="0.15">
      <c r="A903" t="s">
        <v>72</v>
      </c>
      <c r="B903" t="s">
        <v>15939</v>
      </c>
      <c r="C903" t="s">
        <v>74</v>
      </c>
      <c r="D903" t="s">
        <v>74</v>
      </c>
      <c r="E903" t="s">
        <v>74</v>
      </c>
      <c r="F903" t="s">
        <v>15940</v>
      </c>
      <c r="G903" t="s">
        <v>74</v>
      </c>
      <c r="H903" t="s">
        <v>74</v>
      </c>
      <c r="I903" t="s">
        <v>15941</v>
      </c>
      <c r="J903" t="s">
        <v>10820</v>
      </c>
      <c r="K903" t="s">
        <v>74</v>
      </c>
      <c r="L903" t="s">
        <v>74</v>
      </c>
      <c r="M903" t="s">
        <v>78</v>
      </c>
      <c r="N903" t="s">
        <v>79</v>
      </c>
      <c r="O903" t="s">
        <v>74</v>
      </c>
      <c r="P903" t="s">
        <v>74</v>
      </c>
      <c r="Q903" t="s">
        <v>74</v>
      </c>
      <c r="R903" t="s">
        <v>74</v>
      </c>
      <c r="S903" t="s">
        <v>74</v>
      </c>
      <c r="T903" t="s">
        <v>15942</v>
      </c>
      <c r="U903" t="s">
        <v>15943</v>
      </c>
      <c r="V903" t="s">
        <v>15944</v>
      </c>
      <c r="W903" t="s">
        <v>15945</v>
      </c>
      <c r="X903" t="s">
        <v>5454</v>
      </c>
      <c r="Y903" t="s">
        <v>15946</v>
      </c>
      <c r="Z903" t="s">
        <v>15947</v>
      </c>
      <c r="AA903" t="s">
        <v>74</v>
      </c>
      <c r="AB903" t="s">
        <v>74</v>
      </c>
      <c r="AC903" t="s">
        <v>74</v>
      </c>
      <c r="AD903" t="s">
        <v>74</v>
      </c>
      <c r="AE903" t="s">
        <v>74</v>
      </c>
      <c r="AF903" t="s">
        <v>74</v>
      </c>
      <c r="AG903">
        <v>71</v>
      </c>
      <c r="AH903">
        <v>46</v>
      </c>
      <c r="AI903">
        <v>54</v>
      </c>
      <c r="AJ903">
        <v>0</v>
      </c>
      <c r="AK903">
        <v>35</v>
      </c>
      <c r="AL903" t="s">
        <v>264</v>
      </c>
      <c r="AM903" t="s">
        <v>265</v>
      </c>
      <c r="AN903" t="s">
        <v>266</v>
      </c>
      <c r="AO903" t="s">
        <v>10830</v>
      </c>
      <c r="AP903" t="s">
        <v>10831</v>
      </c>
      <c r="AQ903" t="s">
        <v>74</v>
      </c>
      <c r="AR903" t="s">
        <v>10832</v>
      </c>
      <c r="AS903" t="s">
        <v>10833</v>
      </c>
      <c r="AT903" t="s">
        <v>15251</v>
      </c>
      <c r="AU903">
        <v>2010</v>
      </c>
      <c r="AV903">
        <v>57</v>
      </c>
      <c r="AW903" t="s">
        <v>13852</v>
      </c>
      <c r="AX903" t="s">
        <v>74</v>
      </c>
      <c r="AY903" t="s">
        <v>74</v>
      </c>
      <c r="AZ903" t="s">
        <v>582</v>
      </c>
      <c r="BA903" t="s">
        <v>74</v>
      </c>
      <c r="BB903">
        <v>968</v>
      </c>
      <c r="BC903">
        <v>981</v>
      </c>
      <c r="BD903" t="s">
        <v>74</v>
      </c>
      <c r="BE903" t="s">
        <v>15948</v>
      </c>
      <c r="BF903" t="str">
        <f>HYPERLINK("http://dx.doi.org/10.1016/j.dsr2.2008.10.042","http://dx.doi.org/10.1016/j.dsr2.2008.10.042")</f>
        <v>http://dx.doi.org/10.1016/j.dsr2.2008.10.042</v>
      </c>
      <c r="BG903" t="s">
        <v>74</v>
      </c>
      <c r="BH903" t="s">
        <v>74</v>
      </c>
      <c r="BI903">
        <v>14</v>
      </c>
      <c r="BJ903" t="s">
        <v>1531</v>
      </c>
      <c r="BK903" t="s">
        <v>100</v>
      </c>
      <c r="BL903" t="s">
        <v>1531</v>
      </c>
      <c r="BM903" t="s">
        <v>15672</v>
      </c>
      <c r="BN903" t="s">
        <v>74</v>
      </c>
      <c r="BO903" t="s">
        <v>74</v>
      </c>
      <c r="BP903" t="s">
        <v>74</v>
      </c>
      <c r="BQ903" t="s">
        <v>74</v>
      </c>
      <c r="BR903" t="s">
        <v>104</v>
      </c>
      <c r="BS903" t="s">
        <v>15949</v>
      </c>
      <c r="BT903" t="str">
        <f>HYPERLINK("https%3A%2F%2Fwww.webofscience.com%2Fwos%2Fwoscc%2Ffull-record%2FWOS:000278580500019","View Full Record in Web of Science")</f>
        <v>View Full Record in Web of Science</v>
      </c>
    </row>
    <row r="904" spans="1:72" x14ac:dyDescent="0.15">
      <c r="A904" t="s">
        <v>72</v>
      </c>
      <c r="B904" t="s">
        <v>15950</v>
      </c>
      <c r="C904" t="s">
        <v>74</v>
      </c>
      <c r="D904" t="s">
        <v>74</v>
      </c>
      <c r="E904" t="s">
        <v>74</v>
      </c>
      <c r="F904" t="s">
        <v>15951</v>
      </c>
      <c r="G904" t="s">
        <v>74</v>
      </c>
      <c r="H904" t="s">
        <v>74</v>
      </c>
      <c r="I904" t="s">
        <v>15952</v>
      </c>
      <c r="J904" t="s">
        <v>10820</v>
      </c>
      <c r="K904" t="s">
        <v>74</v>
      </c>
      <c r="L904" t="s">
        <v>74</v>
      </c>
      <c r="M904" t="s">
        <v>78</v>
      </c>
      <c r="N904" t="s">
        <v>79</v>
      </c>
      <c r="O904" t="s">
        <v>74</v>
      </c>
      <c r="P904" t="s">
        <v>74</v>
      </c>
      <c r="Q904" t="s">
        <v>74</v>
      </c>
      <c r="R904" t="s">
        <v>74</v>
      </c>
      <c r="S904" t="s">
        <v>74</v>
      </c>
      <c r="T904" t="s">
        <v>15953</v>
      </c>
      <c r="U904" t="s">
        <v>15954</v>
      </c>
      <c r="V904" t="s">
        <v>15955</v>
      </c>
      <c r="W904" t="s">
        <v>15956</v>
      </c>
      <c r="X904" t="s">
        <v>15957</v>
      </c>
      <c r="Y904" t="s">
        <v>15958</v>
      </c>
      <c r="Z904" t="s">
        <v>12043</v>
      </c>
      <c r="AA904" t="s">
        <v>74</v>
      </c>
      <c r="AB904" t="s">
        <v>12044</v>
      </c>
      <c r="AC904" t="s">
        <v>15959</v>
      </c>
      <c r="AD904" t="s">
        <v>15960</v>
      </c>
      <c r="AE904" t="s">
        <v>15961</v>
      </c>
      <c r="AF904" t="s">
        <v>74</v>
      </c>
      <c r="AG904">
        <v>49</v>
      </c>
      <c r="AH904">
        <v>11</v>
      </c>
      <c r="AI904">
        <v>12</v>
      </c>
      <c r="AJ904">
        <v>0</v>
      </c>
      <c r="AK904">
        <v>18</v>
      </c>
      <c r="AL904" t="s">
        <v>264</v>
      </c>
      <c r="AM904" t="s">
        <v>265</v>
      </c>
      <c r="AN904" t="s">
        <v>266</v>
      </c>
      <c r="AO904" t="s">
        <v>10830</v>
      </c>
      <c r="AP904" t="s">
        <v>74</v>
      </c>
      <c r="AQ904" t="s">
        <v>74</v>
      </c>
      <c r="AR904" t="s">
        <v>10832</v>
      </c>
      <c r="AS904" t="s">
        <v>10833</v>
      </c>
      <c r="AT904" t="s">
        <v>15251</v>
      </c>
      <c r="AU904">
        <v>2010</v>
      </c>
      <c r="AV904">
        <v>57</v>
      </c>
      <c r="AW904" t="s">
        <v>13852</v>
      </c>
      <c r="AX904" t="s">
        <v>74</v>
      </c>
      <c r="AY904" t="s">
        <v>74</v>
      </c>
      <c r="AZ904" t="s">
        <v>582</v>
      </c>
      <c r="BA904" t="s">
        <v>74</v>
      </c>
      <c r="BB904">
        <v>982</v>
      </c>
      <c r="BC904">
        <v>991</v>
      </c>
      <c r="BD904" t="s">
        <v>74</v>
      </c>
      <c r="BE904" t="s">
        <v>15962</v>
      </c>
      <c r="BF904" t="str">
        <f>HYPERLINK("http://dx.doi.org/10.1016/j.dsr2.2008.12.041","http://dx.doi.org/10.1016/j.dsr2.2008.12.041")</f>
        <v>http://dx.doi.org/10.1016/j.dsr2.2008.12.041</v>
      </c>
      <c r="BG904" t="s">
        <v>74</v>
      </c>
      <c r="BH904" t="s">
        <v>74</v>
      </c>
      <c r="BI904">
        <v>10</v>
      </c>
      <c r="BJ904" t="s">
        <v>1531</v>
      </c>
      <c r="BK904" t="s">
        <v>100</v>
      </c>
      <c r="BL904" t="s">
        <v>1531</v>
      </c>
      <c r="BM904" t="s">
        <v>15672</v>
      </c>
      <c r="BN904" t="s">
        <v>74</v>
      </c>
      <c r="BO904" t="s">
        <v>74</v>
      </c>
      <c r="BP904" t="s">
        <v>74</v>
      </c>
      <c r="BQ904" t="s">
        <v>74</v>
      </c>
      <c r="BR904" t="s">
        <v>104</v>
      </c>
      <c r="BS904" t="s">
        <v>15963</v>
      </c>
      <c r="BT904" t="str">
        <f>HYPERLINK("https%3A%2F%2Fwww.webofscience.com%2Fwos%2Fwoscc%2Ffull-record%2FWOS:000278580500020","View Full Record in Web of Science")</f>
        <v>View Full Record in Web of Science</v>
      </c>
    </row>
    <row r="905" spans="1:72" x14ac:dyDescent="0.15">
      <c r="A905" t="s">
        <v>72</v>
      </c>
      <c r="B905" t="s">
        <v>15964</v>
      </c>
      <c r="C905" t="s">
        <v>74</v>
      </c>
      <c r="D905" t="s">
        <v>74</v>
      </c>
      <c r="E905" t="s">
        <v>74</v>
      </c>
      <c r="F905" t="s">
        <v>15965</v>
      </c>
      <c r="G905" t="s">
        <v>74</v>
      </c>
      <c r="H905" t="s">
        <v>74</v>
      </c>
      <c r="I905" t="s">
        <v>15966</v>
      </c>
      <c r="J905" t="s">
        <v>536</v>
      </c>
      <c r="K905" t="s">
        <v>74</v>
      </c>
      <c r="L905" t="s">
        <v>74</v>
      </c>
      <c r="M905" t="s">
        <v>78</v>
      </c>
      <c r="N905" t="s">
        <v>79</v>
      </c>
      <c r="O905" t="s">
        <v>74</v>
      </c>
      <c r="P905" t="s">
        <v>74</v>
      </c>
      <c r="Q905" t="s">
        <v>74</v>
      </c>
      <c r="R905" t="s">
        <v>74</v>
      </c>
      <c r="S905" t="s">
        <v>74</v>
      </c>
      <c r="T905" t="s">
        <v>15967</v>
      </c>
      <c r="U905" t="s">
        <v>15968</v>
      </c>
      <c r="V905" t="s">
        <v>15969</v>
      </c>
      <c r="W905" t="s">
        <v>15970</v>
      </c>
      <c r="X905" t="s">
        <v>15971</v>
      </c>
      <c r="Y905" t="s">
        <v>15972</v>
      </c>
      <c r="Z905" t="s">
        <v>15973</v>
      </c>
      <c r="AA905" t="s">
        <v>15974</v>
      </c>
      <c r="AB905" t="s">
        <v>15975</v>
      </c>
      <c r="AC905" t="s">
        <v>74</v>
      </c>
      <c r="AD905" t="s">
        <v>74</v>
      </c>
      <c r="AE905" t="s">
        <v>74</v>
      </c>
      <c r="AF905" t="s">
        <v>74</v>
      </c>
      <c r="AG905">
        <v>54</v>
      </c>
      <c r="AH905">
        <v>59</v>
      </c>
      <c r="AI905">
        <v>67</v>
      </c>
      <c r="AJ905">
        <v>0</v>
      </c>
      <c r="AK905">
        <v>31</v>
      </c>
      <c r="AL905" t="s">
        <v>1038</v>
      </c>
      <c r="AM905" t="s">
        <v>550</v>
      </c>
      <c r="AN905" t="s">
        <v>1039</v>
      </c>
      <c r="AO905" t="s">
        <v>552</v>
      </c>
      <c r="AP905" t="s">
        <v>2999</v>
      </c>
      <c r="AQ905" t="s">
        <v>74</v>
      </c>
      <c r="AR905" t="s">
        <v>553</v>
      </c>
      <c r="AS905" t="s">
        <v>554</v>
      </c>
      <c r="AT905" t="s">
        <v>15976</v>
      </c>
      <c r="AU905">
        <v>2010</v>
      </c>
      <c r="AV905">
        <v>293</v>
      </c>
      <c r="AW905" t="s">
        <v>556</v>
      </c>
      <c r="AX905" t="s">
        <v>74</v>
      </c>
      <c r="AY905" t="s">
        <v>74</v>
      </c>
      <c r="AZ905" t="s">
        <v>74</v>
      </c>
      <c r="BA905" t="s">
        <v>74</v>
      </c>
      <c r="BB905">
        <v>269</v>
      </c>
      <c r="BC905">
        <v>276</v>
      </c>
      <c r="BD905" t="s">
        <v>74</v>
      </c>
      <c r="BE905" t="s">
        <v>15977</v>
      </c>
      <c r="BF905" t="str">
        <f>HYPERLINK("http://dx.doi.org/10.1016/j.epsl.2010.02.041","http://dx.doi.org/10.1016/j.epsl.2010.02.041")</f>
        <v>http://dx.doi.org/10.1016/j.epsl.2010.02.041</v>
      </c>
      <c r="BG905" t="s">
        <v>74</v>
      </c>
      <c r="BH905" t="s">
        <v>74</v>
      </c>
      <c r="BI905">
        <v>8</v>
      </c>
      <c r="BJ905" t="s">
        <v>558</v>
      </c>
      <c r="BK905" t="s">
        <v>100</v>
      </c>
      <c r="BL905" t="s">
        <v>558</v>
      </c>
      <c r="BM905" t="s">
        <v>15978</v>
      </c>
      <c r="BN905" t="s">
        <v>74</v>
      </c>
      <c r="BO905" t="s">
        <v>74</v>
      </c>
      <c r="BP905" t="s">
        <v>74</v>
      </c>
      <c r="BQ905" t="s">
        <v>74</v>
      </c>
      <c r="BR905" t="s">
        <v>104</v>
      </c>
      <c r="BS905" t="s">
        <v>15979</v>
      </c>
      <c r="BT905" t="str">
        <f>HYPERLINK("https%3A%2F%2Fwww.webofscience.com%2Fwos%2Fwoscc%2Ffull-record%2FWOS:000277816900005","View Full Record in Web of Science")</f>
        <v>View Full Record in Web of Science</v>
      </c>
    </row>
    <row r="906" spans="1:72" x14ac:dyDescent="0.15">
      <c r="A906" t="s">
        <v>72</v>
      </c>
      <c r="B906" t="s">
        <v>15980</v>
      </c>
      <c r="C906" t="s">
        <v>74</v>
      </c>
      <c r="D906" t="s">
        <v>74</v>
      </c>
      <c r="E906" t="s">
        <v>74</v>
      </c>
      <c r="F906" t="s">
        <v>15981</v>
      </c>
      <c r="G906" t="s">
        <v>74</v>
      </c>
      <c r="H906" t="s">
        <v>74</v>
      </c>
      <c r="I906" t="s">
        <v>15982</v>
      </c>
      <c r="J906" t="s">
        <v>536</v>
      </c>
      <c r="K906" t="s">
        <v>74</v>
      </c>
      <c r="L906" t="s">
        <v>74</v>
      </c>
      <c r="M906" t="s">
        <v>78</v>
      </c>
      <c r="N906" t="s">
        <v>79</v>
      </c>
      <c r="O906" t="s">
        <v>74</v>
      </c>
      <c r="P906" t="s">
        <v>74</v>
      </c>
      <c r="Q906" t="s">
        <v>74</v>
      </c>
      <c r="R906" t="s">
        <v>74</v>
      </c>
      <c r="S906" t="s">
        <v>74</v>
      </c>
      <c r="T906" t="s">
        <v>15983</v>
      </c>
      <c r="U906" t="s">
        <v>15984</v>
      </c>
      <c r="V906" t="s">
        <v>15985</v>
      </c>
      <c r="W906" t="s">
        <v>15986</v>
      </c>
      <c r="X906" t="s">
        <v>15987</v>
      </c>
      <c r="Y906" t="s">
        <v>15988</v>
      </c>
      <c r="Z906" t="s">
        <v>15989</v>
      </c>
      <c r="AA906" t="s">
        <v>15990</v>
      </c>
      <c r="AB906" t="s">
        <v>15991</v>
      </c>
      <c r="AC906" t="s">
        <v>15992</v>
      </c>
      <c r="AD906" t="s">
        <v>15993</v>
      </c>
      <c r="AE906" t="s">
        <v>15994</v>
      </c>
      <c r="AF906" t="s">
        <v>74</v>
      </c>
      <c r="AG906">
        <v>39</v>
      </c>
      <c r="AH906">
        <v>91</v>
      </c>
      <c r="AI906">
        <v>93</v>
      </c>
      <c r="AJ906">
        <v>0</v>
      </c>
      <c r="AK906">
        <v>17</v>
      </c>
      <c r="AL906" t="s">
        <v>549</v>
      </c>
      <c r="AM906" t="s">
        <v>550</v>
      </c>
      <c r="AN906" t="s">
        <v>551</v>
      </c>
      <c r="AO906" t="s">
        <v>552</v>
      </c>
      <c r="AP906" t="s">
        <v>74</v>
      </c>
      <c r="AQ906" t="s">
        <v>74</v>
      </c>
      <c r="AR906" t="s">
        <v>553</v>
      </c>
      <c r="AS906" t="s">
        <v>554</v>
      </c>
      <c r="AT906" t="s">
        <v>15976</v>
      </c>
      <c r="AU906">
        <v>2010</v>
      </c>
      <c r="AV906">
        <v>293</v>
      </c>
      <c r="AW906" t="s">
        <v>556</v>
      </c>
      <c r="AX906" t="s">
        <v>74</v>
      </c>
      <c r="AY906" t="s">
        <v>74</v>
      </c>
      <c r="AZ906" t="s">
        <v>74</v>
      </c>
      <c r="BA906" t="s">
        <v>74</v>
      </c>
      <c r="BB906">
        <v>313</v>
      </c>
      <c r="BC906">
        <v>320</v>
      </c>
      <c r="BD906" t="s">
        <v>74</v>
      </c>
      <c r="BE906" t="s">
        <v>15995</v>
      </c>
      <c r="BF906" t="str">
        <f>HYPERLINK("http://dx.doi.org/10.1016/j.epsl.2010.02.046","http://dx.doi.org/10.1016/j.epsl.2010.02.046")</f>
        <v>http://dx.doi.org/10.1016/j.epsl.2010.02.046</v>
      </c>
      <c r="BG906" t="s">
        <v>74</v>
      </c>
      <c r="BH906" t="s">
        <v>74</v>
      </c>
      <c r="BI906">
        <v>8</v>
      </c>
      <c r="BJ906" t="s">
        <v>558</v>
      </c>
      <c r="BK906" t="s">
        <v>100</v>
      </c>
      <c r="BL906" t="s">
        <v>558</v>
      </c>
      <c r="BM906" t="s">
        <v>15978</v>
      </c>
      <c r="BN906" t="s">
        <v>74</v>
      </c>
      <c r="BO906" t="s">
        <v>631</v>
      </c>
      <c r="BP906" t="s">
        <v>74</v>
      </c>
      <c r="BQ906" t="s">
        <v>74</v>
      </c>
      <c r="BR906" t="s">
        <v>104</v>
      </c>
      <c r="BS906" t="s">
        <v>15996</v>
      </c>
      <c r="BT906" t="str">
        <f>HYPERLINK("https%3A%2F%2Fwww.webofscience.com%2Fwos%2Fwoscc%2Ffull-record%2FWOS:000277816900009","View Full Record in Web of Science")</f>
        <v>View Full Record in Web of Science</v>
      </c>
    </row>
    <row r="907" spans="1:72" x14ac:dyDescent="0.15">
      <c r="A907" t="s">
        <v>72</v>
      </c>
      <c r="B907" t="s">
        <v>15997</v>
      </c>
      <c r="C907" t="s">
        <v>74</v>
      </c>
      <c r="D907" t="s">
        <v>74</v>
      </c>
      <c r="E907" t="s">
        <v>74</v>
      </c>
      <c r="F907" t="s">
        <v>15998</v>
      </c>
      <c r="G907" t="s">
        <v>74</v>
      </c>
      <c r="H907" t="s">
        <v>74</v>
      </c>
      <c r="I907" t="s">
        <v>15999</v>
      </c>
      <c r="J907" t="s">
        <v>16000</v>
      </c>
      <c r="K907" t="s">
        <v>74</v>
      </c>
      <c r="L907" t="s">
        <v>74</v>
      </c>
      <c r="M907" t="s">
        <v>78</v>
      </c>
      <c r="N907" t="s">
        <v>79</v>
      </c>
      <c r="O907" t="s">
        <v>74</v>
      </c>
      <c r="P907" t="s">
        <v>74</v>
      </c>
      <c r="Q907" t="s">
        <v>74</v>
      </c>
      <c r="R907" t="s">
        <v>74</v>
      </c>
      <c r="S907" t="s">
        <v>74</v>
      </c>
      <c r="T907" t="s">
        <v>74</v>
      </c>
      <c r="U907" t="s">
        <v>16001</v>
      </c>
      <c r="V907" t="s">
        <v>16002</v>
      </c>
      <c r="W907" t="s">
        <v>16003</v>
      </c>
      <c r="X907" t="s">
        <v>16004</v>
      </c>
      <c r="Y907" t="s">
        <v>16005</v>
      </c>
      <c r="Z907" t="s">
        <v>74</v>
      </c>
      <c r="AA907" t="s">
        <v>16006</v>
      </c>
      <c r="AB907" t="s">
        <v>16007</v>
      </c>
      <c r="AC907" t="s">
        <v>74</v>
      </c>
      <c r="AD907" t="s">
        <v>74</v>
      </c>
      <c r="AE907" t="s">
        <v>74</v>
      </c>
      <c r="AF907" t="s">
        <v>74</v>
      </c>
      <c r="AG907">
        <v>35</v>
      </c>
      <c r="AH907">
        <v>23</v>
      </c>
      <c r="AI907">
        <v>27</v>
      </c>
      <c r="AJ907">
        <v>0</v>
      </c>
      <c r="AK907">
        <v>14</v>
      </c>
      <c r="AL907" t="s">
        <v>6457</v>
      </c>
      <c r="AM907" t="s">
        <v>6458</v>
      </c>
      <c r="AN907" t="s">
        <v>6459</v>
      </c>
      <c r="AO907" t="s">
        <v>16008</v>
      </c>
      <c r="AP907" t="s">
        <v>16009</v>
      </c>
      <c r="AQ907" t="s">
        <v>74</v>
      </c>
      <c r="AR907" t="s">
        <v>16010</v>
      </c>
      <c r="AS907" t="s">
        <v>16011</v>
      </c>
      <c r="AT907" t="s">
        <v>15251</v>
      </c>
      <c r="AU907">
        <v>2010</v>
      </c>
      <c r="AV907">
        <v>43</v>
      </c>
      <c r="AW907">
        <v>5</v>
      </c>
      <c r="AX907" t="s">
        <v>74</v>
      </c>
      <c r="AY907" t="s">
        <v>74</v>
      </c>
      <c r="AZ907" t="s">
        <v>74</v>
      </c>
      <c r="BA907" t="s">
        <v>74</v>
      </c>
      <c r="BB907">
        <v>499</v>
      </c>
      <c r="BC907">
        <v>508</v>
      </c>
      <c r="BD907" t="s">
        <v>74</v>
      </c>
      <c r="BE907" t="s">
        <v>16012</v>
      </c>
      <c r="BF907" t="str">
        <f>HYPERLINK("http://dx.doi.org/10.1134/S1064229310050030","http://dx.doi.org/10.1134/S1064229310050030")</f>
        <v>http://dx.doi.org/10.1134/S1064229310050030</v>
      </c>
      <c r="BG907" t="s">
        <v>74</v>
      </c>
      <c r="BH907" t="s">
        <v>74</v>
      </c>
      <c r="BI907">
        <v>10</v>
      </c>
      <c r="BJ907" t="s">
        <v>1432</v>
      </c>
      <c r="BK907" t="s">
        <v>100</v>
      </c>
      <c r="BL907" t="s">
        <v>1433</v>
      </c>
      <c r="BM907" t="s">
        <v>16013</v>
      </c>
      <c r="BN907" t="s">
        <v>74</v>
      </c>
      <c r="BO907" t="s">
        <v>74</v>
      </c>
      <c r="BP907" t="s">
        <v>74</v>
      </c>
      <c r="BQ907" t="s">
        <v>74</v>
      </c>
      <c r="BR907" t="s">
        <v>104</v>
      </c>
      <c r="BS907" t="s">
        <v>16014</v>
      </c>
      <c r="BT907" t="str">
        <f>HYPERLINK("https%3A%2F%2Fwww.webofscience.com%2Fwos%2Fwoscc%2Ffull-record%2FWOS:000279216000003","View Full Record in Web of Science")</f>
        <v>View Full Record in Web of Science</v>
      </c>
    </row>
    <row r="908" spans="1:72" x14ac:dyDescent="0.15">
      <c r="A908" t="s">
        <v>72</v>
      </c>
      <c r="B908" t="s">
        <v>16015</v>
      </c>
      <c r="C908" t="s">
        <v>74</v>
      </c>
      <c r="D908" t="s">
        <v>74</v>
      </c>
      <c r="E908" t="s">
        <v>74</v>
      </c>
      <c r="F908" t="s">
        <v>16016</v>
      </c>
      <c r="G908" t="s">
        <v>74</v>
      </c>
      <c r="H908" t="s">
        <v>74</v>
      </c>
      <c r="I908" t="s">
        <v>16017</v>
      </c>
      <c r="J908" t="s">
        <v>564</v>
      </c>
      <c r="K908" t="s">
        <v>74</v>
      </c>
      <c r="L908" t="s">
        <v>74</v>
      </c>
      <c r="M908" t="s">
        <v>78</v>
      </c>
      <c r="N908" t="s">
        <v>79</v>
      </c>
      <c r="O908" t="s">
        <v>74</v>
      </c>
      <c r="P908" t="s">
        <v>74</v>
      </c>
      <c r="Q908" t="s">
        <v>74</v>
      </c>
      <c r="R908" t="s">
        <v>74</v>
      </c>
      <c r="S908" t="s">
        <v>74</v>
      </c>
      <c r="T908" t="s">
        <v>16018</v>
      </c>
      <c r="U908" t="s">
        <v>16019</v>
      </c>
      <c r="V908" t="s">
        <v>16020</v>
      </c>
      <c r="W908" t="s">
        <v>16021</v>
      </c>
      <c r="X908" t="s">
        <v>16022</v>
      </c>
      <c r="Y908" t="s">
        <v>16023</v>
      </c>
      <c r="Z908" t="s">
        <v>16024</v>
      </c>
      <c r="AA908" t="s">
        <v>16025</v>
      </c>
      <c r="AB908" t="s">
        <v>16026</v>
      </c>
      <c r="AC908" t="s">
        <v>16027</v>
      </c>
      <c r="AD908" t="s">
        <v>16028</v>
      </c>
      <c r="AE908" t="s">
        <v>16029</v>
      </c>
      <c r="AF908" t="s">
        <v>74</v>
      </c>
      <c r="AG908">
        <v>182</v>
      </c>
      <c r="AH908">
        <v>20</v>
      </c>
      <c r="AI908">
        <v>20</v>
      </c>
      <c r="AJ908">
        <v>0</v>
      </c>
      <c r="AK908">
        <v>60</v>
      </c>
      <c r="AL908" t="s">
        <v>464</v>
      </c>
      <c r="AM908" t="s">
        <v>576</v>
      </c>
      <c r="AN908" t="s">
        <v>577</v>
      </c>
      <c r="AO908" t="s">
        <v>578</v>
      </c>
      <c r="AP908" t="s">
        <v>579</v>
      </c>
      <c r="AQ908" t="s">
        <v>74</v>
      </c>
      <c r="AR908" t="s">
        <v>580</v>
      </c>
      <c r="AS908" t="s">
        <v>581</v>
      </c>
      <c r="AT908" t="s">
        <v>15251</v>
      </c>
      <c r="AU908">
        <v>2010</v>
      </c>
      <c r="AV908">
        <v>24</v>
      </c>
      <c r="AW908">
        <v>3</v>
      </c>
      <c r="AX908" t="s">
        <v>74</v>
      </c>
      <c r="AY908" t="s">
        <v>74</v>
      </c>
      <c r="AZ908" t="s">
        <v>582</v>
      </c>
      <c r="BA908" t="s">
        <v>74</v>
      </c>
      <c r="BB908">
        <v>601</v>
      </c>
      <c r="BC908">
        <v>616</v>
      </c>
      <c r="BD908" t="s">
        <v>74</v>
      </c>
      <c r="BE908" t="s">
        <v>16030</v>
      </c>
      <c r="BF908" t="str">
        <f>HYPERLINK("http://dx.doi.org/10.1007/s10682-009-9329-x","http://dx.doi.org/10.1007/s10682-009-9329-x")</f>
        <v>http://dx.doi.org/10.1007/s10682-009-9329-x</v>
      </c>
      <c r="BG908" t="s">
        <v>74</v>
      </c>
      <c r="BH908" t="s">
        <v>74</v>
      </c>
      <c r="BI908">
        <v>16</v>
      </c>
      <c r="BJ908" t="s">
        <v>584</v>
      </c>
      <c r="BK908" t="s">
        <v>100</v>
      </c>
      <c r="BL908" t="s">
        <v>585</v>
      </c>
      <c r="BM908" t="s">
        <v>16031</v>
      </c>
      <c r="BN908" t="s">
        <v>74</v>
      </c>
      <c r="BO908" t="s">
        <v>8037</v>
      </c>
      <c r="BP908" t="s">
        <v>74</v>
      </c>
      <c r="BQ908" t="s">
        <v>74</v>
      </c>
      <c r="BR908" t="s">
        <v>104</v>
      </c>
      <c r="BS908" t="s">
        <v>16032</v>
      </c>
      <c r="BT908" t="str">
        <f>HYPERLINK("https%3A%2F%2Fwww.webofscience.com%2Fwos%2Fwoscc%2Ffull-record%2FWOS:000276607700007","View Full Record in Web of Science")</f>
        <v>View Full Record in Web of Science</v>
      </c>
    </row>
    <row r="909" spans="1:72" x14ac:dyDescent="0.15">
      <c r="A909" t="s">
        <v>72</v>
      </c>
      <c r="B909" t="s">
        <v>16033</v>
      </c>
      <c r="C909" t="s">
        <v>74</v>
      </c>
      <c r="D909" t="s">
        <v>74</v>
      </c>
      <c r="E909" t="s">
        <v>74</v>
      </c>
      <c r="F909" t="s">
        <v>16034</v>
      </c>
      <c r="G909" t="s">
        <v>74</v>
      </c>
      <c r="H909" t="s">
        <v>74</v>
      </c>
      <c r="I909" t="s">
        <v>16035</v>
      </c>
      <c r="J909" t="s">
        <v>5945</v>
      </c>
      <c r="K909" t="s">
        <v>74</v>
      </c>
      <c r="L909" t="s">
        <v>74</v>
      </c>
      <c r="M909" t="s">
        <v>78</v>
      </c>
      <c r="N909" t="s">
        <v>79</v>
      </c>
      <c r="O909" t="s">
        <v>74</v>
      </c>
      <c r="P909" t="s">
        <v>74</v>
      </c>
      <c r="Q909" t="s">
        <v>74</v>
      </c>
      <c r="R909" t="s">
        <v>74</v>
      </c>
      <c r="S909" t="s">
        <v>74</v>
      </c>
      <c r="T909" t="s">
        <v>16036</v>
      </c>
      <c r="U909" t="s">
        <v>16037</v>
      </c>
      <c r="V909" t="s">
        <v>16038</v>
      </c>
      <c r="W909" t="s">
        <v>16039</v>
      </c>
      <c r="X909" t="s">
        <v>16040</v>
      </c>
      <c r="Y909" t="s">
        <v>16041</v>
      </c>
      <c r="Z909" t="s">
        <v>16042</v>
      </c>
      <c r="AA909" t="s">
        <v>16043</v>
      </c>
      <c r="AB909" t="s">
        <v>16044</v>
      </c>
      <c r="AC909" t="s">
        <v>16045</v>
      </c>
      <c r="AD909" t="s">
        <v>16046</v>
      </c>
      <c r="AE909" t="s">
        <v>16047</v>
      </c>
      <c r="AF909" t="s">
        <v>74</v>
      </c>
      <c r="AG909">
        <v>39</v>
      </c>
      <c r="AH909">
        <v>36</v>
      </c>
      <c r="AI909">
        <v>39</v>
      </c>
      <c r="AJ909">
        <v>0</v>
      </c>
      <c r="AK909">
        <v>19</v>
      </c>
      <c r="AL909" t="s">
        <v>5957</v>
      </c>
      <c r="AM909" t="s">
        <v>386</v>
      </c>
      <c r="AN909" t="s">
        <v>5958</v>
      </c>
      <c r="AO909" t="s">
        <v>5959</v>
      </c>
      <c r="AP909" t="s">
        <v>5960</v>
      </c>
      <c r="AQ909" t="s">
        <v>74</v>
      </c>
      <c r="AR909" t="s">
        <v>5945</v>
      </c>
      <c r="AS909" t="s">
        <v>5961</v>
      </c>
      <c r="AT909" t="s">
        <v>15251</v>
      </c>
      <c r="AU909">
        <v>2010</v>
      </c>
      <c r="AV909">
        <v>14</v>
      </c>
      <c r="AW909">
        <v>3</v>
      </c>
      <c r="AX909" t="s">
        <v>74</v>
      </c>
      <c r="AY909" t="s">
        <v>74</v>
      </c>
      <c r="AZ909" t="s">
        <v>74</v>
      </c>
      <c r="BA909" t="s">
        <v>74</v>
      </c>
      <c r="BB909">
        <v>329</v>
      </c>
      <c r="BC909">
        <v>337</v>
      </c>
      <c r="BD909" t="s">
        <v>74</v>
      </c>
      <c r="BE909" t="s">
        <v>16048</v>
      </c>
      <c r="BF909" t="str">
        <f>HYPERLINK("http://dx.doi.org/10.1007/s00792-010-0313-8","http://dx.doi.org/10.1007/s00792-010-0313-8")</f>
        <v>http://dx.doi.org/10.1007/s00792-010-0313-8</v>
      </c>
      <c r="BG909" t="s">
        <v>74</v>
      </c>
      <c r="BH909" t="s">
        <v>74</v>
      </c>
      <c r="BI909">
        <v>9</v>
      </c>
      <c r="BJ909" t="s">
        <v>5963</v>
      </c>
      <c r="BK909" t="s">
        <v>100</v>
      </c>
      <c r="BL909" t="s">
        <v>5963</v>
      </c>
      <c r="BM909" t="s">
        <v>16049</v>
      </c>
      <c r="BN909">
        <v>20373120</v>
      </c>
      <c r="BO909" t="s">
        <v>74</v>
      </c>
      <c r="BP909" t="s">
        <v>74</v>
      </c>
      <c r="BQ909" t="s">
        <v>74</v>
      </c>
      <c r="BR909" t="s">
        <v>104</v>
      </c>
      <c r="BS909" t="s">
        <v>16050</v>
      </c>
      <c r="BT909" t="str">
        <f>HYPERLINK("https%3A%2F%2Fwww.webofscience.com%2Fwos%2Fwoscc%2Ffull-record%2FWOS:000277024500010","View Full Record in Web of Science")</f>
        <v>View Full Record in Web of Science</v>
      </c>
    </row>
    <row r="910" spans="1:72" x14ac:dyDescent="0.15">
      <c r="A910" t="s">
        <v>72</v>
      </c>
      <c r="B910" t="s">
        <v>16051</v>
      </c>
      <c r="C910" t="s">
        <v>74</v>
      </c>
      <c r="D910" t="s">
        <v>74</v>
      </c>
      <c r="E910" t="s">
        <v>74</v>
      </c>
      <c r="F910" t="s">
        <v>16052</v>
      </c>
      <c r="G910" t="s">
        <v>74</v>
      </c>
      <c r="H910" t="s">
        <v>74</v>
      </c>
      <c r="I910" t="s">
        <v>16053</v>
      </c>
      <c r="J910" t="s">
        <v>11060</v>
      </c>
      <c r="K910" t="s">
        <v>74</v>
      </c>
      <c r="L910" t="s">
        <v>74</v>
      </c>
      <c r="M910" t="s">
        <v>78</v>
      </c>
      <c r="N910" t="s">
        <v>79</v>
      </c>
      <c r="O910" t="s">
        <v>74</v>
      </c>
      <c r="P910" t="s">
        <v>74</v>
      </c>
      <c r="Q910" t="s">
        <v>74</v>
      </c>
      <c r="R910" t="s">
        <v>74</v>
      </c>
      <c r="S910" t="s">
        <v>74</v>
      </c>
      <c r="T910" t="s">
        <v>74</v>
      </c>
      <c r="U910" t="s">
        <v>16054</v>
      </c>
      <c r="V910" t="s">
        <v>16055</v>
      </c>
      <c r="W910" t="s">
        <v>16056</v>
      </c>
      <c r="X910" t="s">
        <v>16057</v>
      </c>
      <c r="Y910" t="s">
        <v>16058</v>
      </c>
      <c r="Z910" t="s">
        <v>9801</v>
      </c>
      <c r="AA910" t="s">
        <v>16059</v>
      </c>
      <c r="AB910" t="s">
        <v>16060</v>
      </c>
      <c r="AC910" t="s">
        <v>16061</v>
      </c>
      <c r="AD910" t="s">
        <v>16062</v>
      </c>
      <c r="AE910" t="s">
        <v>16063</v>
      </c>
      <c r="AF910" t="s">
        <v>74</v>
      </c>
      <c r="AG910">
        <v>96</v>
      </c>
      <c r="AH910">
        <v>74</v>
      </c>
      <c r="AI910">
        <v>78</v>
      </c>
      <c r="AJ910">
        <v>1</v>
      </c>
      <c r="AK910">
        <v>10</v>
      </c>
      <c r="AL910" t="s">
        <v>3145</v>
      </c>
      <c r="AM910" t="s">
        <v>91</v>
      </c>
      <c r="AN910" t="s">
        <v>3146</v>
      </c>
      <c r="AO910" t="s">
        <v>11070</v>
      </c>
      <c r="AP910" t="s">
        <v>11071</v>
      </c>
      <c r="AQ910" t="s">
        <v>74</v>
      </c>
      <c r="AR910" t="s">
        <v>11072</v>
      </c>
      <c r="AS910" t="s">
        <v>11073</v>
      </c>
      <c r="AT910" t="s">
        <v>15275</v>
      </c>
      <c r="AU910">
        <v>2010</v>
      </c>
      <c r="AV910">
        <v>122</v>
      </c>
      <c r="AW910" t="s">
        <v>16064</v>
      </c>
      <c r="AX910" t="s">
        <v>74</v>
      </c>
      <c r="AY910" t="s">
        <v>74</v>
      </c>
      <c r="AZ910" t="s">
        <v>74</v>
      </c>
      <c r="BA910" t="s">
        <v>74</v>
      </c>
      <c r="BB910">
        <v>714</v>
      </c>
      <c r="BC910">
        <v>726</v>
      </c>
      <c r="BD910" t="s">
        <v>74</v>
      </c>
      <c r="BE910" t="s">
        <v>16065</v>
      </c>
      <c r="BF910" t="str">
        <f>HYPERLINK("http://dx.doi.org/10.1130/B26417.1","http://dx.doi.org/10.1130/B26417.1")</f>
        <v>http://dx.doi.org/10.1130/B26417.1</v>
      </c>
      <c r="BG910" t="s">
        <v>74</v>
      </c>
      <c r="BH910" t="s">
        <v>74</v>
      </c>
      <c r="BI910">
        <v>13</v>
      </c>
      <c r="BJ910" t="s">
        <v>1194</v>
      </c>
      <c r="BK910" t="s">
        <v>100</v>
      </c>
      <c r="BL910" t="s">
        <v>807</v>
      </c>
      <c r="BM910" t="s">
        <v>16066</v>
      </c>
      <c r="BN910" t="s">
        <v>74</v>
      </c>
      <c r="BO910" t="s">
        <v>74</v>
      </c>
      <c r="BP910" t="s">
        <v>74</v>
      </c>
      <c r="BQ910" t="s">
        <v>74</v>
      </c>
      <c r="BR910" t="s">
        <v>104</v>
      </c>
      <c r="BS910" t="s">
        <v>16067</v>
      </c>
      <c r="BT910" t="str">
        <f>HYPERLINK("https%3A%2F%2Fwww.webofscience.com%2Fwos%2Fwoscc%2Ffull-record%2FWOS:000278350800006","View Full Record in Web of Science")</f>
        <v>View Full Record in Web of Science</v>
      </c>
    </row>
    <row r="911" spans="1:72" x14ac:dyDescent="0.15">
      <c r="A911" t="s">
        <v>72</v>
      </c>
      <c r="B911" t="s">
        <v>16068</v>
      </c>
      <c r="C911" t="s">
        <v>74</v>
      </c>
      <c r="D911" t="s">
        <v>74</v>
      </c>
      <c r="E911" t="s">
        <v>74</v>
      </c>
      <c r="F911" t="s">
        <v>16069</v>
      </c>
      <c r="G911" t="s">
        <v>74</v>
      </c>
      <c r="H911" t="s">
        <v>74</v>
      </c>
      <c r="I911" t="s">
        <v>16070</v>
      </c>
      <c r="J911" t="s">
        <v>11060</v>
      </c>
      <c r="K911" t="s">
        <v>74</v>
      </c>
      <c r="L911" t="s">
        <v>74</v>
      </c>
      <c r="M911" t="s">
        <v>78</v>
      </c>
      <c r="N911" t="s">
        <v>79</v>
      </c>
      <c r="O911" t="s">
        <v>74</v>
      </c>
      <c r="P911" t="s">
        <v>74</v>
      </c>
      <c r="Q911" t="s">
        <v>74</v>
      </c>
      <c r="R911" t="s">
        <v>74</v>
      </c>
      <c r="S911" t="s">
        <v>74</v>
      </c>
      <c r="T911" t="s">
        <v>74</v>
      </c>
      <c r="U911" t="s">
        <v>16071</v>
      </c>
      <c r="V911" t="s">
        <v>16072</v>
      </c>
      <c r="W911" t="s">
        <v>16073</v>
      </c>
      <c r="X911" t="s">
        <v>16074</v>
      </c>
      <c r="Y911" t="s">
        <v>16075</v>
      </c>
      <c r="Z911" t="s">
        <v>16076</v>
      </c>
      <c r="AA911" t="s">
        <v>13618</v>
      </c>
      <c r="AB911" t="s">
        <v>74</v>
      </c>
      <c r="AC911" t="s">
        <v>16077</v>
      </c>
      <c r="AD911" t="s">
        <v>1402</v>
      </c>
      <c r="AE911" t="s">
        <v>16078</v>
      </c>
      <c r="AF911" t="s">
        <v>74</v>
      </c>
      <c r="AG911">
        <v>45</v>
      </c>
      <c r="AH911">
        <v>31</v>
      </c>
      <c r="AI911">
        <v>34</v>
      </c>
      <c r="AJ911">
        <v>1</v>
      </c>
      <c r="AK911">
        <v>11</v>
      </c>
      <c r="AL911" t="s">
        <v>3145</v>
      </c>
      <c r="AM911" t="s">
        <v>91</v>
      </c>
      <c r="AN911" t="s">
        <v>3146</v>
      </c>
      <c r="AO911" t="s">
        <v>11070</v>
      </c>
      <c r="AP911" t="s">
        <v>74</v>
      </c>
      <c r="AQ911" t="s">
        <v>74</v>
      </c>
      <c r="AR911" t="s">
        <v>11072</v>
      </c>
      <c r="AS911" t="s">
        <v>11073</v>
      </c>
      <c r="AT911" t="s">
        <v>15275</v>
      </c>
      <c r="AU911">
        <v>2010</v>
      </c>
      <c r="AV911">
        <v>122</v>
      </c>
      <c r="AW911" t="s">
        <v>16064</v>
      </c>
      <c r="AX911" t="s">
        <v>74</v>
      </c>
      <c r="AY911" t="s">
        <v>74</v>
      </c>
      <c r="AZ911" t="s">
        <v>74</v>
      </c>
      <c r="BA911" t="s">
        <v>74</v>
      </c>
      <c r="BB911">
        <v>830</v>
      </c>
      <c r="BC911">
        <v>842</v>
      </c>
      <c r="BD911" t="s">
        <v>74</v>
      </c>
      <c r="BE911" t="s">
        <v>16079</v>
      </c>
      <c r="BF911" t="str">
        <f>HYPERLINK("http://dx.doi.org/10.1130/B26486.1","http://dx.doi.org/10.1130/B26486.1")</f>
        <v>http://dx.doi.org/10.1130/B26486.1</v>
      </c>
      <c r="BG911" t="s">
        <v>74</v>
      </c>
      <c r="BH911" t="s">
        <v>74</v>
      </c>
      <c r="BI911">
        <v>13</v>
      </c>
      <c r="BJ911" t="s">
        <v>1194</v>
      </c>
      <c r="BK911" t="s">
        <v>100</v>
      </c>
      <c r="BL911" t="s">
        <v>807</v>
      </c>
      <c r="BM911" t="s">
        <v>16066</v>
      </c>
      <c r="BN911" t="s">
        <v>74</v>
      </c>
      <c r="BO911" t="s">
        <v>74</v>
      </c>
      <c r="BP911" t="s">
        <v>74</v>
      </c>
      <c r="BQ911" t="s">
        <v>74</v>
      </c>
      <c r="BR911" t="s">
        <v>104</v>
      </c>
      <c r="BS911" t="s">
        <v>16080</v>
      </c>
      <c r="BT911" t="str">
        <f>HYPERLINK("https%3A%2F%2Fwww.webofscience.com%2Fwos%2Fwoscc%2Ffull-record%2FWOS:000278350800013","View Full Record in Web of Science")</f>
        <v>View Full Record in Web of Science</v>
      </c>
    </row>
    <row r="912" spans="1:72" x14ac:dyDescent="0.15">
      <c r="A912" t="s">
        <v>72</v>
      </c>
      <c r="B912" t="s">
        <v>16081</v>
      </c>
      <c r="C912" t="s">
        <v>74</v>
      </c>
      <c r="D912" t="s">
        <v>74</v>
      </c>
      <c r="E912" t="s">
        <v>74</v>
      </c>
      <c r="F912" t="s">
        <v>16082</v>
      </c>
      <c r="G912" t="s">
        <v>74</v>
      </c>
      <c r="H912" t="s">
        <v>74</v>
      </c>
      <c r="I912" t="s">
        <v>16083</v>
      </c>
      <c r="J912" t="s">
        <v>11060</v>
      </c>
      <c r="K912" t="s">
        <v>74</v>
      </c>
      <c r="L912" t="s">
        <v>74</v>
      </c>
      <c r="M912" t="s">
        <v>78</v>
      </c>
      <c r="N912" t="s">
        <v>79</v>
      </c>
      <c r="O912" t="s">
        <v>74</v>
      </c>
      <c r="P912" t="s">
        <v>74</v>
      </c>
      <c r="Q912" t="s">
        <v>74</v>
      </c>
      <c r="R912" t="s">
        <v>74</v>
      </c>
      <c r="S912" t="s">
        <v>74</v>
      </c>
      <c r="T912" t="s">
        <v>74</v>
      </c>
      <c r="U912" t="s">
        <v>16084</v>
      </c>
      <c r="V912" t="s">
        <v>16085</v>
      </c>
      <c r="W912" t="s">
        <v>16086</v>
      </c>
      <c r="X912" t="s">
        <v>16087</v>
      </c>
      <c r="Y912" t="s">
        <v>16088</v>
      </c>
      <c r="Z912" t="s">
        <v>16089</v>
      </c>
      <c r="AA912" t="s">
        <v>16090</v>
      </c>
      <c r="AB912" t="s">
        <v>16091</v>
      </c>
      <c r="AC912" t="s">
        <v>16092</v>
      </c>
      <c r="AD912" t="s">
        <v>16093</v>
      </c>
      <c r="AE912" t="s">
        <v>16094</v>
      </c>
      <c r="AF912" t="s">
        <v>74</v>
      </c>
      <c r="AG912">
        <v>84</v>
      </c>
      <c r="AH912">
        <v>71</v>
      </c>
      <c r="AI912">
        <v>87</v>
      </c>
      <c r="AJ912">
        <v>0</v>
      </c>
      <c r="AK912">
        <v>46</v>
      </c>
      <c r="AL912" t="s">
        <v>3145</v>
      </c>
      <c r="AM912" t="s">
        <v>91</v>
      </c>
      <c r="AN912" t="s">
        <v>3146</v>
      </c>
      <c r="AO912" t="s">
        <v>11070</v>
      </c>
      <c r="AP912" t="s">
        <v>74</v>
      </c>
      <c r="AQ912" t="s">
        <v>74</v>
      </c>
      <c r="AR912" t="s">
        <v>11072</v>
      </c>
      <c r="AS912" t="s">
        <v>11073</v>
      </c>
      <c r="AT912" t="s">
        <v>15275</v>
      </c>
      <c r="AU912">
        <v>2010</v>
      </c>
      <c r="AV912">
        <v>122</v>
      </c>
      <c r="AW912" t="s">
        <v>16064</v>
      </c>
      <c r="AX912" t="s">
        <v>74</v>
      </c>
      <c r="AY912" t="s">
        <v>74</v>
      </c>
      <c r="AZ912" t="s">
        <v>74</v>
      </c>
      <c r="BA912" t="s">
        <v>74</v>
      </c>
      <c r="BB912">
        <v>843</v>
      </c>
      <c r="BC912">
        <v>854</v>
      </c>
      <c r="BD912" t="s">
        <v>74</v>
      </c>
      <c r="BE912" t="s">
        <v>16095</v>
      </c>
      <c r="BF912" t="str">
        <f>HYPERLINK("http://dx.doi.org/10.1130/B26583.1","http://dx.doi.org/10.1130/B26583.1")</f>
        <v>http://dx.doi.org/10.1130/B26583.1</v>
      </c>
      <c r="BG912" t="s">
        <v>74</v>
      </c>
      <c r="BH912" t="s">
        <v>74</v>
      </c>
      <c r="BI912">
        <v>12</v>
      </c>
      <c r="BJ912" t="s">
        <v>1194</v>
      </c>
      <c r="BK912" t="s">
        <v>100</v>
      </c>
      <c r="BL912" t="s">
        <v>807</v>
      </c>
      <c r="BM912" t="s">
        <v>16066</v>
      </c>
      <c r="BN912" t="s">
        <v>74</v>
      </c>
      <c r="BO912" t="s">
        <v>74</v>
      </c>
      <c r="BP912" t="s">
        <v>74</v>
      </c>
      <c r="BQ912" t="s">
        <v>74</v>
      </c>
      <c r="BR912" t="s">
        <v>104</v>
      </c>
      <c r="BS912" t="s">
        <v>16096</v>
      </c>
      <c r="BT912" t="str">
        <f>HYPERLINK("https%3A%2F%2Fwww.webofscience.com%2Fwos%2Fwoscc%2Ffull-record%2FWOS:000278350800014","View Full Record in Web of Science")</f>
        <v>View Full Record in Web of Science</v>
      </c>
    </row>
    <row r="913" spans="1:72" x14ac:dyDescent="0.15">
      <c r="A913" t="s">
        <v>72</v>
      </c>
      <c r="B913" t="s">
        <v>16097</v>
      </c>
      <c r="C913" t="s">
        <v>74</v>
      </c>
      <c r="D913" t="s">
        <v>74</v>
      </c>
      <c r="E913" t="s">
        <v>74</v>
      </c>
      <c r="F913" t="s">
        <v>16098</v>
      </c>
      <c r="G913" t="s">
        <v>74</v>
      </c>
      <c r="H913" t="s">
        <v>74</v>
      </c>
      <c r="I913" t="s">
        <v>16099</v>
      </c>
      <c r="J913" t="s">
        <v>3133</v>
      </c>
      <c r="K913" t="s">
        <v>74</v>
      </c>
      <c r="L913" t="s">
        <v>74</v>
      </c>
      <c r="M913" t="s">
        <v>78</v>
      </c>
      <c r="N913" t="s">
        <v>79</v>
      </c>
      <c r="O913" t="s">
        <v>74</v>
      </c>
      <c r="P913" t="s">
        <v>74</v>
      </c>
      <c r="Q913" t="s">
        <v>74</v>
      </c>
      <c r="R913" t="s">
        <v>74</v>
      </c>
      <c r="S913" t="s">
        <v>74</v>
      </c>
      <c r="T913" t="s">
        <v>74</v>
      </c>
      <c r="U913" t="s">
        <v>16100</v>
      </c>
      <c r="V913" t="s">
        <v>16101</v>
      </c>
      <c r="W913" t="s">
        <v>16102</v>
      </c>
      <c r="X913" t="s">
        <v>16103</v>
      </c>
      <c r="Y913" t="s">
        <v>16104</v>
      </c>
      <c r="Z913" t="s">
        <v>74</v>
      </c>
      <c r="AA913" t="s">
        <v>16105</v>
      </c>
      <c r="AB913" t="s">
        <v>16106</v>
      </c>
      <c r="AC913" t="s">
        <v>16107</v>
      </c>
      <c r="AD913" t="s">
        <v>16108</v>
      </c>
      <c r="AE913" t="s">
        <v>16109</v>
      </c>
      <c r="AF913" t="s">
        <v>74</v>
      </c>
      <c r="AG913">
        <v>31</v>
      </c>
      <c r="AH913">
        <v>126</v>
      </c>
      <c r="AI913">
        <v>133</v>
      </c>
      <c r="AJ913">
        <v>0</v>
      </c>
      <c r="AK913">
        <v>31</v>
      </c>
      <c r="AL913" t="s">
        <v>3145</v>
      </c>
      <c r="AM913" t="s">
        <v>91</v>
      </c>
      <c r="AN913" t="s">
        <v>3146</v>
      </c>
      <c r="AO913" t="s">
        <v>3147</v>
      </c>
      <c r="AP913" t="s">
        <v>74</v>
      </c>
      <c r="AQ913" t="s">
        <v>74</v>
      </c>
      <c r="AR913" t="s">
        <v>3133</v>
      </c>
      <c r="AS913" t="s">
        <v>807</v>
      </c>
      <c r="AT913" t="s">
        <v>15251</v>
      </c>
      <c r="AU913">
        <v>2010</v>
      </c>
      <c r="AV913">
        <v>38</v>
      </c>
      <c r="AW913">
        <v>5</v>
      </c>
      <c r="AX913" t="s">
        <v>74</v>
      </c>
      <c r="AY913" t="s">
        <v>74</v>
      </c>
      <c r="AZ913" t="s">
        <v>74</v>
      </c>
      <c r="BA913" t="s">
        <v>74</v>
      </c>
      <c r="BB913">
        <v>411</v>
      </c>
      <c r="BC913">
        <v>414</v>
      </c>
      <c r="BD913" t="s">
        <v>74</v>
      </c>
      <c r="BE913" t="s">
        <v>16110</v>
      </c>
      <c r="BF913" t="str">
        <f>HYPERLINK("http://dx.doi.org/10.1130/G30754.1","http://dx.doi.org/10.1130/G30754.1")</f>
        <v>http://dx.doi.org/10.1130/G30754.1</v>
      </c>
      <c r="BG913" t="s">
        <v>74</v>
      </c>
      <c r="BH913" t="s">
        <v>74</v>
      </c>
      <c r="BI913">
        <v>4</v>
      </c>
      <c r="BJ913" t="s">
        <v>807</v>
      </c>
      <c r="BK913" t="s">
        <v>100</v>
      </c>
      <c r="BL913" t="s">
        <v>807</v>
      </c>
      <c r="BM913" t="s">
        <v>16111</v>
      </c>
      <c r="BN913" t="s">
        <v>74</v>
      </c>
      <c r="BO913" t="s">
        <v>74</v>
      </c>
      <c r="BP913" t="s">
        <v>74</v>
      </c>
      <c r="BQ913" t="s">
        <v>74</v>
      </c>
      <c r="BR913" t="s">
        <v>104</v>
      </c>
      <c r="BS913" t="s">
        <v>16112</v>
      </c>
      <c r="BT913" t="str">
        <f>HYPERLINK("https%3A%2F%2Fwww.webofscience.com%2Fwos%2Fwoscc%2Ffull-record%2FWOS:000277220900009","View Full Record in Web of Science")</f>
        <v>View Full Record in Web of Science</v>
      </c>
    </row>
    <row r="914" spans="1:72" x14ac:dyDescent="0.15">
      <c r="A914" t="s">
        <v>72</v>
      </c>
      <c r="B914" t="s">
        <v>16113</v>
      </c>
      <c r="C914" t="s">
        <v>74</v>
      </c>
      <c r="D914" t="s">
        <v>74</v>
      </c>
      <c r="E914" t="s">
        <v>74</v>
      </c>
      <c r="F914" t="s">
        <v>16114</v>
      </c>
      <c r="G914" t="s">
        <v>74</v>
      </c>
      <c r="H914" t="s">
        <v>74</v>
      </c>
      <c r="I914" t="s">
        <v>16115</v>
      </c>
      <c r="J914" t="s">
        <v>16116</v>
      </c>
      <c r="K914" t="s">
        <v>74</v>
      </c>
      <c r="L914" t="s">
        <v>74</v>
      </c>
      <c r="M914" t="s">
        <v>78</v>
      </c>
      <c r="N914" t="s">
        <v>79</v>
      </c>
      <c r="O914" t="s">
        <v>74</v>
      </c>
      <c r="P914" t="s">
        <v>74</v>
      </c>
      <c r="Q914" t="s">
        <v>74</v>
      </c>
      <c r="R914" t="s">
        <v>74</v>
      </c>
      <c r="S914" t="s">
        <v>74</v>
      </c>
      <c r="T914" t="s">
        <v>74</v>
      </c>
      <c r="U914" t="s">
        <v>74</v>
      </c>
      <c r="V914" t="s">
        <v>16117</v>
      </c>
      <c r="W914" t="s">
        <v>16118</v>
      </c>
      <c r="X914" t="s">
        <v>16119</v>
      </c>
      <c r="Y914" t="s">
        <v>16120</v>
      </c>
      <c r="Z914" t="s">
        <v>16121</v>
      </c>
      <c r="AA914" t="s">
        <v>74</v>
      </c>
      <c r="AB914" t="s">
        <v>74</v>
      </c>
      <c r="AC914" t="s">
        <v>16122</v>
      </c>
      <c r="AD914" t="s">
        <v>16123</v>
      </c>
      <c r="AE914" t="s">
        <v>16124</v>
      </c>
      <c r="AF914" t="s">
        <v>74</v>
      </c>
      <c r="AG914">
        <v>17</v>
      </c>
      <c r="AH914">
        <v>1</v>
      </c>
      <c r="AI914">
        <v>1</v>
      </c>
      <c r="AJ914">
        <v>0</v>
      </c>
      <c r="AK914">
        <v>4</v>
      </c>
      <c r="AL914" t="s">
        <v>6457</v>
      </c>
      <c r="AM914" t="s">
        <v>6458</v>
      </c>
      <c r="AN914" t="s">
        <v>6459</v>
      </c>
      <c r="AO914" t="s">
        <v>16125</v>
      </c>
      <c r="AP914" t="s">
        <v>16126</v>
      </c>
      <c r="AQ914" t="s">
        <v>74</v>
      </c>
      <c r="AR914" t="s">
        <v>16127</v>
      </c>
      <c r="AS914" t="s">
        <v>16128</v>
      </c>
      <c r="AT914" t="s">
        <v>15251</v>
      </c>
      <c r="AU914">
        <v>2010</v>
      </c>
      <c r="AV914">
        <v>44</v>
      </c>
      <c r="AW914">
        <v>3</v>
      </c>
      <c r="AX914" t="s">
        <v>74</v>
      </c>
      <c r="AY914" t="s">
        <v>74</v>
      </c>
      <c r="AZ914" t="s">
        <v>74</v>
      </c>
      <c r="BA914" t="s">
        <v>74</v>
      </c>
      <c r="BB914">
        <v>228</v>
      </c>
      <c r="BC914">
        <v>236</v>
      </c>
      <c r="BD914" t="s">
        <v>74</v>
      </c>
      <c r="BE914" t="s">
        <v>16129</v>
      </c>
      <c r="BF914" t="str">
        <f>HYPERLINK("http://dx.doi.org/10.1134/S0016852110030027","http://dx.doi.org/10.1134/S0016852110030027")</f>
        <v>http://dx.doi.org/10.1134/S0016852110030027</v>
      </c>
      <c r="BG914" t="s">
        <v>74</v>
      </c>
      <c r="BH914" t="s">
        <v>74</v>
      </c>
      <c r="BI914">
        <v>9</v>
      </c>
      <c r="BJ914" t="s">
        <v>558</v>
      </c>
      <c r="BK914" t="s">
        <v>100</v>
      </c>
      <c r="BL914" t="s">
        <v>558</v>
      </c>
      <c r="BM914" t="s">
        <v>16130</v>
      </c>
      <c r="BN914" t="s">
        <v>74</v>
      </c>
      <c r="BO914" t="s">
        <v>74</v>
      </c>
      <c r="BP914" t="s">
        <v>74</v>
      </c>
      <c r="BQ914" t="s">
        <v>74</v>
      </c>
      <c r="BR914" t="s">
        <v>104</v>
      </c>
      <c r="BS914" t="s">
        <v>16131</v>
      </c>
      <c r="BT914" t="str">
        <f>HYPERLINK("https%3A%2F%2Fwww.webofscience.com%2Fwos%2Fwoscc%2Ffull-record%2FWOS:000279083800002","View Full Record in Web of Science")</f>
        <v>View Full Record in Web of Science</v>
      </c>
    </row>
    <row r="915" spans="1:72" x14ac:dyDescent="0.15">
      <c r="A915" t="s">
        <v>72</v>
      </c>
      <c r="B915" t="s">
        <v>16132</v>
      </c>
      <c r="C915" t="s">
        <v>74</v>
      </c>
      <c r="D915" t="s">
        <v>74</v>
      </c>
      <c r="E915" t="s">
        <v>74</v>
      </c>
      <c r="F915" t="s">
        <v>16133</v>
      </c>
      <c r="G915" t="s">
        <v>74</v>
      </c>
      <c r="H915" t="s">
        <v>74</v>
      </c>
      <c r="I915" t="s">
        <v>16134</v>
      </c>
      <c r="J915" t="s">
        <v>3246</v>
      </c>
      <c r="K915" t="s">
        <v>74</v>
      </c>
      <c r="L915" t="s">
        <v>74</v>
      </c>
      <c r="M915" t="s">
        <v>78</v>
      </c>
      <c r="N915" t="s">
        <v>79</v>
      </c>
      <c r="O915" t="s">
        <v>74</v>
      </c>
      <c r="P915" t="s">
        <v>74</v>
      </c>
      <c r="Q915" t="s">
        <v>74</v>
      </c>
      <c r="R915" t="s">
        <v>74</v>
      </c>
      <c r="S915" t="s">
        <v>74</v>
      </c>
      <c r="T915" t="s">
        <v>16135</v>
      </c>
      <c r="U915" t="s">
        <v>16136</v>
      </c>
      <c r="V915" t="s">
        <v>16137</v>
      </c>
      <c r="W915" t="s">
        <v>16138</v>
      </c>
      <c r="X915" t="s">
        <v>16139</v>
      </c>
      <c r="Y915" t="s">
        <v>16140</v>
      </c>
      <c r="Z915" t="s">
        <v>16141</v>
      </c>
      <c r="AA915" t="s">
        <v>16142</v>
      </c>
      <c r="AB915" t="s">
        <v>16143</v>
      </c>
      <c r="AC915" t="s">
        <v>16144</v>
      </c>
      <c r="AD915" t="s">
        <v>16145</v>
      </c>
      <c r="AE915" t="s">
        <v>16146</v>
      </c>
      <c r="AF915" t="s">
        <v>74</v>
      </c>
      <c r="AG915">
        <v>27</v>
      </c>
      <c r="AH915">
        <v>12</v>
      </c>
      <c r="AI915">
        <v>19</v>
      </c>
      <c r="AJ915">
        <v>1</v>
      </c>
      <c r="AK915">
        <v>17</v>
      </c>
      <c r="AL915" t="s">
        <v>549</v>
      </c>
      <c r="AM915" t="s">
        <v>550</v>
      </c>
      <c r="AN915" t="s">
        <v>551</v>
      </c>
      <c r="AO915" t="s">
        <v>3255</v>
      </c>
      <c r="AP915" t="s">
        <v>74</v>
      </c>
      <c r="AQ915" t="s">
        <v>74</v>
      </c>
      <c r="AR915" t="s">
        <v>3257</v>
      </c>
      <c r="AS915" t="s">
        <v>3258</v>
      </c>
      <c r="AT915" t="s">
        <v>15251</v>
      </c>
      <c r="AU915">
        <v>2010</v>
      </c>
      <c r="AV915">
        <v>72</v>
      </c>
      <c r="AW915" t="s">
        <v>4513</v>
      </c>
      <c r="AX915" t="s">
        <v>74</v>
      </c>
      <c r="AY915" t="s">
        <v>74</v>
      </c>
      <c r="AZ915" t="s">
        <v>74</v>
      </c>
      <c r="BA915" t="s">
        <v>74</v>
      </c>
      <c r="BB915">
        <v>50</v>
      </c>
      <c r="BC915">
        <v>54</v>
      </c>
      <c r="BD915" t="s">
        <v>74</v>
      </c>
      <c r="BE915" t="s">
        <v>16147</v>
      </c>
      <c r="BF915" t="str">
        <f>HYPERLINK("http://dx.doi.org/10.1016/j.gloplacha.2010.03.005","http://dx.doi.org/10.1016/j.gloplacha.2010.03.005")</f>
        <v>http://dx.doi.org/10.1016/j.gloplacha.2010.03.005</v>
      </c>
      <c r="BG915" t="s">
        <v>74</v>
      </c>
      <c r="BH915" t="s">
        <v>74</v>
      </c>
      <c r="BI915">
        <v>5</v>
      </c>
      <c r="BJ915" t="s">
        <v>1409</v>
      </c>
      <c r="BK915" t="s">
        <v>100</v>
      </c>
      <c r="BL915" t="s">
        <v>1410</v>
      </c>
      <c r="BM915" t="s">
        <v>16148</v>
      </c>
      <c r="BN915" t="s">
        <v>74</v>
      </c>
      <c r="BO915" t="s">
        <v>74</v>
      </c>
      <c r="BP915" t="s">
        <v>74</v>
      </c>
      <c r="BQ915" t="s">
        <v>74</v>
      </c>
      <c r="BR915" t="s">
        <v>104</v>
      </c>
      <c r="BS915" t="s">
        <v>16149</v>
      </c>
      <c r="BT915" t="str">
        <f>HYPERLINK("https%3A%2F%2Fwww.webofscience.com%2Fwos%2Fwoscc%2Ffull-record%2FWOS:000279889600006","View Full Record in Web of Science")</f>
        <v>View Full Record in Web of Science</v>
      </c>
    </row>
    <row r="916" spans="1:72" x14ac:dyDescent="0.15">
      <c r="A916" t="s">
        <v>72</v>
      </c>
      <c r="B916" t="s">
        <v>16150</v>
      </c>
      <c r="C916" t="s">
        <v>74</v>
      </c>
      <c r="D916" t="s">
        <v>74</v>
      </c>
      <c r="E916" t="s">
        <v>74</v>
      </c>
      <c r="F916" t="s">
        <v>16151</v>
      </c>
      <c r="G916" t="s">
        <v>74</v>
      </c>
      <c r="H916" t="s">
        <v>74</v>
      </c>
      <c r="I916" t="s">
        <v>16152</v>
      </c>
      <c r="J916" t="s">
        <v>660</v>
      </c>
      <c r="K916" t="s">
        <v>74</v>
      </c>
      <c r="L916" t="s">
        <v>74</v>
      </c>
      <c r="M916" t="s">
        <v>78</v>
      </c>
      <c r="N916" t="s">
        <v>79</v>
      </c>
      <c r="O916" t="s">
        <v>74</v>
      </c>
      <c r="P916" t="s">
        <v>74</v>
      </c>
      <c r="Q916" t="s">
        <v>74</v>
      </c>
      <c r="R916" t="s">
        <v>74</v>
      </c>
      <c r="S916" t="s">
        <v>74</v>
      </c>
      <c r="T916" t="s">
        <v>16153</v>
      </c>
      <c r="U916" t="s">
        <v>16154</v>
      </c>
      <c r="V916" t="s">
        <v>16155</v>
      </c>
      <c r="W916" t="s">
        <v>16156</v>
      </c>
      <c r="X916" t="s">
        <v>16157</v>
      </c>
      <c r="Y916" t="s">
        <v>16158</v>
      </c>
      <c r="Z916" t="s">
        <v>16159</v>
      </c>
      <c r="AA916" t="s">
        <v>74</v>
      </c>
      <c r="AB916" t="s">
        <v>74</v>
      </c>
      <c r="AC916" t="s">
        <v>16160</v>
      </c>
      <c r="AD916" t="s">
        <v>16161</v>
      </c>
      <c r="AE916" t="s">
        <v>16162</v>
      </c>
      <c r="AF916" t="s">
        <v>74</v>
      </c>
      <c r="AG916">
        <v>73</v>
      </c>
      <c r="AH916">
        <v>27</v>
      </c>
      <c r="AI916">
        <v>29</v>
      </c>
      <c r="AJ916">
        <v>1</v>
      </c>
      <c r="AK916">
        <v>28</v>
      </c>
      <c r="AL916" t="s">
        <v>923</v>
      </c>
      <c r="AM916" t="s">
        <v>339</v>
      </c>
      <c r="AN916" t="s">
        <v>340</v>
      </c>
      <c r="AO916" t="s">
        <v>675</v>
      </c>
      <c r="AP916" t="s">
        <v>6020</v>
      </c>
      <c r="AQ916" t="s">
        <v>74</v>
      </c>
      <c r="AR916" t="s">
        <v>676</v>
      </c>
      <c r="AS916" t="s">
        <v>677</v>
      </c>
      <c r="AT916" t="s">
        <v>15251</v>
      </c>
      <c r="AU916">
        <v>2010</v>
      </c>
      <c r="AV916">
        <v>16</v>
      </c>
      <c r="AW916">
        <v>5</v>
      </c>
      <c r="AX916" t="s">
        <v>74</v>
      </c>
      <c r="AY916" t="s">
        <v>74</v>
      </c>
      <c r="AZ916" t="s">
        <v>74</v>
      </c>
      <c r="BA916" t="s">
        <v>74</v>
      </c>
      <c r="BB916">
        <v>1618</v>
      </c>
      <c r="BC916">
        <v>1631</v>
      </c>
      <c r="BD916" t="s">
        <v>74</v>
      </c>
      <c r="BE916" t="s">
        <v>16163</v>
      </c>
      <c r="BF916" t="str">
        <f>HYPERLINK("http://dx.doi.org/10.1111/j.1365-2486.2009.02137.x","http://dx.doi.org/10.1111/j.1365-2486.2009.02137.x")</f>
        <v>http://dx.doi.org/10.1111/j.1365-2486.2009.02137.x</v>
      </c>
      <c r="BG916" t="s">
        <v>74</v>
      </c>
      <c r="BH916" t="s">
        <v>74</v>
      </c>
      <c r="BI916">
        <v>14</v>
      </c>
      <c r="BJ916" t="s">
        <v>679</v>
      </c>
      <c r="BK916" t="s">
        <v>100</v>
      </c>
      <c r="BL916" t="s">
        <v>680</v>
      </c>
      <c r="BM916" t="s">
        <v>16164</v>
      </c>
      <c r="BN916" t="s">
        <v>74</v>
      </c>
      <c r="BO916" t="s">
        <v>74</v>
      </c>
      <c r="BP916" t="s">
        <v>74</v>
      </c>
      <c r="BQ916" t="s">
        <v>74</v>
      </c>
      <c r="BR916" t="s">
        <v>104</v>
      </c>
      <c r="BS916" t="s">
        <v>16165</v>
      </c>
      <c r="BT916" t="str">
        <f>HYPERLINK("https%3A%2F%2Fwww.webofscience.com%2Fwos%2Fwoscc%2Ffull-record%2FWOS:000276696100016","View Full Record in Web of Science")</f>
        <v>View Full Record in Web of Science</v>
      </c>
    </row>
    <row r="917" spans="1:72" x14ac:dyDescent="0.15">
      <c r="A917" t="s">
        <v>72</v>
      </c>
      <c r="B917" t="s">
        <v>16166</v>
      </c>
      <c r="C917" t="s">
        <v>74</v>
      </c>
      <c r="D917" t="s">
        <v>74</v>
      </c>
      <c r="E917" t="s">
        <v>74</v>
      </c>
      <c r="F917" t="s">
        <v>16167</v>
      </c>
      <c r="G917" t="s">
        <v>74</v>
      </c>
      <c r="H917" t="s">
        <v>74</v>
      </c>
      <c r="I917" t="s">
        <v>16168</v>
      </c>
      <c r="J917" t="s">
        <v>16169</v>
      </c>
      <c r="K917" t="s">
        <v>74</v>
      </c>
      <c r="L917" t="s">
        <v>74</v>
      </c>
      <c r="M917" t="s">
        <v>78</v>
      </c>
      <c r="N917" t="s">
        <v>79</v>
      </c>
      <c r="O917" t="s">
        <v>74</v>
      </c>
      <c r="P917" t="s">
        <v>74</v>
      </c>
      <c r="Q917" t="s">
        <v>74</v>
      </c>
      <c r="R917" t="s">
        <v>74</v>
      </c>
      <c r="S917" t="s">
        <v>74</v>
      </c>
      <c r="T917" t="s">
        <v>16170</v>
      </c>
      <c r="U917" t="s">
        <v>16171</v>
      </c>
      <c r="V917" t="s">
        <v>16172</v>
      </c>
      <c r="W917" t="s">
        <v>16173</v>
      </c>
      <c r="X917" t="s">
        <v>16174</v>
      </c>
      <c r="Y917" t="s">
        <v>16175</v>
      </c>
      <c r="Z917" t="s">
        <v>16176</v>
      </c>
      <c r="AA917" t="s">
        <v>16177</v>
      </c>
      <c r="AB917" t="s">
        <v>16178</v>
      </c>
      <c r="AC917" t="s">
        <v>16179</v>
      </c>
      <c r="AD917" t="s">
        <v>16180</v>
      </c>
      <c r="AE917" t="s">
        <v>16181</v>
      </c>
      <c r="AF917" t="s">
        <v>74</v>
      </c>
      <c r="AG917">
        <v>35</v>
      </c>
      <c r="AH917">
        <v>26</v>
      </c>
      <c r="AI917">
        <v>29</v>
      </c>
      <c r="AJ917">
        <v>0</v>
      </c>
      <c r="AK917">
        <v>19</v>
      </c>
      <c r="AL917" t="s">
        <v>1774</v>
      </c>
      <c r="AM917" t="s">
        <v>1598</v>
      </c>
      <c r="AN917" t="s">
        <v>1775</v>
      </c>
      <c r="AO917" t="s">
        <v>16182</v>
      </c>
      <c r="AP917" t="s">
        <v>74</v>
      </c>
      <c r="AQ917" t="s">
        <v>74</v>
      </c>
      <c r="AR917" t="s">
        <v>16169</v>
      </c>
      <c r="AS917" t="s">
        <v>16183</v>
      </c>
      <c r="AT917" t="s">
        <v>15251</v>
      </c>
      <c r="AU917">
        <v>2010</v>
      </c>
      <c r="AV917">
        <v>104</v>
      </c>
      <c r="AW917">
        <v>5</v>
      </c>
      <c r="AX917" t="s">
        <v>74</v>
      </c>
      <c r="AY917" t="s">
        <v>74</v>
      </c>
      <c r="AZ917" t="s">
        <v>74</v>
      </c>
      <c r="BA917" t="s">
        <v>74</v>
      </c>
      <c r="BB917">
        <v>513</v>
      </c>
      <c r="BC917">
        <v>518</v>
      </c>
      <c r="BD917" t="s">
        <v>74</v>
      </c>
      <c r="BE917" t="s">
        <v>16184</v>
      </c>
      <c r="BF917" t="str">
        <f>HYPERLINK("http://dx.doi.org/10.1038/hdy.2009.188","http://dx.doi.org/10.1038/hdy.2009.188")</f>
        <v>http://dx.doi.org/10.1038/hdy.2009.188</v>
      </c>
      <c r="BG917" t="s">
        <v>74</v>
      </c>
      <c r="BH917" t="s">
        <v>74</v>
      </c>
      <c r="BI917">
        <v>6</v>
      </c>
      <c r="BJ917" t="s">
        <v>584</v>
      </c>
      <c r="BK917" t="s">
        <v>100</v>
      </c>
      <c r="BL917" t="s">
        <v>585</v>
      </c>
      <c r="BM917" t="s">
        <v>16185</v>
      </c>
      <c r="BN917">
        <v>20087386</v>
      </c>
      <c r="BO917" t="s">
        <v>394</v>
      </c>
      <c r="BP917" t="s">
        <v>74</v>
      </c>
      <c r="BQ917" t="s">
        <v>74</v>
      </c>
      <c r="BR917" t="s">
        <v>104</v>
      </c>
      <c r="BS917" t="s">
        <v>16186</v>
      </c>
      <c r="BT917" t="str">
        <f>HYPERLINK("https%3A%2F%2Fwww.webofscience.com%2Fwos%2Fwoscc%2Ffull-record%2FWOS:000276952000012","View Full Record in Web of Science")</f>
        <v>View Full Record in Web of Science</v>
      </c>
    </row>
    <row r="918" spans="1:72" x14ac:dyDescent="0.15">
      <c r="A918" t="s">
        <v>72</v>
      </c>
      <c r="B918" t="s">
        <v>16187</v>
      </c>
      <c r="C918" t="s">
        <v>74</v>
      </c>
      <c r="D918" t="s">
        <v>74</v>
      </c>
      <c r="E918" t="s">
        <v>74</v>
      </c>
      <c r="F918" t="s">
        <v>16188</v>
      </c>
      <c r="G918" t="s">
        <v>74</v>
      </c>
      <c r="H918" t="s">
        <v>74</v>
      </c>
      <c r="I918" t="s">
        <v>16189</v>
      </c>
      <c r="J918" t="s">
        <v>13610</v>
      </c>
      <c r="K918" t="s">
        <v>74</v>
      </c>
      <c r="L918" t="s">
        <v>74</v>
      </c>
      <c r="M918" t="s">
        <v>78</v>
      </c>
      <c r="N918" t="s">
        <v>79</v>
      </c>
      <c r="O918" t="s">
        <v>74</v>
      </c>
      <c r="P918" t="s">
        <v>74</v>
      </c>
      <c r="Q918" t="s">
        <v>74</v>
      </c>
      <c r="R918" t="s">
        <v>74</v>
      </c>
      <c r="S918" t="s">
        <v>74</v>
      </c>
      <c r="T918" t="s">
        <v>16190</v>
      </c>
      <c r="U918" t="s">
        <v>16191</v>
      </c>
      <c r="V918" t="s">
        <v>16192</v>
      </c>
      <c r="W918" t="s">
        <v>16193</v>
      </c>
      <c r="X918" t="s">
        <v>16194</v>
      </c>
      <c r="Y918" t="s">
        <v>16195</v>
      </c>
      <c r="Z918" t="s">
        <v>16196</v>
      </c>
      <c r="AA918" t="s">
        <v>11087</v>
      </c>
      <c r="AB918" t="s">
        <v>11088</v>
      </c>
      <c r="AC918" t="s">
        <v>16197</v>
      </c>
      <c r="AD918" t="s">
        <v>2267</v>
      </c>
      <c r="AE918" t="s">
        <v>16198</v>
      </c>
      <c r="AF918" t="s">
        <v>74</v>
      </c>
      <c r="AG918">
        <v>45</v>
      </c>
      <c r="AH918">
        <v>12</v>
      </c>
      <c r="AI918">
        <v>12</v>
      </c>
      <c r="AJ918">
        <v>1</v>
      </c>
      <c r="AK918">
        <v>8</v>
      </c>
      <c r="AL918" t="s">
        <v>13622</v>
      </c>
      <c r="AM918" t="s">
        <v>1598</v>
      </c>
      <c r="AN918" t="s">
        <v>13623</v>
      </c>
      <c r="AO918" t="s">
        <v>13624</v>
      </c>
      <c r="AP918" t="s">
        <v>13625</v>
      </c>
      <c r="AQ918" t="s">
        <v>74</v>
      </c>
      <c r="AR918" t="s">
        <v>13610</v>
      </c>
      <c r="AS918" t="s">
        <v>13626</v>
      </c>
      <c r="AT918" t="s">
        <v>15251</v>
      </c>
      <c r="AU918">
        <v>2010</v>
      </c>
      <c r="AV918">
        <v>20</v>
      </c>
      <c r="AW918">
        <v>3</v>
      </c>
      <c r="AX918" t="s">
        <v>74</v>
      </c>
      <c r="AY918" t="s">
        <v>74</v>
      </c>
      <c r="AZ918" t="s">
        <v>74</v>
      </c>
      <c r="BA918" t="s">
        <v>74</v>
      </c>
      <c r="BB918">
        <v>395</v>
      </c>
      <c r="BC918">
        <v>404</v>
      </c>
      <c r="BD918" t="s">
        <v>74</v>
      </c>
      <c r="BE918" t="s">
        <v>16199</v>
      </c>
      <c r="BF918" t="str">
        <f>HYPERLINK("http://dx.doi.org/10.1177/0959683609353430","http://dx.doi.org/10.1177/0959683609353430")</f>
        <v>http://dx.doi.org/10.1177/0959683609353430</v>
      </c>
      <c r="BG918" t="s">
        <v>74</v>
      </c>
      <c r="BH918" t="s">
        <v>74</v>
      </c>
      <c r="BI918">
        <v>10</v>
      </c>
      <c r="BJ918" t="s">
        <v>1409</v>
      </c>
      <c r="BK918" t="s">
        <v>100</v>
      </c>
      <c r="BL918" t="s">
        <v>1410</v>
      </c>
      <c r="BM918" t="s">
        <v>16200</v>
      </c>
      <c r="BN918" t="s">
        <v>74</v>
      </c>
      <c r="BO918" t="s">
        <v>74</v>
      </c>
      <c r="BP918" t="s">
        <v>74</v>
      </c>
      <c r="BQ918" t="s">
        <v>74</v>
      </c>
      <c r="BR918" t="s">
        <v>104</v>
      </c>
      <c r="BS918" t="s">
        <v>16201</v>
      </c>
      <c r="BT918" t="str">
        <f>HYPERLINK("https%3A%2F%2Fwww.webofscience.com%2Fwos%2Fwoscc%2Ffull-record%2FWOS:000276846700007","View Full Record in Web of Science")</f>
        <v>View Full Record in Web of Science</v>
      </c>
    </row>
    <row r="919" spans="1:72" x14ac:dyDescent="0.15">
      <c r="A919" t="s">
        <v>72</v>
      </c>
      <c r="B919" t="s">
        <v>16202</v>
      </c>
      <c r="C919" t="s">
        <v>74</v>
      </c>
      <c r="D919" t="s">
        <v>74</v>
      </c>
      <c r="E919" t="s">
        <v>74</v>
      </c>
      <c r="F919" t="s">
        <v>16203</v>
      </c>
      <c r="G919" t="s">
        <v>74</v>
      </c>
      <c r="H919" t="s">
        <v>74</v>
      </c>
      <c r="I919" t="s">
        <v>16204</v>
      </c>
      <c r="J919" t="s">
        <v>6069</v>
      </c>
      <c r="K919" t="s">
        <v>74</v>
      </c>
      <c r="L919" t="s">
        <v>74</v>
      </c>
      <c r="M919" t="s">
        <v>78</v>
      </c>
      <c r="N919" t="s">
        <v>79</v>
      </c>
      <c r="O919" t="s">
        <v>74</v>
      </c>
      <c r="P919" t="s">
        <v>74</v>
      </c>
      <c r="Q919" t="s">
        <v>74</v>
      </c>
      <c r="R919" t="s">
        <v>74</v>
      </c>
      <c r="S919" t="s">
        <v>74</v>
      </c>
      <c r="T919" t="s">
        <v>16205</v>
      </c>
      <c r="U919" t="s">
        <v>16206</v>
      </c>
      <c r="V919" t="s">
        <v>16207</v>
      </c>
      <c r="W919" t="s">
        <v>16208</v>
      </c>
      <c r="X919" t="s">
        <v>16209</v>
      </c>
      <c r="Y919" t="s">
        <v>16210</v>
      </c>
      <c r="Z919" t="s">
        <v>16211</v>
      </c>
      <c r="AA919" t="s">
        <v>16212</v>
      </c>
      <c r="AB919" t="s">
        <v>16213</v>
      </c>
      <c r="AC919" t="s">
        <v>74</v>
      </c>
      <c r="AD919" t="s">
        <v>74</v>
      </c>
      <c r="AE919" t="s">
        <v>74</v>
      </c>
      <c r="AF919" t="s">
        <v>74</v>
      </c>
      <c r="AG919">
        <v>22</v>
      </c>
      <c r="AH919">
        <v>14</v>
      </c>
      <c r="AI919">
        <v>14</v>
      </c>
      <c r="AJ919">
        <v>0</v>
      </c>
      <c r="AK919">
        <v>11</v>
      </c>
      <c r="AL919" t="s">
        <v>6081</v>
      </c>
      <c r="AM919" t="s">
        <v>6082</v>
      </c>
      <c r="AN919" t="s">
        <v>6083</v>
      </c>
      <c r="AO919" t="s">
        <v>6084</v>
      </c>
      <c r="AP919" t="s">
        <v>74</v>
      </c>
      <c r="AQ919" t="s">
        <v>74</v>
      </c>
      <c r="AR919" t="s">
        <v>6086</v>
      </c>
      <c r="AS919" t="s">
        <v>6087</v>
      </c>
      <c r="AT919" t="s">
        <v>15251</v>
      </c>
      <c r="AU919">
        <v>2010</v>
      </c>
      <c r="AV919">
        <v>48</v>
      </c>
      <c r="AW919">
        <v>5</v>
      </c>
      <c r="AX919" t="s">
        <v>74</v>
      </c>
      <c r="AY919" t="s">
        <v>74</v>
      </c>
      <c r="AZ919" t="s">
        <v>74</v>
      </c>
      <c r="BA919" t="s">
        <v>74</v>
      </c>
      <c r="BB919">
        <v>2343</v>
      </c>
      <c r="BC919">
        <v>2348</v>
      </c>
      <c r="BD919" t="s">
        <v>74</v>
      </c>
      <c r="BE919" t="s">
        <v>16214</v>
      </c>
      <c r="BF919" t="str">
        <f>HYPERLINK("http://dx.doi.org/10.1109/TGRS.2009.2038900","http://dx.doi.org/10.1109/TGRS.2009.2038900")</f>
        <v>http://dx.doi.org/10.1109/TGRS.2009.2038900</v>
      </c>
      <c r="BG919" t="s">
        <v>74</v>
      </c>
      <c r="BH919" t="s">
        <v>74</v>
      </c>
      <c r="BI919">
        <v>6</v>
      </c>
      <c r="BJ919" t="s">
        <v>6089</v>
      </c>
      <c r="BK919" t="s">
        <v>100</v>
      </c>
      <c r="BL919" t="s">
        <v>6090</v>
      </c>
      <c r="BM919" t="s">
        <v>16215</v>
      </c>
      <c r="BN919" t="s">
        <v>74</v>
      </c>
      <c r="BO919" t="s">
        <v>74</v>
      </c>
      <c r="BP919" t="s">
        <v>74</v>
      </c>
      <c r="BQ919" t="s">
        <v>74</v>
      </c>
      <c r="BR919" t="s">
        <v>104</v>
      </c>
      <c r="BS919" t="s">
        <v>16216</v>
      </c>
      <c r="BT919" t="str">
        <f>HYPERLINK("https%3A%2F%2Fwww.webofscience.com%2Fwos%2Fwoscc%2Ffull-record%2FWOS:000276814300015","View Full Record in Web of Science")</f>
        <v>View Full Record in Web of Science</v>
      </c>
    </row>
    <row r="920" spans="1:72" x14ac:dyDescent="0.15">
      <c r="A920" t="s">
        <v>72</v>
      </c>
      <c r="B920" t="s">
        <v>16217</v>
      </c>
      <c r="C920" t="s">
        <v>74</v>
      </c>
      <c r="D920" t="s">
        <v>74</v>
      </c>
      <c r="E920" t="s">
        <v>74</v>
      </c>
      <c r="F920" t="s">
        <v>16218</v>
      </c>
      <c r="G920" t="s">
        <v>74</v>
      </c>
      <c r="H920" t="s">
        <v>74</v>
      </c>
      <c r="I920" t="s">
        <v>16219</v>
      </c>
      <c r="J920" t="s">
        <v>16220</v>
      </c>
      <c r="K920" t="s">
        <v>74</v>
      </c>
      <c r="L920" t="s">
        <v>74</v>
      </c>
      <c r="M920" t="s">
        <v>78</v>
      </c>
      <c r="N920" t="s">
        <v>79</v>
      </c>
      <c r="O920" t="s">
        <v>74</v>
      </c>
      <c r="P920" t="s">
        <v>74</v>
      </c>
      <c r="Q920" t="s">
        <v>74</v>
      </c>
      <c r="R920" t="s">
        <v>74</v>
      </c>
      <c r="S920" t="s">
        <v>74</v>
      </c>
      <c r="T920" t="s">
        <v>16221</v>
      </c>
      <c r="U920" t="s">
        <v>16222</v>
      </c>
      <c r="V920" t="s">
        <v>16223</v>
      </c>
      <c r="W920" t="s">
        <v>16224</v>
      </c>
      <c r="X920" t="s">
        <v>74</v>
      </c>
      <c r="Y920" t="s">
        <v>16225</v>
      </c>
      <c r="Z920" t="s">
        <v>16226</v>
      </c>
      <c r="AA920" t="s">
        <v>74</v>
      </c>
      <c r="AB920" t="s">
        <v>74</v>
      </c>
      <c r="AC920" t="s">
        <v>74</v>
      </c>
      <c r="AD920" t="s">
        <v>74</v>
      </c>
      <c r="AE920" t="s">
        <v>74</v>
      </c>
      <c r="AF920" t="s">
        <v>74</v>
      </c>
      <c r="AG920">
        <v>22</v>
      </c>
      <c r="AH920">
        <v>5</v>
      </c>
      <c r="AI920">
        <v>5</v>
      </c>
      <c r="AJ920">
        <v>18</v>
      </c>
      <c r="AK920">
        <v>135</v>
      </c>
      <c r="AL920" t="s">
        <v>16227</v>
      </c>
      <c r="AM920" t="s">
        <v>16228</v>
      </c>
      <c r="AN920" t="s">
        <v>16229</v>
      </c>
      <c r="AO920" t="s">
        <v>16230</v>
      </c>
      <c r="AP920" t="s">
        <v>74</v>
      </c>
      <c r="AQ920" t="s">
        <v>74</v>
      </c>
      <c r="AR920" t="s">
        <v>16231</v>
      </c>
      <c r="AS920" t="s">
        <v>16232</v>
      </c>
      <c r="AT920" t="s">
        <v>15251</v>
      </c>
      <c r="AU920">
        <v>2010</v>
      </c>
      <c r="AV920">
        <v>84</v>
      </c>
      <c r="AW920">
        <v>5</v>
      </c>
      <c r="AX920" t="s">
        <v>74</v>
      </c>
      <c r="AY920" t="s">
        <v>74</v>
      </c>
      <c r="AZ920" t="s">
        <v>74</v>
      </c>
      <c r="BA920" t="s">
        <v>74</v>
      </c>
      <c r="BB920">
        <v>517</v>
      </c>
      <c r="BC920">
        <v>527</v>
      </c>
      <c r="BD920" t="s">
        <v>74</v>
      </c>
      <c r="BE920" t="s">
        <v>16233</v>
      </c>
      <c r="BF920" t="str">
        <f>HYPERLINK("http://dx.doi.org/10.1007/s12648-010-0046-7","http://dx.doi.org/10.1007/s12648-010-0046-7")</f>
        <v>http://dx.doi.org/10.1007/s12648-010-0046-7</v>
      </c>
      <c r="BG920" t="s">
        <v>74</v>
      </c>
      <c r="BH920" t="s">
        <v>74</v>
      </c>
      <c r="BI920">
        <v>11</v>
      </c>
      <c r="BJ920" t="s">
        <v>2125</v>
      </c>
      <c r="BK920" t="s">
        <v>100</v>
      </c>
      <c r="BL920" t="s">
        <v>2126</v>
      </c>
      <c r="BM920" t="s">
        <v>16234</v>
      </c>
      <c r="BN920" t="s">
        <v>74</v>
      </c>
      <c r="BO920" t="s">
        <v>74</v>
      </c>
      <c r="BP920" t="s">
        <v>74</v>
      </c>
      <c r="BQ920" t="s">
        <v>74</v>
      </c>
      <c r="BR920" t="s">
        <v>104</v>
      </c>
      <c r="BS920" t="s">
        <v>16235</v>
      </c>
      <c r="BT920" t="str">
        <f>HYPERLINK("https%3A%2F%2Fwww.webofscience.com%2Fwos%2Fwoscc%2Ffull-record%2FWOS:000279430000004","View Full Record in Web of Science")</f>
        <v>View Full Record in Web of Science</v>
      </c>
    </row>
    <row r="921" spans="1:72" x14ac:dyDescent="0.15">
      <c r="A921" t="s">
        <v>72</v>
      </c>
      <c r="B921" t="s">
        <v>16236</v>
      </c>
      <c r="C921" t="s">
        <v>74</v>
      </c>
      <c r="D921" t="s">
        <v>74</v>
      </c>
      <c r="E921" t="s">
        <v>74</v>
      </c>
      <c r="F921" t="s">
        <v>16237</v>
      </c>
      <c r="G921" t="s">
        <v>74</v>
      </c>
      <c r="H921" t="s">
        <v>74</v>
      </c>
      <c r="I921" t="s">
        <v>16238</v>
      </c>
      <c r="J921" t="s">
        <v>16239</v>
      </c>
      <c r="K921" t="s">
        <v>74</v>
      </c>
      <c r="L921" t="s">
        <v>74</v>
      </c>
      <c r="M921" t="s">
        <v>78</v>
      </c>
      <c r="N921" t="s">
        <v>79</v>
      </c>
      <c r="O921" t="s">
        <v>74</v>
      </c>
      <c r="P921" t="s">
        <v>74</v>
      </c>
      <c r="Q921" t="s">
        <v>74</v>
      </c>
      <c r="R921" t="s">
        <v>74</v>
      </c>
      <c r="S921" t="s">
        <v>74</v>
      </c>
      <c r="T921" t="s">
        <v>16240</v>
      </c>
      <c r="U921" t="s">
        <v>16241</v>
      </c>
      <c r="V921" t="s">
        <v>16242</v>
      </c>
      <c r="W921" t="s">
        <v>16243</v>
      </c>
      <c r="X921" t="s">
        <v>16244</v>
      </c>
      <c r="Y921" t="s">
        <v>16245</v>
      </c>
      <c r="Z921" t="s">
        <v>333</v>
      </c>
      <c r="AA921" t="s">
        <v>16246</v>
      </c>
      <c r="AB921" t="s">
        <v>16247</v>
      </c>
      <c r="AC921" t="s">
        <v>16248</v>
      </c>
      <c r="AD921" t="s">
        <v>337</v>
      </c>
      <c r="AE921" t="s">
        <v>74</v>
      </c>
      <c r="AF921" t="s">
        <v>74</v>
      </c>
      <c r="AG921">
        <v>49</v>
      </c>
      <c r="AH921">
        <v>153</v>
      </c>
      <c r="AI921">
        <v>173</v>
      </c>
      <c r="AJ921">
        <v>0</v>
      </c>
      <c r="AK921">
        <v>98</v>
      </c>
      <c r="AL921" t="s">
        <v>923</v>
      </c>
      <c r="AM921" t="s">
        <v>339</v>
      </c>
      <c r="AN921" t="s">
        <v>340</v>
      </c>
      <c r="AO921" t="s">
        <v>16249</v>
      </c>
      <c r="AP921" t="s">
        <v>16250</v>
      </c>
      <c r="AQ921" t="s">
        <v>74</v>
      </c>
      <c r="AR921" t="s">
        <v>16251</v>
      </c>
      <c r="AS921" t="s">
        <v>16252</v>
      </c>
      <c r="AT921" t="s">
        <v>15251</v>
      </c>
      <c r="AU921">
        <v>2010</v>
      </c>
      <c r="AV921">
        <v>79</v>
      </c>
      <c r="AW921">
        <v>3</v>
      </c>
      <c r="AX921" t="s">
        <v>74</v>
      </c>
      <c r="AY921" t="s">
        <v>74</v>
      </c>
      <c r="AZ921" t="s">
        <v>74</v>
      </c>
      <c r="BA921" t="s">
        <v>74</v>
      </c>
      <c r="BB921">
        <v>610</v>
      </c>
      <c r="BC921">
        <v>619</v>
      </c>
      <c r="BD921" t="s">
        <v>74</v>
      </c>
      <c r="BE921" t="s">
        <v>16253</v>
      </c>
      <c r="BF921" t="str">
        <f>HYPERLINK("http://dx.doi.org/10.1111/j.1365-2656.2010.01672.x","http://dx.doi.org/10.1111/j.1365-2656.2010.01672.x")</f>
        <v>http://dx.doi.org/10.1111/j.1365-2656.2010.01672.x</v>
      </c>
      <c r="BG921" t="s">
        <v>74</v>
      </c>
      <c r="BH921" t="s">
        <v>74</v>
      </c>
      <c r="BI921">
        <v>10</v>
      </c>
      <c r="BJ921" t="s">
        <v>16254</v>
      </c>
      <c r="BK921" t="s">
        <v>100</v>
      </c>
      <c r="BL921" t="s">
        <v>16255</v>
      </c>
      <c r="BM921" t="s">
        <v>16256</v>
      </c>
      <c r="BN921">
        <v>20180875</v>
      </c>
      <c r="BO921" t="s">
        <v>394</v>
      </c>
      <c r="BP921" t="s">
        <v>74</v>
      </c>
      <c r="BQ921" t="s">
        <v>74</v>
      </c>
      <c r="BR921" t="s">
        <v>104</v>
      </c>
      <c r="BS921" t="s">
        <v>16257</v>
      </c>
      <c r="BT921" t="str">
        <f>HYPERLINK("https%3A%2F%2Fwww.webofscience.com%2Fwos%2Fwoscc%2Ffull-record%2FWOS:000275886400013","View Full Record in Web of Science")</f>
        <v>View Full Record in Web of Science</v>
      </c>
    </row>
    <row r="922" spans="1:72" x14ac:dyDescent="0.15">
      <c r="A922" t="s">
        <v>72</v>
      </c>
      <c r="B922" t="s">
        <v>16258</v>
      </c>
      <c r="C922" t="s">
        <v>74</v>
      </c>
      <c r="D922" t="s">
        <v>74</v>
      </c>
      <c r="E922" t="s">
        <v>74</v>
      </c>
      <c r="F922" t="s">
        <v>16259</v>
      </c>
      <c r="G922" t="s">
        <v>74</v>
      </c>
      <c r="H922" t="s">
        <v>74</v>
      </c>
      <c r="I922" t="s">
        <v>16260</v>
      </c>
      <c r="J922" t="s">
        <v>6137</v>
      </c>
      <c r="K922" t="s">
        <v>74</v>
      </c>
      <c r="L922" t="s">
        <v>74</v>
      </c>
      <c r="M922" t="s">
        <v>78</v>
      </c>
      <c r="N922" t="s">
        <v>79</v>
      </c>
      <c r="O922" t="s">
        <v>74</v>
      </c>
      <c r="P922" t="s">
        <v>74</v>
      </c>
      <c r="Q922" t="s">
        <v>74</v>
      </c>
      <c r="R922" t="s">
        <v>74</v>
      </c>
      <c r="S922" t="s">
        <v>74</v>
      </c>
      <c r="T922" t="s">
        <v>16261</v>
      </c>
      <c r="U922" t="s">
        <v>16262</v>
      </c>
      <c r="V922" t="s">
        <v>16263</v>
      </c>
      <c r="W922" t="s">
        <v>16264</v>
      </c>
      <c r="X922" t="s">
        <v>16265</v>
      </c>
      <c r="Y922" t="s">
        <v>16266</v>
      </c>
      <c r="Z922" t="s">
        <v>16267</v>
      </c>
      <c r="AA922" t="s">
        <v>74</v>
      </c>
      <c r="AB922" t="s">
        <v>74</v>
      </c>
      <c r="AC922" t="s">
        <v>74</v>
      </c>
      <c r="AD922" t="s">
        <v>74</v>
      </c>
      <c r="AE922" t="s">
        <v>74</v>
      </c>
      <c r="AF922" t="s">
        <v>74</v>
      </c>
      <c r="AG922">
        <v>51</v>
      </c>
      <c r="AH922">
        <v>6</v>
      </c>
      <c r="AI922">
        <v>7</v>
      </c>
      <c r="AJ922">
        <v>0</v>
      </c>
      <c r="AK922">
        <v>4</v>
      </c>
      <c r="AL922" t="s">
        <v>264</v>
      </c>
      <c r="AM922" t="s">
        <v>265</v>
      </c>
      <c r="AN922" t="s">
        <v>266</v>
      </c>
      <c r="AO922" t="s">
        <v>6144</v>
      </c>
      <c r="AP922" t="s">
        <v>6145</v>
      </c>
      <c r="AQ922" t="s">
        <v>74</v>
      </c>
      <c r="AR922" t="s">
        <v>6146</v>
      </c>
      <c r="AS922" t="s">
        <v>6147</v>
      </c>
      <c r="AT922" t="s">
        <v>15251</v>
      </c>
      <c r="AU922">
        <v>2010</v>
      </c>
      <c r="AV922">
        <v>72</v>
      </c>
      <c r="AW922" t="s">
        <v>11074</v>
      </c>
      <c r="AX922" t="s">
        <v>74</v>
      </c>
      <c r="AY922" t="s">
        <v>74</v>
      </c>
      <c r="AZ922" t="s">
        <v>74</v>
      </c>
      <c r="BA922" t="s">
        <v>74</v>
      </c>
      <c r="BB922">
        <v>565</v>
      </c>
      <c r="BC922">
        <v>569</v>
      </c>
      <c r="BD922" t="s">
        <v>74</v>
      </c>
      <c r="BE922" t="s">
        <v>16268</v>
      </c>
      <c r="BF922" t="str">
        <f>HYPERLINK("http://dx.doi.org/10.1016/j.jastp.2010.02.002","http://dx.doi.org/10.1016/j.jastp.2010.02.002")</f>
        <v>http://dx.doi.org/10.1016/j.jastp.2010.02.002</v>
      </c>
      <c r="BG922" t="s">
        <v>74</v>
      </c>
      <c r="BH922" t="s">
        <v>74</v>
      </c>
      <c r="BI922">
        <v>5</v>
      </c>
      <c r="BJ922" t="s">
        <v>2631</v>
      </c>
      <c r="BK922" t="s">
        <v>100</v>
      </c>
      <c r="BL922" t="s">
        <v>2631</v>
      </c>
      <c r="BM922" t="s">
        <v>16269</v>
      </c>
      <c r="BN922" t="s">
        <v>74</v>
      </c>
      <c r="BO922" t="s">
        <v>631</v>
      </c>
      <c r="BP922" t="s">
        <v>74</v>
      </c>
      <c r="BQ922" t="s">
        <v>74</v>
      </c>
      <c r="BR922" t="s">
        <v>104</v>
      </c>
      <c r="BS922" t="s">
        <v>16270</v>
      </c>
      <c r="BT922" t="str">
        <f>HYPERLINK("https%3A%2F%2Fwww.webofscience.com%2Fwos%2Fwoscc%2Ffull-record%2FWOS:000277677300001","View Full Record in Web of Science")</f>
        <v>View Full Record in Web of Science</v>
      </c>
    </row>
    <row r="923" spans="1:72" x14ac:dyDescent="0.15">
      <c r="A923" t="s">
        <v>72</v>
      </c>
      <c r="B923" t="s">
        <v>16271</v>
      </c>
      <c r="C923" t="s">
        <v>74</v>
      </c>
      <c r="D923" t="s">
        <v>74</v>
      </c>
      <c r="E923" t="s">
        <v>74</v>
      </c>
      <c r="F923" t="s">
        <v>16272</v>
      </c>
      <c r="G923" t="s">
        <v>74</v>
      </c>
      <c r="H923" t="s">
        <v>74</v>
      </c>
      <c r="I923" t="s">
        <v>16273</v>
      </c>
      <c r="J923" t="s">
        <v>6137</v>
      </c>
      <c r="K923" t="s">
        <v>74</v>
      </c>
      <c r="L923" t="s">
        <v>74</v>
      </c>
      <c r="M923" t="s">
        <v>78</v>
      </c>
      <c r="N923" t="s">
        <v>79</v>
      </c>
      <c r="O923" t="s">
        <v>74</v>
      </c>
      <c r="P923" t="s">
        <v>74</v>
      </c>
      <c r="Q923" t="s">
        <v>74</v>
      </c>
      <c r="R923" t="s">
        <v>74</v>
      </c>
      <c r="S923" t="s">
        <v>74</v>
      </c>
      <c r="T923" t="s">
        <v>16274</v>
      </c>
      <c r="U923" t="s">
        <v>16275</v>
      </c>
      <c r="V923" t="s">
        <v>16276</v>
      </c>
      <c r="W923" t="s">
        <v>16277</v>
      </c>
      <c r="X923" t="s">
        <v>16278</v>
      </c>
      <c r="Y923" t="s">
        <v>16279</v>
      </c>
      <c r="Z923" t="s">
        <v>16280</v>
      </c>
      <c r="AA923" t="s">
        <v>16281</v>
      </c>
      <c r="AB923" t="s">
        <v>16282</v>
      </c>
      <c r="AC923" t="s">
        <v>16283</v>
      </c>
      <c r="AD923" t="s">
        <v>16284</v>
      </c>
      <c r="AE923" t="s">
        <v>16285</v>
      </c>
      <c r="AF923" t="s">
        <v>74</v>
      </c>
      <c r="AG923">
        <v>38</v>
      </c>
      <c r="AH923">
        <v>17</v>
      </c>
      <c r="AI923">
        <v>22</v>
      </c>
      <c r="AJ923">
        <v>0</v>
      </c>
      <c r="AK923">
        <v>6</v>
      </c>
      <c r="AL923" t="s">
        <v>264</v>
      </c>
      <c r="AM923" t="s">
        <v>265</v>
      </c>
      <c r="AN923" t="s">
        <v>266</v>
      </c>
      <c r="AO923" t="s">
        <v>6144</v>
      </c>
      <c r="AP923" t="s">
        <v>6145</v>
      </c>
      <c r="AQ923" t="s">
        <v>74</v>
      </c>
      <c r="AR923" t="s">
        <v>6146</v>
      </c>
      <c r="AS923" t="s">
        <v>6147</v>
      </c>
      <c r="AT923" t="s">
        <v>15251</v>
      </c>
      <c r="AU923">
        <v>2010</v>
      </c>
      <c r="AV923">
        <v>72</v>
      </c>
      <c r="AW923" t="s">
        <v>11074</v>
      </c>
      <c r="AX923" t="s">
        <v>74</v>
      </c>
      <c r="AY923" t="s">
        <v>74</v>
      </c>
      <c r="AZ923" t="s">
        <v>74</v>
      </c>
      <c r="BA923" t="s">
        <v>74</v>
      </c>
      <c r="BB923">
        <v>638</v>
      </c>
      <c r="BC923">
        <v>642</v>
      </c>
      <c r="BD923" t="s">
        <v>74</v>
      </c>
      <c r="BE923" t="s">
        <v>16286</v>
      </c>
      <c r="BF923" t="str">
        <f>HYPERLINK("http://dx.doi.org/10.1016/j.jastp.2010.03.005","http://dx.doi.org/10.1016/j.jastp.2010.03.005")</f>
        <v>http://dx.doi.org/10.1016/j.jastp.2010.03.005</v>
      </c>
      <c r="BG923" t="s">
        <v>74</v>
      </c>
      <c r="BH923" t="s">
        <v>74</v>
      </c>
      <c r="BI923">
        <v>5</v>
      </c>
      <c r="BJ923" t="s">
        <v>2631</v>
      </c>
      <c r="BK923" t="s">
        <v>100</v>
      </c>
      <c r="BL923" t="s">
        <v>2631</v>
      </c>
      <c r="BM923" t="s">
        <v>16269</v>
      </c>
      <c r="BN923" t="s">
        <v>74</v>
      </c>
      <c r="BO923" t="s">
        <v>74</v>
      </c>
      <c r="BP923" t="s">
        <v>74</v>
      </c>
      <c r="BQ923" t="s">
        <v>74</v>
      </c>
      <c r="BR923" t="s">
        <v>104</v>
      </c>
      <c r="BS923" t="s">
        <v>16287</v>
      </c>
      <c r="BT923" t="str">
        <f>HYPERLINK("https%3A%2F%2Fwww.webofscience.com%2Fwos%2Fwoscc%2Ffull-record%2FWOS:000277677300010","View Full Record in Web of Science")</f>
        <v>View Full Record in Web of Science</v>
      </c>
    </row>
    <row r="924" spans="1:72" x14ac:dyDescent="0.15">
      <c r="A924" t="s">
        <v>72</v>
      </c>
      <c r="B924" t="s">
        <v>16288</v>
      </c>
      <c r="C924" t="s">
        <v>74</v>
      </c>
      <c r="D924" t="s">
        <v>74</v>
      </c>
      <c r="E924" t="s">
        <v>74</v>
      </c>
      <c r="F924" t="s">
        <v>16289</v>
      </c>
      <c r="G924" t="s">
        <v>74</v>
      </c>
      <c r="H924" t="s">
        <v>74</v>
      </c>
      <c r="I924" t="s">
        <v>16290</v>
      </c>
      <c r="J924" t="s">
        <v>6177</v>
      </c>
      <c r="K924" t="s">
        <v>74</v>
      </c>
      <c r="L924" t="s">
        <v>74</v>
      </c>
      <c r="M924" t="s">
        <v>78</v>
      </c>
      <c r="N924" t="s">
        <v>79</v>
      </c>
      <c r="O924" t="s">
        <v>74</v>
      </c>
      <c r="P924" t="s">
        <v>74</v>
      </c>
      <c r="Q924" t="s">
        <v>74</v>
      </c>
      <c r="R924" t="s">
        <v>74</v>
      </c>
      <c r="S924" t="s">
        <v>74</v>
      </c>
      <c r="T924" t="s">
        <v>16291</v>
      </c>
      <c r="U924" t="s">
        <v>16292</v>
      </c>
      <c r="V924" t="s">
        <v>16293</v>
      </c>
      <c r="W924" t="s">
        <v>16294</v>
      </c>
      <c r="X924" t="s">
        <v>16295</v>
      </c>
      <c r="Y924" t="s">
        <v>16296</v>
      </c>
      <c r="Z924" t="s">
        <v>16297</v>
      </c>
      <c r="AA924" t="s">
        <v>16298</v>
      </c>
      <c r="AB924" t="s">
        <v>16299</v>
      </c>
      <c r="AC924" t="s">
        <v>16300</v>
      </c>
      <c r="AD924" t="s">
        <v>16301</v>
      </c>
      <c r="AE924" t="s">
        <v>16302</v>
      </c>
      <c r="AF924" t="s">
        <v>74</v>
      </c>
      <c r="AG924">
        <v>83</v>
      </c>
      <c r="AH924">
        <v>72</v>
      </c>
      <c r="AI924">
        <v>86</v>
      </c>
      <c r="AJ924">
        <v>1</v>
      </c>
      <c r="AK924">
        <v>55</v>
      </c>
      <c r="AL924" t="s">
        <v>923</v>
      </c>
      <c r="AM924" t="s">
        <v>339</v>
      </c>
      <c r="AN924" t="s">
        <v>340</v>
      </c>
      <c r="AO924" t="s">
        <v>6186</v>
      </c>
      <c r="AP924" t="s">
        <v>11394</v>
      </c>
      <c r="AQ924" t="s">
        <v>74</v>
      </c>
      <c r="AR924" t="s">
        <v>6187</v>
      </c>
      <c r="AS924" t="s">
        <v>6188</v>
      </c>
      <c r="AT924" t="s">
        <v>15251</v>
      </c>
      <c r="AU924">
        <v>2010</v>
      </c>
      <c r="AV924">
        <v>37</v>
      </c>
      <c r="AW924">
        <v>5</v>
      </c>
      <c r="AX924" t="s">
        <v>74</v>
      </c>
      <c r="AY924" t="s">
        <v>74</v>
      </c>
      <c r="AZ924" t="s">
        <v>74</v>
      </c>
      <c r="BA924" t="s">
        <v>74</v>
      </c>
      <c r="BB924">
        <v>814</v>
      </c>
      <c r="BC924">
        <v>829</v>
      </c>
      <c r="BD924" t="s">
        <v>74</v>
      </c>
      <c r="BE924" t="s">
        <v>16303</v>
      </c>
      <c r="BF924" t="str">
        <f>HYPERLINK("http://dx.doi.org/10.1111/j.1365-2699.2010.02271.x","http://dx.doi.org/10.1111/j.1365-2699.2010.02271.x")</f>
        <v>http://dx.doi.org/10.1111/j.1365-2699.2010.02271.x</v>
      </c>
      <c r="BG924" t="s">
        <v>74</v>
      </c>
      <c r="BH924" t="s">
        <v>74</v>
      </c>
      <c r="BI924">
        <v>16</v>
      </c>
      <c r="BJ924" t="s">
        <v>6190</v>
      </c>
      <c r="BK924" t="s">
        <v>100</v>
      </c>
      <c r="BL924" t="s">
        <v>101</v>
      </c>
      <c r="BM924" t="s">
        <v>16304</v>
      </c>
      <c r="BN924" t="s">
        <v>74</v>
      </c>
      <c r="BO924" t="s">
        <v>74</v>
      </c>
      <c r="BP924" t="s">
        <v>74</v>
      </c>
      <c r="BQ924" t="s">
        <v>74</v>
      </c>
      <c r="BR924" t="s">
        <v>104</v>
      </c>
      <c r="BS924" t="s">
        <v>16305</v>
      </c>
      <c r="BT924" t="str">
        <f>HYPERLINK("https%3A%2F%2Fwww.webofscience.com%2Fwos%2Fwoscc%2Ffull-record%2FWOS:000276861700003","View Full Record in Web of Science")</f>
        <v>View Full Record in Web of Science</v>
      </c>
    </row>
    <row r="925" spans="1:72" x14ac:dyDescent="0.15">
      <c r="A925" t="s">
        <v>72</v>
      </c>
      <c r="B925" t="s">
        <v>16306</v>
      </c>
      <c r="C925" t="s">
        <v>74</v>
      </c>
      <c r="D925" t="s">
        <v>74</v>
      </c>
      <c r="E925" t="s">
        <v>74</v>
      </c>
      <c r="F925" t="s">
        <v>16307</v>
      </c>
      <c r="G925" t="s">
        <v>74</v>
      </c>
      <c r="H925" t="s">
        <v>74</v>
      </c>
      <c r="I925" t="s">
        <v>16308</v>
      </c>
      <c r="J925" t="s">
        <v>743</v>
      </c>
      <c r="K925" t="s">
        <v>74</v>
      </c>
      <c r="L925" t="s">
        <v>74</v>
      </c>
      <c r="M925" t="s">
        <v>78</v>
      </c>
      <c r="N925" t="s">
        <v>239</v>
      </c>
      <c r="O925" t="s">
        <v>74</v>
      </c>
      <c r="P925" t="s">
        <v>74</v>
      </c>
      <c r="Q925" t="s">
        <v>74</v>
      </c>
      <c r="R925" t="s">
        <v>74</v>
      </c>
      <c r="S925" t="s">
        <v>74</v>
      </c>
      <c r="T925" t="s">
        <v>74</v>
      </c>
      <c r="U925" t="s">
        <v>74</v>
      </c>
      <c r="V925" t="s">
        <v>74</v>
      </c>
      <c r="W925" t="s">
        <v>16309</v>
      </c>
      <c r="X925" t="s">
        <v>16310</v>
      </c>
      <c r="Y925" t="s">
        <v>747</v>
      </c>
      <c r="Z925" t="s">
        <v>74</v>
      </c>
      <c r="AA925" t="s">
        <v>74</v>
      </c>
      <c r="AB925" t="s">
        <v>74</v>
      </c>
      <c r="AC925" t="s">
        <v>74</v>
      </c>
      <c r="AD925" t="s">
        <v>74</v>
      </c>
      <c r="AE925" t="s">
        <v>74</v>
      </c>
      <c r="AF925" t="s">
        <v>74</v>
      </c>
      <c r="AG925">
        <v>1</v>
      </c>
      <c r="AH925">
        <v>0</v>
      </c>
      <c r="AI925">
        <v>0</v>
      </c>
      <c r="AJ925">
        <v>0</v>
      </c>
      <c r="AK925">
        <v>0</v>
      </c>
      <c r="AL925" t="s">
        <v>749</v>
      </c>
      <c r="AM925" t="s">
        <v>486</v>
      </c>
      <c r="AN925" t="s">
        <v>750</v>
      </c>
      <c r="AO925" t="s">
        <v>751</v>
      </c>
      <c r="AP925" t="s">
        <v>74</v>
      </c>
      <c r="AQ925" t="s">
        <v>74</v>
      </c>
      <c r="AR925" t="s">
        <v>752</v>
      </c>
      <c r="AS925" t="s">
        <v>753</v>
      </c>
      <c r="AT925" t="s">
        <v>15251</v>
      </c>
      <c r="AU925">
        <v>2010</v>
      </c>
      <c r="AV925">
        <v>26</v>
      </c>
      <c r="AW925">
        <v>3</v>
      </c>
      <c r="AX925" t="s">
        <v>74</v>
      </c>
      <c r="AY925" t="s">
        <v>74</v>
      </c>
      <c r="AZ925" t="s">
        <v>74</v>
      </c>
      <c r="BA925" t="s">
        <v>74</v>
      </c>
      <c r="BB925">
        <v>590</v>
      </c>
      <c r="BC925">
        <v>590</v>
      </c>
      <c r="BD925" t="s">
        <v>74</v>
      </c>
      <c r="BE925" t="s">
        <v>74</v>
      </c>
      <c r="BF925" t="s">
        <v>74</v>
      </c>
      <c r="BG925" t="s">
        <v>74</v>
      </c>
      <c r="BH925" t="s">
        <v>74</v>
      </c>
      <c r="BI925">
        <v>1</v>
      </c>
      <c r="BJ925" t="s">
        <v>755</v>
      </c>
      <c r="BK925" t="s">
        <v>100</v>
      </c>
      <c r="BL925" t="s">
        <v>756</v>
      </c>
      <c r="BM925" t="s">
        <v>16311</v>
      </c>
      <c r="BN925" t="s">
        <v>74</v>
      </c>
      <c r="BO925" t="s">
        <v>74</v>
      </c>
      <c r="BP925" t="s">
        <v>74</v>
      </c>
      <c r="BQ925" t="s">
        <v>74</v>
      </c>
      <c r="BR925" t="s">
        <v>104</v>
      </c>
      <c r="BS925" t="s">
        <v>16312</v>
      </c>
      <c r="BT925" t="str">
        <f>HYPERLINK("https%3A%2F%2Fwww.webofscience.com%2Fwos%2Fwoscc%2Ffull-record%2FWOS:000277947000023","View Full Record in Web of Science")</f>
        <v>View Full Record in Web of Science</v>
      </c>
    </row>
    <row r="926" spans="1:72" x14ac:dyDescent="0.15">
      <c r="A926" t="s">
        <v>72</v>
      </c>
      <c r="B926" t="s">
        <v>16313</v>
      </c>
      <c r="C926" t="s">
        <v>74</v>
      </c>
      <c r="D926" t="s">
        <v>74</v>
      </c>
      <c r="E926" t="s">
        <v>74</v>
      </c>
      <c r="F926" t="s">
        <v>16314</v>
      </c>
      <c r="G926" t="s">
        <v>74</v>
      </c>
      <c r="H926" t="s">
        <v>74</v>
      </c>
      <c r="I926" t="s">
        <v>16315</v>
      </c>
      <c r="J926" t="s">
        <v>16316</v>
      </c>
      <c r="K926" t="s">
        <v>74</v>
      </c>
      <c r="L926" t="s">
        <v>74</v>
      </c>
      <c r="M926" t="s">
        <v>78</v>
      </c>
      <c r="N926" t="s">
        <v>79</v>
      </c>
      <c r="O926" t="s">
        <v>74</v>
      </c>
      <c r="P926" t="s">
        <v>74</v>
      </c>
      <c r="Q926" t="s">
        <v>74</v>
      </c>
      <c r="R926" t="s">
        <v>74</v>
      </c>
      <c r="S926" t="s">
        <v>74</v>
      </c>
      <c r="T926" t="s">
        <v>16317</v>
      </c>
      <c r="U926" t="s">
        <v>16318</v>
      </c>
      <c r="V926" t="s">
        <v>16319</v>
      </c>
      <c r="W926" t="s">
        <v>16320</v>
      </c>
      <c r="X926" t="s">
        <v>16321</v>
      </c>
      <c r="Y926" t="s">
        <v>16322</v>
      </c>
      <c r="Z926" t="s">
        <v>16323</v>
      </c>
      <c r="AA926" t="s">
        <v>16324</v>
      </c>
      <c r="AB926" t="s">
        <v>16325</v>
      </c>
      <c r="AC926" t="s">
        <v>16326</v>
      </c>
      <c r="AD926" t="s">
        <v>16327</v>
      </c>
      <c r="AE926" t="s">
        <v>16328</v>
      </c>
      <c r="AF926" t="s">
        <v>74</v>
      </c>
      <c r="AG926">
        <v>30</v>
      </c>
      <c r="AH926">
        <v>12</v>
      </c>
      <c r="AI926">
        <v>14</v>
      </c>
      <c r="AJ926">
        <v>0</v>
      </c>
      <c r="AK926">
        <v>11</v>
      </c>
      <c r="AL926" t="s">
        <v>2438</v>
      </c>
      <c r="AM926" t="s">
        <v>265</v>
      </c>
      <c r="AN926" t="s">
        <v>2439</v>
      </c>
      <c r="AO926" t="s">
        <v>16329</v>
      </c>
      <c r="AP926" t="s">
        <v>16330</v>
      </c>
      <c r="AQ926" t="s">
        <v>74</v>
      </c>
      <c r="AR926" t="s">
        <v>16331</v>
      </c>
      <c r="AS926" t="s">
        <v>16332</v>
      </c>
      <c r="AT926" t="s">
        <v>15251</v>
      </c>
      <c r="AU926">
        <v>2010</v>
      </c>
      <c r="AV926">
        <v>101</v>
      </c>
      <c r="AW926">
        <v>5</v>
      </c>
      <c r="AX926" t="s">
        <v>74</v>
      </c>
      <c r="AY926" t="s">
        <v>74</v>
      </c>
      <c r="AZ926" t="s">
        <v>74</v>
      </c>
      <c r="BA926" t="s">
        <v>74</v>
      </c>
      <c r="BB926">
        <v>421</v>
      </c>
      <c r="BC926">
        <v>424</v>
      </c>
      <c r="BD926" t="s">
        <v>74</v>
      </c>
      <c r="BE926" t="s">
        <v>16333</v>
      </c>
      <c r="BF926" t="str">
        <f>HYPERLINK("http://dx.doi.org/10.1016/j.jenvrad.2010.02.006","http://dx.doi.org/10.1016/j.jenvrad.2010.02.006")</f>
        <v>http://dx.doi.org/10.1016/j.jenvrad.2010.02.006</v>
      </c>
      <c r="BG926" t="s">
        <v>74</v>
      </c>
      <c r="BH926" t="s">
        <v>74</v>
      </c>
      <c r="BI926">
        <v>4</v>
      </c>
      <c r="BJ926" t="s">
        <v>3562</v>
      </c>
      <c r="BK926" t="s">
        <v>100</v>
      </c>
      <c r="BL926" t="s">
        <v>2797</v>
      </c>
      <c r="BM926" t="s">
        <v>16334</v>
      </c>
      <c r="BN926">
        <v>20303629</v>
      </c>
      <c r="BO926" t="s">
        <v>74</v>
      </c>
      <c r="BP926" t="s">
        <v>74</v>
      </c>
      <c r="BQ926" t="s">
        <v>74</v>
      </c>
      <c r="BR926" t="s">
        <v>104</v>
      </c>
      <c r="BS926" t="s">
        <v>16335</v>
      </c>
      <c r="BT926" t="str">
        <f>HYPERLINK("https%3A%2F%2Fwww.webofscience.com%2Fwos%2Fwoscc%2Ffull-record%2FWOS:000277530800013","View Full Record in Web of Science")</f>
        <v>View Full Record in Web of Science</v>
      </c>
    </row>
    <row r="927" spans="1:72" x14ac:dyDescent="0.15">
      <c r="A927" t="s">
        <v>72</v>
      </c>
      <c r="B927" t="s">
        <v>16336</v>
      </c>
      <c r="C927" t="s">
        <v>74</v>
      </c>
      <c r="D927" t="s">
        <v>74</v>
      </c>
      <c r="E927" t="s">
        <v>74</v>
      </c>
      <c r="F927" t="s">
        <v>16337</v>
      </c>
      <c r="G927" t="s">
        <v>74</v>
      </c>
      <c r="H927" t="s">
        <v>74</v>
      </c>
      <c r="I927" t="s">
        <v>16338</v>
      </c>
      <c r="J927" t="s">
        <v>16339</v>
      </c>
      <c r="K927" t="s">
        <v>74</v>
      </c>
      <c r="L927" t="s">
        <v>74</v>
      </c>
      <c r="M927" t="s">
        <v>78</v>
      </c>
      <c r="N927" t="s">
        <v>79</v>
      </c>
      <c r="O927" t="s">
        <v>74</v>
      </c>
      <c r="P927" t="s">
        <v>74</v>
      </c>
      <c r="Q927" t="s">
        <v>74</v>
      </c>
      <c r="R927" t="s">
        <v>74</v>
      </c>
      <c r="S927" t="s">
        <v>74</v>
      </c>
      <c r="T927" t="s">
        <v>16340</v>
      </c>
      <c r="U927" t="s">
        <v>16341</v>
      </c>
      <c r="V927" t="s">
        <v>16342</v>
      </c>
      <c r="W927" t="s">
        <v>16343</v>
      </c>
      <c r="X927" t="s">
        <v>16344</v>
      </c>
      <c r="Y927" t="s">
        <v>16345</v>
      </c>
      <c r="Z927" t="s">
        <v>16346</v>
      </c>
      <c r="AA927" t="s">
        <v>16347</v>
      </c>
      <c r="AB927" t="s">
        <v>16348</v>
      </c>
      <c r="AC927" t="s">
        <v>74</v>
      </c>
      <c r="AD927" t="s">
        <v>74</v>
      </c>
      <c r="AE927" t="s">
        <v>74</v>
      </c>
      <c r="AF927" t="s">
        <v>74</v>
      </c>
      <c r="AG927">
        <v>55</v>
      </c>
      <c r="AH927">
        <v>18</v>
      </c>
      <c r="AI927">
        <v>20</v>
      </c>
      <c r="AJ927">
        <v>0</v>
      </c>
      <c r="AK927">
        <v>7</v>
      </c>
      <c r="AL927" t="s">
        <v>464</v>
      </c>
      <c r="AM927" t="s">
        <v>310</v>
      </c>
      <c r="AN927" t="s">
        <v>465</v>
      </c>
      <c r="AO927" t="s">
        <v>16349</v>
      </c>
      <c r="AP927" t="s">
        <v>16350</v>
      </c>
      <c r="AQ927" t="s">
        <v>74</v>
      </c>
      <c r="AR927" t="s">
        <v>16351</v>
      </c>
      <c r="AS927" t="s">
        <v>16352</v>
      </c>
      <c r="AT927" t="s">
        <v>15251</v>
      </c>
      <c r="AU927">
        <v>2010</v>
      </c>
      <c r="AV927">
        <v>84</v>
      </c>
      <c r="AW927">
        <v>5</v>
      </c>
      <c r="AX927" t="s">
        <v>74</v>
      </c>
      <c r="AY927" t="s">
        <v>74</v>
      </c>
      <c r="AZ927" t="s">
        <v>74</v>
      </c>
      <c r="BA927" t="s">
        <v>74</v>
      </c>
      <c r="BB927">
        <v>305</v>
      </c>
      <c r="BC927">
        <v>317</v>
      </c>
      <c r="BD927" t="s">
        <v>74</v>
      </c>
      <c r="BE927" t="s">
        <v>16353</v>
      </c>
      <c r="BF927" t="str">
        <f>HYPERLINK("http://dx.doi.org/10.1007/s00190-010-0368-4","http://dx.doi.org/10.1007/s00190-010-0368-4")</f>
        <v>http://dx.doi.org/10.1007/s00190-010-0368-4</v>
      </c>
      <c r="BG927" t="s">
        <v>74</v>
      </c>
      <c r="BH927" t="s">
        <v>74</v>
      </c>
      <c r="BI927">
        <v>13</v>
      </c>
      <c r="BJ927" t="s">
        <v>16354</v>
      </c>
      <c r="BK927" t="s">
        <v>100</v>
      </c>
      <c r="BL927" t="s">
        <v>16354</v>
      </c>
      <c r="BM927" t="s">
        <v>16355</v>
      </c>
      <c r="BN927" t="s">
        <v>74</v>
      </c>
      <c r="BO927" t="s">
        <v>74</v>
      </c>
      <c r="BP927" t="s">
        <v>74</v>
      </c>
      <c r="BQ927" t="s">
        <v>74</v>
      </c>
      <c r="BR927" t="s">
        <v>104</v>
      </c>
      <c r="BS927" t="s">
        <v>16356</v>
      </c>
      <c r="BT927" t="str">
        <f>HYPERLINK("https%3A%2F%2Fwww.webofscience.com%2Fwos%2Fwoscc%2Ffull-record%2FWOS:000276660700003","View Full Record in Web of Science")</f>
        <v>View Full Record in Web of Science</v>
      </c>
    </row>
    <row r="928" spans="1:72" x14ac:dyDescent="0.15">
      <c r="A928" t="s">
        <v>72</v>
      </c>
      <c r="B928" t="s">
        <v>16357</v>
      </c>
      <c r="C928" t="s">
        <v>74</v>
      </c>
      <c r="D928" t="s">
        <v>74</v>
      </c>
      <c r="E928" t="s">
        <v>74</v>
      </c>
      <c r="F928" t="s">
        <v>16358</v>
      </c>
      <c r="G928" t="s">
        <v>74</v>
      </c>
      <c r="H928" t="s">
        <v>74</v>
      </c>
      <c r="I928" t="s">
        <v>16359</v>
      </c>
      <c r="J928" t="s">
        <v>16360</v>
      </c>
      <c r="K928" t="s">
        <v>74</v>
      </c>
      <c r="L928" t="s">
        <v>74</v>
      </c>
      <c r="M928" t="s">
        <v>78</v>
      </c>
      <c r="N928" t="s">
        <v>79</v>
      </c>
      <c r="O928" t="s">
        <v>74</v>
      </c>
      <c r="P928" t="s">
        <v>74</v>
      </c>
      <c r="Q928" t="s">
        <v>74</v>
      </c>
      <c r="R928" t="s">
        <v>74</v>
      </c>
      <c r="S928" t="s">
        <v>74</v>
      </c>
      <c r="T928" t="s">
        <v>74</v>
      </c>
      <c r="U928" t="s">
        <v>16361</v>
      </c>
      <c r="V928" t="s">
        <v>16362</v>
      </c>
      <c r="W928" t="s">
        <v>16363</v>
      </c>
      <c r="X928" t="s">
        <v>2934</v>
      </c>
      <c r="Y928" t="s">
        <v>16364</v>
      </c>
      <c r="Z928" t="s">
        <v>16365</v>
      </c>
      <c r="AA928" t="s">
        <v>74</v>
      </c>
      <c r="AB928" t="s">
        <v>74</v>
      </c>
      <c r="AC928" t="s">
        <v>16366</v>
      </c>
      <c r="AD928" t="s">
        <v>16367</v>
      </c>
      <c r="AE928" t="s">
        <v>16368</v>
      </c>
      <c r="AF928" t="s">
        <v>74</v>
      </c>
      <c r="AG928">
        <v>44</v>
      </c>
      <c r="AH928">
        <v>6</v>
      </c>
      <c r="AI928">
        <v>6</v>
      </c>
      <c r="AJ928">
        <v>0</v>
      </c>
      <c r="AK928">
        <v>8</v>
      </c>
      <c r="AL928" t="s">
        <v>16369</v>
      </c>
      <c r="AM928" t="s">
        <v>16370</v>
      </c>
      <c r="AN928" t="s">
        <v>16371</v>
      </c>
      <c r="AO928" t="s">
        <v>16372</v>
      </c>
      <c r="AP928" t="s">
        <v>16373</v>
      </c>
      <c r="AQ928" t="s">
        <v>74</v>
      </c>
      <c r="AR928" t="s">
        <v>16374</v>
      </c>
      <c r="AS928" t="s">
        <v>16375</v>
      </c>
      <c r="AT928" t="s">
        <v>16376</v>
      </c>
      <c r="AU928">
        <v>2010</v>
      </c>
      <c r="AV928">
        <v>68</v>
      </c>
      <c r="AW928" t="s">
        <v>556</v>
      </c>
      <c r="AX928" t="s">
        <v>74</v>
      </c>
      <c r="AY928" t="s">
        <v>74</v>
      </c>
      <c r="AZ928" t="s">
        <v>74</v>
      </c>
      <c r="BA928" t="s">
        <v>74</v>
      </c>
      <c r="BB928">
        <v>387</v>
      </c>
      <c r="BC928">
        <v>412</v>
      </c>
      <c r="BD928" t="s">
        <v>74</v>
      </c>
      <c r="BE928" t="s">
        <v>16377</v>
      </c>
      <c r="BF928" t="str">
        <f>HYPERLINK("http://dx.doi.org/10.1357/002224010794657100","http://dx.doi.org/10.1357/002224010794657100")</f>
        <v>http://dx.doi.org/10.1357/002224010794657100</v>
      </c>
      <c r="BG928" t="s">
        <v>74</v>
      </c>
      <c r="BH928" t="s">
        <v>74</v>
      </c>
      <c r="BI928">
        <v>26</v>
      </c>
      <c r="BJ928" t="s">
        <v>1531</v>
      </c>
      <c r="BK928" t="s">
        <v>100</v>
      </c>
      <c r="BL928" t="s">
        <v>1531</v>
      </c>
      <c r="BM928" t="s">
        <v>16378</v>
      </c>
      <c r="BN928" t="s">
        <v>74</v>
      </c>
      <c r="BO928" t="s">
        <v>74</v>
      </c>
      <c r="BP928" t="s">
        <v>74</v>
      </c>
      <c r="BQ928" t="s">
        <v>74</v>
      </c>
      <c r="BR928" t="s">
        <v>104</v>
      </c>
      <c r="BS928" t="s">
        <v>16379</v>
      </c>
      <c r="BT928" t="str">
        <f>HYPERLINK("https%3A%2F%2Fwww.webofscience.com%2Fwos%2Fwoscc%2Ffull-record%2FWOS:000287571300004","View Full Record in Web of Science")</f>
        <v>View Full Record in Web of Science</v>
      </c>
    </row>
    <row r="929" spans="1:72" x14ac:dyDescent="0.15">
      <c r="A929" t="s">
        <v>72</v>
      </c>
      <c r="B929" t="s">
        <v>16380</v>
      </c>
      <c r="C929" t="s">
        <v>74</v>
      </c>
      <c r="D929" t="s">
        <v>74</v>
      </c>
      <c r="E929" t="s">
        <v>74</v>
      </c>
      <c r="F929" t="s">
        <v>16381</v>
      </c>
      <c r="G929" t="s">
        <v>74</v>
      </c>
      <c r="H929" t="s">
        <v>74</v>
      </c>
      <c r="I929" t="s">
        <v>16382</v>
      </c>
      <c r="J929" t="s">
        <v>16360</v>
      </c>
      <c r="K929" t="s">
        <v>74</v>
      </c>
      <c r="L929" t="s">
        <v>74</v>
      </c>
      <c r="M929" t="s">
        <v>78</v>
      </c>
      <c r="N929" t="s">
        <v>79</v>
      </c>
      <c r="O929" t="s">
        <v>74</v>
      </c>
      <c r="P929" t="s">
        <v>74</v>
      </c>
      <c r="Q929" t="s">
        <v>74</v>
      </c>
      <c r="R929" t="s">
        <v>74</v>
      </c>
      <c r="S929" t="s">
        <v>74</v>
      </c>
      <c r="T929" t="s">
        <v>74</v>
      </c>
      <c r="U929" t="s">
        <v>16383</v>
      </c>
      <c r="V929" t="s">
        <v>16384</v>
      </c>
      <c r="W929" t="s">
        <v>16385</v>
      </c>
      <c r="X929" t="s">
        <v>8838</v>
      </c>
      <c r="Y929" t="s">
        <v>16386</v>
      </c>
      <c r="Z929" t="s">
        <v>16387</v>
      </c>
      <c r="AA929" t="s">
        <v>16388</v>
      </c>
      <c r="AB929" t="s">
        <v>16389</v>
      </c>
      <c r="AC929" t="s">
        <v>16390</v>
      </c>
      <c r="AD929" t="s">
        <v>16391</v>
      </c>
      <c r="AE929" t="s">
        <v>16392</v>
      </c>
      <c r="AF929" t="s">
        <v>74</v>
      </c>
      <c r="AG929">
        <v>33</v>
      </c>
      <c r="AH929">
        <v>13</v>
      </c>
      <c r="AI929">
        <v>13</v>
      </c>
      <c r="AJ929">
        <v>0</v>
      </c>
      <c r="AK929">
        <v>15</v>
      </c>
      <c r="AL929" t="s">
        <v>16369</v>
      </c>
      <c r="AM929" t="s">
        <v>16370</v>
      </c>
      <c r="AN929" t="s">
        <v>16371</v>
      </c>
      <c r="AO929" t="s">
        <v>16372</v>
      </c>
      <c r="AP929" t="s">
        <v>16373</v>
      </c>
      <c r="AQ929" t="s">
        <v>74</v>
      </c>
      <c r="AR929" t="s">
        <v>16374</v>
      </c>
      <c r="AS929" t="s">
        <v>16375</v>
      </c>
      <c r="AT929" t="s">
        <v>16376</v>
      </c>
      <c r="AU929">
        <v>2010</v>
      </c>
      <c r="AV929">
        <v>68</v>
      </c>
      <c r="AW929" t="s">
        <v>556</v>
      </c>
      <c r="AX929" t="s">
        <v>74</v>
      </c>
      <c r="AY929" t="s">
        <v>74</v>
      </c>
      <c r="AZ929" t="s">
        <v>74</v>
      </c>
      <c r="BA929" t="s">
        <v>74</v>
      </c>
      <c r="BB929">
        <v>413</v>
      </c>
      <c r="BC929">
        <v>431</v>
      </c>
      <c r="BD929" t="s">
        <v>74</v>
      </c>
      <c r="BE929" t="s">
        <v>16393</v>
      </c>
      <c r="BF929" t="str">
        <f>HYPERLINK("http://dx.doi.org/10.1357/002224010794657218","http://dx.doi.org/10.1357/002224010794657218")</f>
        <v>http://dx.doi.org/10.1357/002224010794657218</v>
      </c>
      <c r="BG929" t="s">
        <v>74</v>
      </c>
      <c r="BH929" t="s">
        <v>74</v>
      </c>
      <c r="BI929">
        <v>19</v>
      </c>
      <c r="BJ929" t="s">
        <v>1531</v>
      </c>
      <c r="BK929" t="s">
        <v>100</v>
      </c>
      <c r="BL929" t="s">
        <v>1531</v>
      </c>
      <c r="BM929" t="s">
        <v>16378</v>
      </c>
      <c r="BN929" t="s">
        <v>74</v>
      </c>
      <c r="BO929" t="s">
        <v>134</v>
      </c>
      <c r="BP929" t="s">
        <v>74</v>
      </c>
      <c r="BQ929" t="s">
        <v>74</v>
      </c>
      <c r="BR929" t="s">
        <v>104</v>
      </c>
      <c r="BS929" t="s">
        <v>16394</v>
      </c>
      <c r="BT929" t="str">
        <f>HYPERLINK("https%3A%2F%2Fwww.webofscience.com%2Fwos%2Fwoscc%2Ffull-record%2FWOS:000287571300005","View Full Record in Web of Science")</f>
        <v>View Full Record in Web of Science</v>
      </c>
    </row>
    <row r="930" spans="1:72" x14ac:dyDescent="0.15">
      <c r="A930" t="s">
        <v>72</v>
      </c>
      <c r="B930" t="s">
        <v>16395</v>
      </c>
      <c r="C930" t="s">
        <v>74</v>
      </c>
      <c r="D930" t="s">
        <v>74</v>
      </c>
      <c r="E930" t="s">
        <v>74</v>
      </c>
      <c r="F930" t="s">
        <v>16396</v>
      </c>
      <c r="G930" t="s">
        <v>74</v>
      </c>
      <c r="H930" t="s">
        <v>74</v>
      </c>
      <c r="I930" t="s">
        <v>16397</v>
      </c>
      <c r="J930" t="s">
        <v>16360</v>
      </c>
      <c r="K930" t="s">
        <v>74</v>
      </c>
      <c r="L930" t="s">
        <v>74</v>
      </c>
      <c r="M930" t="s">
        <v>78</v>
      </c>
      <c r="N930" t="s">
        <v>79</v>
      </c>
      <c r="O930" t="s">
        <v>74</v>
      </c>
      <c r="P930" t="s">
        <v>74</v>
      </c>
      <c r="Q930" t="s">
        <v>74</v>
      </c>
      <c r="R930" t="s">
        <v>74</v>
      </c>
      <c r="S930" t="s">
        <v>74</v>
      </c>
      <c r="T930" t="s">
        <v>74</v>
      </c>
      <c r="U930" t="s">
        <v>16398</v>
      </c>
      <c r="V930" t="s">
        <v>16399</v>
      </c>
      <c r="W930" t="s">
        <v>16400</v>
      </c>
      <c r="X930" t="s">
        <v>16401</v>
      </c>
      <c r="Y930" t="s">
        <v>16402</v>
      </c>
      <c r="Z930" t="s">
        <v>16403</v>
      </c>
      <c r="AA930" t="s">
        <v>16404</v>
      </c>
      <c r="AB930" t="s">
        <v>16405</v>
      </c>
      <c r="AC930" t="s">
        <v>16406</v>
      </c>
      <c r="AD930" t="s">
        <v>16407</v>
      </c>
      <c r="AE930" t="s">
        <v>16408</v>
      </c>
      <c r="AF930" t="s">
        <v>74</v>
      </c>
      <c r="AG930">
        <v>42</v>
      </c>
      <c r="AH930">
        <v>31</v>
      </c>
      <c r="AI930">
        <v>37</v>
      </c>
      <c r="AJ930">
        <v>2</v>
      </c>
      <c r="AK930">
        <v>17</v>
      </c>
      <c r="AL930" t="s">
        <v>16369</v>
      </c>
      <c r="AM930" t="s">
        <v>16370</v>
      </c>
      <c r="AN930" t="s">
        <v>16371</v>
      </c>
      <c r="AO930" t="s">
        <v>16372</v>
      </c>
      <c r="AP930" t="s">
        <v>16373</v>
      </c>
      <c r="AQ930" t="s">
        <v>74</v>
      </c>
      <c r="AR930" t="s">
        <v>16374</v>
      </c>
      <c r="AS930" t="s">
        <v>16375</v>
      </c>
      <c r="AT930" t="s">
        <v>16376</v>
      </c>
      <c r="AU930">
        <v>2010</v>
      </c>
      <c r="AV930">
        <v>68</v>
      </c>
      <c r="AW930" t="s">
        <v>556</v>
      </c>
      <c r="AX930" t="s">
        <v>74</v>
      </c>
      <c r="AY930" t="s">
        <v>74</v>
      </c>
      <c r="AZ930" t="s">
        <v>74</v>
      </c>
      <c r="BA930" t="s">
        <v>74</v>
      </c>
      <c r="BB930">
        <v>479</v>
      </c>
      <c r="BC930">
        <v>502</v>
      </c>
      <c r="BD930" t="s">
        <v>74</v>
      </c>
      <c r="BE930" t="s">
        <v>16409</v>
      </c>
      <c r="BF930" t="str">
        <f>HYPERLINK("http://dx.doi.org/10.1357/002224010794657227","http://dx.doi.org/10.1357/002224010794657227")</f>
        <v>http://dx.doi.org/10.1357/002224010794657227</v>
      </c>
      <c r="BG930" t="s">
        <v>74</v>
      </c>
      <c r="BH930" t="s">
        <v>74</v>
      </c>
      <c r="BI930">
        <v>24</v>
      </c>
      <c r="BJ930" t="s">
        <v>1531</v>
      </c>
      <c r="BK930" t="s">
        <v>100</v>
      </c>
      <c r="BL930" t="s">
        <v>1531</v>
      </c>
      <c r="BM930" t="s">
        <v>16378</v>
      </c>
      <c r="BN930" t="s">
        <v>74</v>
      </c>
      <c r="BO930" t="s">
        <v>74</v>
      </c>
      <c r="BP930" t="s">
        <v>74</v>
      </c>
      <c r="BQ930" t="s">
        <v>74</v>
      </c>
      <c r="BR930" t="s">
        <v>104</v>
      </c>
      <c r="BS930" t="s">
        <v>16410</v>
      </c>
      <c r="BT930" t="str">
        <f>HYPERLINK("https%3A%2F%2Fwww.webofscience.com%2Fwos%2Fwoscc%2Ffull-record%2FWOS:000287571300008","View Full Record in Web of Science")</f>
        <v>View Full Record in Web of Science</v>
      </c>
    </row>
    <row r="931" spans="1:72" x14ac:dyDescent="0.15">
      <c r="A931" t="s">
        <v>72</v>
      </c>
      <c r="B931" t="s">
        <v>16411</v>
      </c>
      <c r="C931" t="s">
        <v>74</v>
      </c>
      <c r="D931" t="s">
        <v>74</v>
      </c>
      <c r="E931" t="s">
        <v>74</v>
      </c>
      <c r="F931" t="s">
        <v>16412</v>
      </c>
      <c r="G931" t="s">
        <v>74</v>
      </c>
      <c r="H931" t="s">
        <v>74</v>
      </c>
      <c r="I931" t="s">
        <v>16413</v>
      </c>
      <c r="J931" t="s">
        <v>3631</v>
      </c>
      <c r="K931" t="s">
        <v>74</v>
      </c>
      <c r="L931" t="s">
        <v>74</v>
      </c>
      <c r="M931" t="s">
        <v>78</v>
      </c>
      <c r="N931" t="s">
        <v>79</v>
      </c>
      <c r="O931" t="s">
        <v>74</v>
      </c>
      <c r="P931" t="s">
        <v>74</v>
      </c>
      <c r="Q931" t="s">
        <v>74</v>
      </c>
      <c r="R931" t="s">
        <v>74</v>
      </c>
      <c r="S931" t="s">
        <v>74</v>
      </c>
      <c r="T931" t="s">
        <v>74</v>
      </c>
      <c r="U931" t="s">
        <v>16414</v>
      </c>
      <c r="V931" t="s">
        <v>16415</v>
      </c>
      <c r="W931" t="s">
        <v>16416</v>
      </c>
      <c r="X931" t="s">
        <v>16417</v>
      </c>
      <c r="Y931" t="s">
        <v>16418</v>
      </c>
      <c r="Z931" t="s">
        <v>15110</v>
      </c>
      <c r="AA931" t="s">
        <v>16419</v>
      </c>
      <c r="AB931" t="s">
        <v>16420</v>
      </c>
      <c r="AC931" t="s">
        <v>16421</v>
      </c>
      <c r="AD931" t="s">
        <v>337</v>
      </c>
      <c r="AE931" t="s">
        <v>16422</v>
      </c>
      <c r="AF931" t="s">
        <v>74</v>
      </c>
      <c r="AG931">
        <v>78</v>
      </c>
      <c r="AH931">
        <v>44</v>
      </c>
      <c r="AI931">
        <v>48</v>
      </c>
      <c r="AJ931">
        <v>0</v>
      </c>
      <c r="AK931">
        <v>23</v>
      </c>
      <c r="AL931" t="s">
        <v>3432</v>
      </c>
      <c r="AM931" t="s">
        <v>3433</v>
      </c>
      <c r="AN931" t="s">
        <v>3434</v>
      </c>
      <c r="AO931" t="s">
        <v>3640</v>
      </c>
      <c r="AP931" t="s">
        <v>6350</v>
      </c>
      <c r="AQ931" t="s">
        <v>74</v>
      </c>
      <c r="AR931" t="s">
        <v>3641</v>
      </c>
      <c r="AS931" t="s">
        <v>3642</v>
      </c>
      <c r="AT931" t="s">
        <v>15251</v>
      </c>
      <c r="AU931">
        <v>2010</v>
      </c>
      <c r="AV931">
        <v>40</v>
      </c>
      <c r="AW931">
        <v>5</v>
      </c>
      <c r="AX931" t="s">
        <v>74</v>
      </c>
      <c r="AY931" t="s">
        <v>74</v>
      </c>
      <c r="AZ931" t="s">
        <v>74</v>
      </c>
      <c r="BA931" t="s">
        <v>74</v>
      </c>
      <c r="BB931">
        <v>845</v>
      </c>
      <c r="BC931">
        <v>864</v>
      </c>
      <c r="BD931" t="s">
        <v>74</v>
      </c>
      <c r="BE931" t="s">
        <v>16423</v>
      </c>
      <c r="BF931" t="str">
        <f>HYPERLINK("http://dx.doi.org/10.1175/2009JPO4174.1","http://dx.doi.org/10.1175/2009JPO4174.1")</f>
        <v>http://dx.doi.org/10.1175/2009JPO4174.1</v>
      </c>
      <c r="BG931" t="s">
        <v>74</v>
      </c>
      <c r="BH931" t="s">
        <v>74</v>
      </c>
      <c r="BI931">
        <v>20</v>
      </c>
      <c r="BJ931" t="s">
        <v>1531</v>
      </c>
      <c r="BK931" t="s">
        <v>100</v>
      </c>
      <c r="BL931" t="s">
        <v>1531</v>
      </c>
      <c r="BM931" t="s">
        <v>16424</v>
      </c>
      <c r="BN931" t="s">
        <v>74</v>
      </c>
      <c r="BO931" t="s">
        <v>1697</v>
      </c>
      <c r="BP931" t="s">
        <v>74</v>
      </c>
      <c r="BQ931" t="s">
        <v>74</v>
      </c>
      <c r="BR931" t="s">
        <v>104</v>
      </c>
      <c r="BS931" t="s">
        <v>16425</v>
      </c>
      <c r="BT931" t="str">
        <f>HYPERLINK("https%3A%2F%2Fwww.webofscience.com%2Fwos%2Fwoscc%2Ffull-record%2FWOS:000277731900001","View Full Record in Web of Science")</f>
        <v>View Full Record in Web of Science</v>
      </c>
    </row>
    <row r="932" spans="1:72" x14ac:dyDescent="0.15">
      <c r="A932" t="s">
        <v>72</v>
      </c>
      <c r="B932" t="s">
        <v>16426</v>
      </c>
      <c r="C932" t="s">
        <v>74</v>
      </c>
      <c r="D932" t="s">
        <v>74</v>
      </c>
      <c r="E932" t="s">
        <v>74</v>
      </c>
      <c r="F932" t="s">
        <v>16427</v>
      </c>
      <c r="G932" t="s">
        <v>74</v>
      </c>
      <c r="H932" t="s">
        <v>74</v>
      </c>
      <c r="I932" t="s">
        <v>16428</v>
      </c>
      <c r="J932" t="s">
        <v>3631</v>
      </c>
      <c r="K932" t="s">
        <v>74</v>
      </c>
      <c r="L932" t="s">
        <v>74</v>
      </c>
      <c r="M932" t="s">
        <v>78</v>
      </c>
      <c r="N932" t="s">
        <v>79</v>
      </c>
      <c r="O932" t="s">
        <v>74</v>
      </c>
      <c r="P932" t="s">
        <v>74</v>
      </c>
      <c r="Q932" t="s">
        <v>74</v>
      </c>
      <c r="R932" t="s">
        <v>74</v>
      </c>
      <c r="S932" t="s">
        <v>74</v>
      </c>
      <c r="T932" t="s">
        <v>74</v>
      </c>
      <c r="U932" t="s">
        <v>16429</v>
      </c>
      <c r="V932" t="s">
        <v>16430</v>
      </c>
      <c r="W932" t="s">
        <v>16431</v>
      </c>
      <c r="X932" t="s">
        <v>16432</v>
      </c>
      <c r="Y932" t="s">
        <v>16433</v>
      </c>
      <c r="Z932" t="s">
        <v>16434</v>
      </c>
      <c r="AA932" t="s">
        <v>16435</v>
      </c>
      <c r="AB932" t="s">
        <v>16436</v>
      </c>
      <c r="AC932" t="s">
        <v>16437</v>
      </c>
      <c r="AD932" t="s">
        <v>16438</v>
      </c>
      <c r="AE932" t="s">
        <v>16439</v>
      </c>
      <c r="AF932" t="s">
        <v>74</v>
      </c>
      <c r="AG932">
        <v>72</v>
      </c>
      <c r="AH932">
        <v>318</v>
      </c>
      <c r="AI932">
        <v>347</v>
      </c>
      <c r="AJ932">
        <v>0</v>
      </c>
      <c r="AK932">
        <v>39</v>
      </c>
      <c r="AL932" t="s">
        <v>3432</v>
      </c>
      <c r="AM932" t="s">
        <v>3433</v>
      </c>
      <c r="AN932" t="s">
        <v>3434</v>
      </c>
      <c r="AO932" t="s">
        <v>3640</v>
      </c>
      <c r="AP932" t="s">
        <v>74</v>
      </c>
      <c r="AQ932" t="s">
        <v>74</v>
      </c>
      <c r="AR932" t="s">
        <v>3641</v>
      </c>
      <c r="AS932" t="s">
        <v>3642</v>
      </c>
      <c r="AT932" t="s">
        <v>15251</v>
      </c>
      <c r="AU932">
        <v>2010</v>
      </c>
      <c r="AV932">
        <v>40</v>
      </c>
      <c r="AW932">
        <v>5</v>
      </c>
      <c r="AX932" t="s">
        <v>74</v>
      </c>
      <c r="AY932" t="s">
        <v>74</v>
      </c>
      <c r="AZ932" t="s">
        <v>74</v>
      </c>
      <c r="BA932" t="s">
        <v>74</v>
      </c>
      <c r="BB932">
        <v>880</v>
      </c>
      <c r="BC932">
        <v>899</v>
      </c>
      <c r="BD932" t="s">
        <v>74</v>
      </c>
      <c r="BE932" t="s">
        <v>16440</v>
      </c>
      <c r="BF932" t="str">
        <f>HYPERLINK("http://dx.doi.org/10.1175/2009JPO4236.1","http://dx.doi.org/10.1175/2009JPO4236.1")</f>
        <v>http://dx.doi.org/10.1175/2009JPO4236.1</v>
      </c>
      <c r="BG932" t="s">
        <v>74</v>
      </c>
      <c r="BH932" t="s">
        <v>74</v>
      </c>
      <c r="BI932">
        <v>20</v>
      </c>
      <c r="BJ932" t="s">
        <v>1531</v>
      </c>
      <c r="BK932" t="s">
        <v>100</v>
      </c>
      <c r="BL932" t="s">
        <v>1531</v>
      </c>
      <c r="BM932" t="s">
        <v>16424</v>
      </c>
      <c r="BN932" t="s">
        <v>74</v>
      </c>
      <c r="BO932" t="s">
        <v>123</v>
      </c>
      <c r="BP932" t="s">
        <v>74</v>
      </c>
      <c r="BQ932" t="s">
        <v>74</v>
      </c>
      <c r="BR932" t="s">
        <v>104</v>
      </c>
      <c r="BS932" t="s">
        <v>16441</v>
      </c>
      <c r="BT932" t="str">
        <f>HYPERLINK("https%3A%2F%2Fwww.webofscience.com%2Fwos%2Fwoscc%2Ffull-record%2FWOS:000277731900003","View Full Record in Web of Science")</f>
        <v>View Full Record in Web of Science</v>
      </c>
    </row>
    <row r="933" spans="1:72" x14ac:dyDescent="0.15">
      <c r="A933" t="s">
        <v>72</v>
      </c>
      <c r="B933" t="s">
        <v>16442</v>
      </c>
      <c r="C933" t="s">
        <v>74</v>
      </c>
      <c r="D933" t="s">
        <v>74</v>
      </c>
      <c r="E933" t="s">
        <v>74</v>
      </c>
      <c r="F933" t="s">
        <v>16443</v>
      </c>
      <c r="G933" t="s">
        <v>74</v>
      </c>
      <c r="H933" t="s">
        <v>74</v>
      </c>
      <c r="I933" t="s">
        <v>16444</v>
      </c>
      <c r="J933" t="s">
        <v>3631</v>
      </c>
      <c r="K933" t="s">
        <v>74</v>
      </c>
      <c r="L933" t="s">
        <v>74</v>
      </c>
      <c r="M933" t="s">
        <v>78</v>
      </c>
      <c r="N933" t="s">
        <v>79</v>
      </c>
      <c r="O933" t="s">
        <v>74</v>
      </c>
      <c r="P933" t="s">
        <v>74</v>
      </c>
      <c r="Q933" t="s">
        <v>74</v>
      </c>
      <c r="R933" t="s">
        <v>74</v>
      </c>
      <c r="S933" t="s">
        <v>74</v>
      </c>
      <c r="T933" t="s">
        <v>74</v>
      </c>
      <c r="U933" t="s">
        <v>16445</v>
      </c>
      <c r="V933" t="s">
        <v>16446</v>
      </c>
      <c r="W933" t="s">
        <v>16447</v>
      </c>
      <c r="X933" t="s">
        <v>16448</v>
      </c>
      <c r="Y933" t="s">
        <v>16449</v>
      </c>
      <c r="Z933" t="s">
        <v>16450</v>
      </c>
      <c r="AA933" t="s">
        <v>16451</v>
      </c>
      <c r="AB933" t="s">
        <v>16452</v>
      </c>
      <c r="AC933" t="s">
        <v>16453</v>
      </c>
      <c r="AD933" t="s">
        <v>16454</v>
      </c>
      <c r="AE933" t="s">
        <v>16455</v>
      </c>
      <c r="AF933" t="s">
        <v>74</v>
      </c>
      <c r="AG933">
        <v>56</v>
      </c>
      <c r="AH933">
        <v>52</v>
      </c>
      <c r="AI933">
        <v>55</v>
      </c>
      <c r="AJ933">
        <v>0</v>
      </c>
      <c r="AK933">
        <v>22</v>
      </c>
      <c r="AL933" t="s">
        <v>3432</v>
      </c>
      <c r="AM933" t="s">
        <v>3433</v>
      </c>
      <c r="AN933" t="s">
        <v>3434</v>
      </c>
      <c r="AO933" t="s">
        <v>3640</v>
      </c>
      <c r="AP933" t="s">
        <v>74</v>
      </c>
      <c r="AQ933" t="s">
        <v>74</v>
      </c>
      <c r="AR933" t="s">
        <v>3641</v>
      </c>
      <c r="AS933" t="s">
        <v>3642</v>
      </c>
      <c r="AT933" t="s">
        <v>15251</v>
      </c>
      <c r="AU933">
        <v>2010</v>
      </c>
      <c r="AV933">
        <v>40</v>
      </c>
      <c r="AW933">
        <v>5</v>
      </c>
      <c r="AX933" t="s">
        <v>74</v>
      </c>
      <c r="AY933" t="s">
        <v>74</v>
      </c>
      <c r="AZ933" t="s">
        <v>74</v>
      </c>
      <c r="BA933" t="s">
        <v>74</v>
      </c>
      <c r="BB933">
        <v>1118</v>
      </c>
      <c r="BC933">
        <v>1142</v>
      </c>
      <c r="BD933" t="s">
        <v>74</v>
      </c>
      <c r="BE933" t="s">
        <v>16456</v>
      </c>
      <c r="BF933" t="str">
        <f>HYPERLINK("http://dx.doi.org/10.1175/2010JPO4356.1","http://dx.doi.org/10.1175/2010JPO4356.1")</f>
        <v>http://dx.doi.org/10.1175/2010JPO4356.1</v>
      </c>
      <c r="BG933" t="s">
        <v>74</v>
      </c>
      <c r="BH933" t="s">
        <v>74</v>
      </c>
      <c r="BI933">
        <v>25</v>
      </c>
      <c r="BJ933" t="s">
        <v>1531</v>
      </c>
      <c r="BK933" t="s">
        <v>100</v>
      </c>
      <c r="BL933" t="s">
        <v>1531</v>
      </c>
      <c r="BM933" t="s">
        <v>16424</v>
      </c>
      <c r="BN933" t="s">
        <v>74</v>
      </c>
      <c r="BO933" t="s">
        <v>7523</v>
      </c>
      <c r="BP933" t="s">
        <v>74</v>
      </c>
      <c r="BQ933" t="s">
        <v>74</v>
      </c>
      <c r="BR933" t="s">
        <v>104</v>
      </c>
      <c r="BS933" t="s">
        <v>16457</v>
      </c>
      <c r="BT933" t="str">
        <f>HYPERLINK("https%3A%2F%2Fwww.webofscience.com%2Fwos%2Fwoscc%2Ffull-record%2FWOS:000277731900017","View Full Record in Web of Science")</f>
        <v>View Full Record in Web of Science</v>
      </c>
    </row>
    <row r="934" spans="1:72" x14ac:dyDescent="0.15">
      <c r="A934" t="s">
        <v>72</v>
      </c>
      <c r="B934" t="s">
        <v>16458</v>
      </c>
      <c r="C934" t="s">
        <v>74</v>
      </c>
      <c r="D934" t="s">
        <v>74</v>
      </c>
      <c r="E934" t="s">
        <v>74</v>
      </c>
      <c r="F934" t="s">
        <v>16459</v>
      </c>
      <c r="G934" t="s">
        <v>74</v>
      </c>
      <c r="H934" t="s">
        <v>74</v>
      </c>
      <c r="I934" t="s">
        <v>16460</v>
      </c>
      <c r="J934" t="s">
        <v>2408</v>
      </c>
      <c r="K934" t="s">
        <v>74</v>
      </c>
      <c r="L934" t="s">
        <v>74</v>
      </c>
      <c r="M934" t="s">
        <v>78</v>
      </c>
      <c r="N934" t="s">
        <v>79</v>
      </c>
      <c r="O934" t="s">
        <v>74</v>
      </c>
      <c r="P934" t="s">
        <v>74</v>
      </c>
      <c r="Q934" t="s">
        <v>74</v>
      </c>
      <c r="R934" t="s">
        <v>74</v>
      </c>
      <c r="S934" t="s">
        <v>74</v>
      </c>
      <c r="T934" t="s">
        <v>16461</v>
      </c>
      <c r="U934" t="s">
        <v>16462</v>
      </c>
      <c r="V934" t="s">
        <v>16463</v>
      </c>
      <c r="W934" t="s">
        <v>16464</v>
      </c>
      <c r="X934" t="s">
        <v>16465</v>
      </c>
      <c r="Y934" t="s">
        <v>16466</v>
      </c>
      <c r="Z934" t="s">
        <v>16467</v>
      </c>
      <c r="AA934" t="s">
        <v>16468</v>
      </c>
      <c r="AB934" t="s">
        <v>16469</v>
      </c>
      <c r="AC934" t="s">
        <v>16470</v>
      </c>
      <c r="AD934" t="s">
        <v>16471</v>
      </c>
      <c r="AE934" t="s">
        <v>16472</v>
      </c>
      <c r="AF934" t="s">
        <v>74</v>
      </c>
      <c r="AG934">
        <v>166</v>
      </c>
      <c r="AH934">
        <v>61</v>
      </c>
      <c r="AI934">
        <v>63</v>
      </c>
      <c r="AJ934">
        <v>0</v>
      </c>
      <c r="AK934">
        <v>37</v>
      </c>
      <c r="AL934" t="s">
        <v>923</v>
      </c>
      <c r="AM934" t="s">
        <v>339</v>
      </c>
      <c r="AN934" t="s">
        <v>340</v>
      </c>
      <c r="AO934" t="s">
        <v>2420</v>
      </c>
      <c r="AP934" t="s">
        <v>2421</v>
      </c>
      <c r="AQ934" t="s">
        <v>74</v>
      </c>
      <c r="AR934" t="s">
        <v>2422</v>
      </c>
      <c r="AS934" t="s">
        <v>2423</v>
      </c>
      <c r="AT934" t="s">
        <v>15251</v>
      </c>
      <c r="AU934">
        <v>2010</v>
      </c>
      <c r="AV934">
        <v>25</v>
      </c>
      <c r="AW934">
        <v>4</v>
      </c>
      <c r="AX934" t="s">
        <v>74</v>
      </c>
      <c r="AY934" t="s">
        <v>74</v>
      </c>
      <c r="AZ934" t="s">
        <v>582</v>
      </c>
      <c r="BA934" t="s">
        <v>74</v>
      </c>
      <c r="BB934">
        <v>461</v>
      </c>
      <c r="BC934">
        <v>482</v>
      </c>
      <c r="BD934" t="s">
        <v>74</v>
      </c>
      <c r="BE934" t="s">
        <v>16473</v>
      </c>
      <c r="BF934" t="str">
        <f>HYPERLINK("http://dx.doi.org/10.1002/jqs.1331","http://dx.doi.org/10.1002/jqs.1331")</f>
        <v>http://dx.doi.org/10.1002/jqs.1331</v>
      </c>
      <c r="BG934" t="s">
        <v>74</v>
      </c>
      <c r="BH934" t="s">
        <v>74</v>
      </c>
      <c r="BI934">
        <v>22</v>
      </c>
      <c r="BJ934" t="s">
        <v>1409</v>
      </c>
      <c r="BK934" t="s">
        <v>100</v>
      </c>
      <c r="BL934" t="s">
        <v>1410</v>
      </c>
      <c r="BM934" t="s">
        <v>16474</v>
      </c>
      <c r="BN934" t="s">
        <v>74</v>
      </c>
      <c r="BO934" t="s">
        <v>74</v>
      </c>
      <c r="BP934" t="s">
        <v>74</v>
      </c>
      <c r="BQ934" t="s">
        <v>74</v>
      </c>
      <c r="BR934" t="s">
        <v>104</v>
      </c>
      <c r="BS934" t="s">
        <v>16475</v>
      </c>
      <c r="BT934" t="str">
        <f>HYPERLINK("https%3A%2F%2Fwww.webofscience.com%2Fwos%2Fwoscc%2Ffull-record%2FWOS:000277674700006","View Full Record in Web of Science")</f>
        <v>View Full Record in Web of Science</v>
      </c>
    </row>
    <row r="935" spans="1:72" x14ac:dyDescent="0.15">
      <c r="A935" t="s">
        <v>72</v>
      </c>
      <c r="B935" t="s">
        <v>16476</v>
      </c>
      <c r="C935" t="s">
        <v>74</v>
      </c>
      <c r="D935" t="s">
        <v>74</v>
      </c>
      <c r="E935" t="s">
        <v>74</v>
      </c>
      <c r="F935" t="s">
        <v>16477</v>
      </c>
      <c r="G935" t="s">
        <v>74</v>
      </c>
      <c r="H935" t="s">
        <v>74</v>
      </c>
      <c r="I935" t="s">
        <v>16478</v>
      </c>
      <c r="J935" t="s">
        <v>2408</v>
      </c>
      <c r="K935" t="s">
        <v>74</v>
      </c>
      <c r="L935" t="s">
        <v>74</v>
      </c>
      <c r="M935" t="s">
        <v>78</v>
      </c>
      <c r="N935" t="s">
        <v>326</v>
      </c>
      <c r="O935" t="s">
        <v>74</v>
      </c>
      <c r="P935" t="s">
        <v>74</v>
      </c>
      <c r="Q935" t="s">
        <v>74</v>
      </c>
      <c r="R935" t="s">
        <v>74</v>
      </c>
      <c r="S935" t="s">
        <v>74</v>
      </c>
      <c r="T935" t="s">
        <v>16479</v>
      </c>
      <c r="U935" t="s">
        <v>16480</v>
      </c>
      <c r="V935" t="s">
        <v>16481</v>
      </c>
      <c r="W935" t="s">
        <v>16482</v>
      </c>
      <c r="X935" t="s">
        <v>16483</v>
      </c>
      <c r="Y935" t="s">
        <v>16484</v>
      </c>
      <c r="Z935" t="s">
        <v>2839</v>
      </c>
      <c r="AA935" t="s">
        <v>74</v>
      </c>
      <c r="AB935" t="s">
        <v>16485</v>
      </c>
      <c r="AC935" t="s">
        <v>16486</v>
      </c>
      <c r="AD935" t="s">
        <v>16486</v>
      </c>
      <c r="AE935" t="s">
        <v>16487</v>
      </c>
      <c r="AF935" t="s">
        <v>74</v>
      </c>
      <c r="AG935">
        <v>167</v>
      </c>
      <c r="AH935">
        <v>70</v>
      </c>
      <c r="AI935">
        <v>72</v>
      </c>
      <c r="AJ935">
        <v>2</v>
      </c>
      <c r="AK935">
        <v>52</v>
      </c>
      <c r="AL935" t="s">
        <v>923</v>
      </c>
      <c r="AM935" t="s">
        <v>339</v>
      </c>
      <c r="AN935" t="s">
        <v>340</v>
      </c>
      <c r="AO935" t="s">
        <v>2420</v>
      </c>
      <c r="AP935" t="s">
        <v>2421</v>
      </c>
      <c r="AQ935" t="s">
        <v>74</v>
      </c>
      <c r="AR935" t="s">
        <v>2422</v>
      </c>
      <c r="AS935" t="s">
        <v>2423</v>
      </c>
      <c r="AT935" t="s">
        <v>15251</v>
      </c>
      <c r="AU935">
        <v>2010</v>
      </c>
      <c r="AV935">
        <v>25</v>
      </c>
      <c r="AW935">
        <v>4</v>
      </c>
      <c r="AX935" t="s">
        <v>74</v>
      </c>
      <c r="AY935" t="s">
        <v>74</v>
      </c>
      <c r="AZ935" t="s">
        <v>582</v>
      </c>
      <c r="BA935" t="s">
        <v>74</v>
      </c>
      <c r="BB935">
        <v>550</v>
      </c>
      <c r="BC935">
        <v>566</v>
      </c>
      <c r="BD935" t="s">
        <v>74</v>
      </c>
      <c r="BE935" t="s">
        <v>16488</v>
      </c>
      <c r="BF935" t="str">
        <f>HYPERLINK("http://dx.doi.org/10.1002/jqs.1319","http://dx.doi.org/10.1002/jqs.1319")</f>
        <v>http://dx.doi.org/10.1002/jqs.1319</v>
      </c>
      <c r="BG935" t="s">
        <v>74</v>
      </c>
      <c r="BH935" t="s">
        <v>74</v>
      </c>
      <c r="BI935">
        <v>17</v>
      </c>
      <c r="BJ935" t="s">
        <v>1409</v>
      </c>
      <c r="BK935" t="s">
        <v>100</v>
      </c>
      <c r="BL935" t="s">
        <v>1410</v>
      </c>
      <c r="BM935" t="s">
        <v>16474</v>
      </c>
      <c r="BN935" t="s">
        <v>74</v>
      </c>
      <c r="BO935" t="s">
        <v>74</v>
      </c>
      <c r="BP935" t="s">
        <v>74</v>
      </c>
      <c r="BQ935" t="s">
        <v>74</v>
      </c>
      <c r="BR935" t="s">
        <v>104</v>
      </c>
      <c r="BS935" t="s">
        <v>16489</v>
      </c>
      <c r="BT935" t="str">
        <f>HYPERLINK("https%3A%2F%2Fwww.webofscience.com%2Fwos%2Fwoscc%2Ffull-record%2FWOS:000277674700011","View Full Record in Web of Science")</f>
        <v>View Full Record in Web of Science</v>
      </c>
    </row>
    <row r="936" spans="1:72" x14ac:dyDescent="0.15">
      <c r="A936" t="s">
        <v>72</v>
      </c>
      <c r="B936" t="s">
        <v>16490</v>
      </c>
      <c r="C936" t="s">
        <v>74</v>
      </c>
      <c r="D936" t="s">
        <v>74</v>
      </c>
      <c r="E936" t="s">
        <v>74</v>
      </c>
      <c r="F936" t="s">
        <v>16491</v>
      </c>
      <c r="G936" t="s">
        <v>74</v>
      </c>
      <c r="H936" t="s">
        <v>74</v>
      </c>
      <c r="I936" t="s">
        <v>16492</v>
      </c>
      <c r="J936" t="s">
        <v>3709</v>
      </c>
      <c r="K936" t="s">
        <v>74</v>
      </c>
      <c r="L936" t="s">
        <v>74</v>
      </c>
      <c r="M936" t="s">
        <v>78</v>
      </c>
      <c r="N936" t="s">
        <v>79</v>
      </c>
      <c r="O936" t="s">
        <v>74</v>
      </c>
      <c r="P936" t="s">
        <v>74</v>
      </c>
      <c r="Q936" t="s">
        <v>74</v>
      </c>
      <c r="R936" t="s">
        <v>74</v>
      </c>
      <c r="S936" t="s">
        <v>74</v>
      </c>
      <c r="T936" t="s">
        <v>16493</v>
      </c>
      <c r="U936" t="s">
        <v>16494</v>
      </c>
      <c r="V936" t="s">
        <v>16495</v>
      </c>
      <c r="W936" t="s">
        <v>16496</v>
      </c>
      <c r="X936" t="s">
        <v>16497</v>
      </c>
      <c r="Y936" t="s">
        <v>16498</v>
      </c>
      <c r="Z936" t="s">
        <v>16499</v>
      </c>
      <c r="AA936" t="s">
        <v>16500</v>
      </c>
      <c r="AB936" t="s">
        <v>16501</v>
      </c>
      <c r="AC936" t="s">
        <v>16502</v>
      </c>
      <c r="AD936" t="s">
        <v>16503</v>
      </c>
      <c r="AE936" t="s">
        <v>16504</v>
      </c>
      <c r="AF936" t="s">
        <v>74</v>
      </c>
      <c r="AG936">
        <v>44</v>
      </c>
      <c r="AH936">
        <v>29</v>
      </c>
      <c r="AI936">
        <v>32</v>
      </c>
      <c r="AJ936">
        <v>1</v>
      </c>
      <c r="AK936">
        <v>31</v>
      </c>
      <c r="AL936" t="s">
        <v>851</v>
      </c>
      <c r="AM936" t="s">
        <v>310</v>
      </c>
      <c r="AN936" t="s">
        <v>852</v>
      </c>
      <c r="AO936" t="s">
        <v>3722</v>
      </c>
      <c r="AP936" t="s">
        <v>3723</v>
      </c>
      <c r="AQ936" t="s">
        <v>74</v>
      </c>
      <c r="AR936" t="s">
        <v>3724</v>
      </c>
      <c r="AS936" t="s">
        <v>3725</v>
      </c>
      <c r="AT936" t="s">
        <v>15251</v>
      </c>
      <c r="AU936">
        <v>2010</v>
      </c>
      <c r="AV936">
        <v>90</v>
      </c>
      <c r="AW936">
        <v>3</v>
      </c>
      <c r="AX936" t="s">
        <v>74</v>
      </c>
      <c r="AY936" t="s">
        <v>74</v>
      </c>
      <c r="AZ936" t="s">
        <v>74</v>
      </c>
      <c r="BA936" t="s">
        <v>74</v>
      </c>
      <c r="BB936">
        <v>493</v>
      </c>
      <c r="BC936">
        <v>501</v>
      </c>
      <c r="BD936" t="s">
        <v>74</v>
      </c>
      <c r="BE936" t="s">
        <v>16505</v>
      </c>
      <c r="BF936" t="str">
        <f>HYPERLINK("http://dx.doi.org/10.1017/S0025315409990555","http://dx.doi.org/10.1017/S0025315409990555")</f>
        <v>http://dx.doi.org/10.1017/S0025315409990555</v>
      </c>
      <c r="BG936" t="s">
        <v>74</v>
      </c>
      <c r="BH936" t="s">
        <v>74</v>
      </c>
      <c r="BI936">
        <v>9</v>
      </c>
      <c r="BJ936" t="s">
        <v>515</v>
      </c>
      <c r="BK936" t="s">
        <v>100</v>
      </c>
      <c r="BL936" t="s">
        <v>515</v>
      </c>
      <c r="BM936" t="s">
        <v>16506</v>
      </c>
      <c r="BN936" t="s">
        <v>74</v>
      </c>
      <c r="BO936" t="s">
        <v>74</v>
      </c>
      <c r="BP936" t="s">
        <v>74</v>
      </c>
      <c r="BQ936" t="s">
        <v>74</v>
      </c>
      <c r="BR936" t="s">
        <v>104</v>
      </c>
      <c r="BS936" t="s">
        <v>16507</v>
      </c>
      <c r="BT936" t="str">
        <f>HYPERLINK("https%3A%2F%2Fwww.webofscience.com%2Fwos%2Fwoscc%2Ffull-record%2FWOS:000278644200008","View Full Record in Web of Science")</f>
        <v>View Full Record in Web of Science</v>
      </c>
    </row>
    <row r="937" spans="1:72" x14ac:dyDescent="0.15">
      <c r="A937" t="s">
        <v>72</v>
      </c>
      <c r="B937" t="s">
        <v>16508</v>
      </c>
      <c r="C937" t="s">
        <v>74</v>
      </c>
      <c r="D937" t="s">
        <v>74</v>
      </c>
      <c r="E937" t="s">
        <v>74</v>
      </c>
      <c r="F937" t="s">
        <v>16509</v>
      </c>
      <c r="G937" t="s">
        <v>74</v>
      </c>
      <c r="H937" t="s">
        <v>74</v>
      </c>
      <c r="I937" t="s">
        <v>16510</v>
      </c>
      <c r="J937" t="s">
        <v>3709</v>
      </c>
      <c r="K937" t="s">
        <v>74</v>
      </c>
      <c r="L937" t="s">
        <v>74</v>
      </c>
      <c r="M937" t="s">
        <v>78</v>
      </c>
      <c r="N937" t="s">
        <v>79</v>
      </c>
      <c r="O937" t="s">
        <v>74</v>
      </c>
      <c r="P937" t="s">
        <v>74</v>
      </c>
      <c r="Q937" t="s">
        <v>74</v>
      </c>
      <c r="R937" t="s">
        <v>74</v>
      </c>
      <c r="S937" t="s">
        <v>74</v>
      </c>
      <c r="T937" t="s">
        <v>16511</v>
      </c>
      <c r="U937" t="s">
        <v>16512</v>
      </c>
      <c r="V937" t="s">
        <v>16513</v>
      </c>
      <c r="W937" t="s">
        <v>16514</v>
      </c>
      <c r="X937" t="s">
        <v>16515</v>
      </c>
      <c r="Y937" t="s">
        <v>16516</v>
      </c>
      <c r="Z937" t="s">
        <v>16517</v>
      </c>
      <c r="AA937" t="s">
        <v>74</v>
      </c>
      <c r="AB937" t="s">
        <v>74</v>
      </c>
      <c r="AC937" t="s">
        <v>74</v>
      </c>
      <c r="AD937" t="s">
        <v>74</v>
      </c>
      <c r="AE937" t="s">
        <v>74</v>
      </c>
      <c r="AF937" t="s">
        <v>74</v>
      </c>
      <c r="AG937">
        <v>28</v>
      </c>
      <c r="AH937">
        <v>8</v>
      </c>
      <c r="AI937">
        <v>8</v>
      </c>
      <c r="AJ937">
        <v>0</v>
      </c>
      <c r="AK937">
        <v>4</v>
      </c>
      <c r="AL937" t="s">
        <v>851</v>
      </c>
      <c r="AM937" t="s">
        <v>310</v>
      </c>
      <c r="AN937" t="s">
        <v>852</v>
      </c>
      <c r="AO937" t="s">
        <v>3722</v>
      </c>
      <c r="AP937" t="s">
        <v>3723</v>
      </c>
      <c r="AQ937" t="s">
        <v>74</v>
      </c>
      <c r="AR937" t="s">
        <v>3724</v>
      </c>
      <c r="AS937" t="s">
        <v>3725</v>
      </c>
      <c r="AT937" t="s">
        <v>15251</v>
      </c>
      <c r="AU937">
        <v>2010</v>
      </c>
      <c r="AV937">
        <v>90</v>
      </c>
      <c r="AW937">
        <v>3</v>
      </c>
      <c r="AX937" t="s">
        <v>74</v>
      </c>
      <c r="AY937" t="s">
        <v>74</v>
      </c>
      <c r="AZ937" t="s">
        <v>74</v>
      </c>
      <c r="BA937" t="s">
        <v>74</v>
      </c>
      <c r="BB937">
        <v>575</v>
      </c>
      <c r="BC937">
        <v>584</v>
      </c>
      <c r="BD937" t="s">
        <v>74</v>
      </c>
      <c r="BE937" t="s">
        <v>16518</v>
      </c>
      <c r="BF937" t="str">
        <f>HYPERLINK("http://dx.doi.org/10.1017/S002531540900085X","http://dx.doi.org/10.1017/S002531540900085X")</f>
        <v>http://dx.doi.org/10.1017/S002531540900085X</v>
      </c>
      <c r="BG937" t="s">
        <v>74</v>
      </c>
      <c r="BH937" t="s">
        <v>74</v>
      </c>
      <c r="BI937">
        <v>10</v>
      </c>
      <c r="BJ937" t="s">
        <v>515</v>
      </c>
      <c r="BK937" t="s">
        <v>100</v>
      </c>
      <c r="BL937" t="s">
        <v>515</v>
      </c>
      <c r="BM937" t="s">
        <v>16506</v>
      </c>
      <c r="BN937" t="s">
        <v>74</v>
      </c>
      <c r="BO937" t="s">
        <v>74</v>
      </c>
      <c r="BP937" t="s">
        <v>74</v>
      </c>
      <c r="BQ937" t="s">
        <v>74</v>
      </c>
      <c r="BR937" t="s">
        <v>104</v>
      </c>
      <c r="BS937" t="s">
        <v>16519</v>
      </c>
      <c r="BT937" t="str">
        <f>HYPERLINK("https%3A%2F%2Fwww.webofscience.com%2Fwos%2Fwoscc%2Ffull-record%2FWOS:000278644200018","View Full Record in Web of Science")</f>
        <v>View Full Record in Web of Science</v>
      </c>
    </row>
    <row r="938" spans="1:72" x14ac:dyDescent="0.15">
      <c r="A938" t="s">
        <v>72</v>
      </c>
      <c r="B938" t="s">
        <v>16520</v>
      </c>
      <c r="C938" t="s">
        <v>74</v>
      </c>
      <c r="D938" t="s">
        <v>74</v>
      </c>
      <c r="E938" t="s">
        <v>74</v>
      </c>
      <c r="F938" t="s">
        <v>16521</v>
      </c>
      <c r="G938" t="s">
        <v>74</v>
      </c>
      <c r="H938" t="s">
        <v>74</v>
      </c>
      <c r="I938" t="s">
        <v>16522</v>
      </c>
      <c r="J938" t="s">
        <v>3709</v>
      </c>
      <c r="K938" t="s">
        <v>74</v>
      </c>
      <c r="L938" t="s">
        <v>74</v>
      </c>
      <c r="M938" t="s">
        <v>78</v>
      </c>
      <c r="N938" t="s">
        <v>79</v>
      </c>
      <c r="O938" t="s">
        <v>74</v>
      </c>
      <c r="P938" t="s">
        <v>74</v>
      </c>
      <c r="Q938" t="s">
        <v>74</v>
      </c>
      <c r="R938" t="s">
        <v>74</v>
      </c>
      <c r="S938" t="s">
        <v>74</v>
      </c>
      <c r="T938" t="s">
        <v>16523</v>
      </c>
      <c r="U938" t="s">
        <v>16524</v>
      </c>
      <c r="V938" t="s">
        <v>16525</v>
      </c>
      <c r="W938" t="s">
        <v>16526</v>
      </c>
      <c r="X938" t="s">
        <v>10956</v>
      </c>
      <c r="Y938" t="s">
        <v>16527</v>
      </c>
      <c r="Z938" t="s">
        <v>16528</v>
      </c>
      <c r="AA938" t="s">
        <v>16529</v>
      </c>
      <c r="AB938" t="s">
        <v>16530</v>
      </c>
      <c r="AC938" t="s">
        <v>74</v>
      </c>
      <c r="AD938" t="s">
        <v>74</v>
      </c>
      <c r="AE938" t="s">
        <v>74</v>
      </c>
      <c r="AF938" t="s">
        <v>74</v>
      </c>
      <c r="AG938">
        <v>25</v>
      </c>
      <c r="AH938">
        <v>5</v>
      </c>
      <c r="AI938">
        <v>5</v>
      </c>
      <c r="AJ938">
        <v>0</v>
      </c>
      <c r="AK938">
        <v>6</v>
      </c>
      <c r="AL938" t="s">
        <v>851</v>
      </c>
      <c r="AM938" t="s">
        <v>310</v>
      </c>
      <c r="AN938" t="s">
        <v>852</v>
      </c>
      <c r="AO938" t="s">
        <v>3722</v>
      </c>
      <c r="AP938" t="s">
        <v>3723</v>
      </c>
      <c r="AQ938" t="s">
        <v>74</v>
      </c>
      <c r="AR938" t="s">
        <v>3724</v>
      </c>
      <c r="AS938" t="s">
        <v>3725</v>
      </c>
      <c r="AT938" t="s">
        <v>15251</v>
      </c>
      <c r="AU938">
        <v>2010</v>
      </c>
      <c r="AV938">
        <v>90</v>
      </c>
      <c r="AW938">
        <v>3</v>
      </c>
      <c r="AX938" t="s">
        <v>74</v>
      </c>
      <c r="AY938" t="s">
        <v>74</v>
      </c>
      <c r="AZ938" t="s">
        <v>74</v>
      </c>
      <c r="BA938" t="s">
        <v>74</v>
      </c>
      <c r="BB938">
        <v>605</v>
      </c>
      <c r="BC938">
        <v>611</v>
      </c>
      <c r="BD938" t="s">
        <v>74</v>
      </c>
      <c r="BE938" t="s">
        <v>16531</v>
      </c>
      <c r="BF938" t="str">
        <f>HYPERLINK("http://dx.doi.org/10.1017/S0025315409000988","http://dx.doi.org/10.1017/S0025315409000988")</f>
        <v>http://dx.doi.org/10.1017/S0025315409000988</v>
      </c>
      <c r="BG938" t="s">
        <v>74</v>
      </c>
      <c r="BH938" t="s">
        <v>74</v>
      </c>
      <c r="BI938">
        <v>7</v>
      </c>
      <c r="BJ938" t="s">
        <v>515</v>
      </c>
      <c r="BK938" t="s">
        <v>100</v>
      </c>
      <c r="BL938" t="s">
        <v>515</v>
      </c>
      <c r="BM938" t="s">
        <v>16506</v>
      </c>
      <c r="BN938" t="s">
        <v>74</v>
      </c>
      <c r="BO938" t="s">
        <v>74</v>
      </c>
      <c r="BP938" t="s">
        <v>74</v>
      </c>
      <c r="BQ938" t="s">
        <v>74</v>
      </c>
      <c r="BR938" t="s">
        <v>104</v>
      </c>
      <c r="BS938" t="s">
        <v>16532</v>
      </c>
      <c r="BT938" t="str">
        <f>HYPERLINK("https%3A%2F%2Fwww.webofscience.com%2Fwos%2Fwoscc%2Ffull-record%2FWOS:000278644200021","View Full Record in Web of Science")</f>
        <v>View Full Record in Web of Science</v>
      </c>
    </row>
    <row r="939" spans="1:72" x14ac:dyDescent="0.15">
      <c r="A939" t="s">
        <v>72</v>
      </c>
      <c r="B939" t="s">
        <v>16533</v>
      </c>
      <c r="C939" t="s">
        <v>74</v>
      </c>
      <c r="D939" t="s">
        <v>74</v>
      </c>
      <c r="E939" t="s">
        <v>74</v>
      </c>
      <c r="F939" t="s">
        <v>16534</v>
      </c>
      <c r="G939" t="s">
        <v>74</v>
      </c>
      <c r="H939" t="s">
        <v>74</v>
      </c>
      <c r="I939" t="s">
        <v>16535</v>
      </c>
      <c r="J939" t="s">
        <v>912</v>
      </c>
      <c r="K939" t="s">
        <v>74</v>
      </c>
      <c r="L939" t="s">
        <v>74</v>
      </c>
      <c r="M939" t="s">
        <v>78</v>
      </c>
      <c r="N939" t="s">
        <v>79</v>
      </c>
      <c r="O939" t="s">
        <v>74</v>
      </c>
      <c r="P939" t="s">
        <v>74</v>
      </c>
      <c r="Q939" t="s">
        <v>74</v>
      </c>
      <c r="R939" t="s">
        <v>74</v>
      </c>
      <c r="S939" t="s">
        <v>74</v>
      </c>
      <c r="T939" t="s">
        <v>74</v>
      </c>
      <c r="U939" t="s">
        <v>16536</v>
      </c>
      <c r="V939" t="s">
        <v>16537</v>
      </c>
      <c r="W939" t="s">
        <v>16538</v>
      </c>
      <c r="X939" t="s">
        <v>16539</v>
      </c>
      <c r="Y939" t="s">
        <v>16540</v>
      </c>
      <c r="Z939" t="s">
        <v>16541</v>
      </c>
      <c r="AA939" t="s">
        <v>74</v>
      </c>
      <c r="AB939" t="s">
        <v>16542</v>
      </c>
      <c r="AC939" t="s">
        <v>16543</v>
      </c>
      <c r="AD939" t="s">
        <v>1402</v>
      </c>
      <c r="AE939" t="s">
        <v>16544</v>
      </c>
      <c r="AF939" t="s">
        <v>74</v>
      </c>
      <c r="AG939">
        <v>63</v>
      </c>
      <c r="AH939">
        <v>68</v>
      </c>
      <c r="AI939">
        <v>73</v>
      </c>
      <c r="AJ939">
        <v>3</v>
      </c>
      <c r="AK939">
        <v>47</v>
      </c>
      <c r="AL939" t="s">
        <v>923</v>
      </c>
      <c r="AM939" t="s">
        <v>339</v>
      </c>
      <c r="AN939" t="s">
        <v>340</v>
      </c>
      <c r="AO939" t="s">
        <v>924</v>
      </c>
      <c r="AP939" t="s">
        <v>925</v>
      </c>
      <c r="AQ939" t="s">
        <v>74</v>
      </c>
      <c r="AR939" t="s">
        <v>926</v>
      </c>
      <c r="AS939" t="s">
        <v>927</v>
      </c>
      <c r="AT939" t="s">
        <v>15251</v>
      </c>
      <c r="AU939">
        <v>2010</v>
      </c>
      <c r="AV939">
        <v>55</v>
      </c>
      <c r="AW939">
        <v>3</v>
      </c>
      <c r="AX939" t="s">
        <v>74</v>
      </c>
      <c r="AY939" t="s">
        <v>74</v>
      </c>
      <c r="AZ939" t="s">
        <v>74</v>
      </c>
      <c r="BA939" t="s">
        <v>74</v>
      </c>
      <c r="BB939">
        <v>1248</v>
      </c>
      <c r="BC939">
        <v>1264</v>
      </c>
      <c r="BD939" t="s">
        <v>74</v>
      </c>
      <c r="BE939" t="s">
        <v>16545</v>
      </c>
      <c r="BF939" t="str">
        <f>HYPERLINK("http://dx.doi.org/10.4319/lo.2010.55.3.1248","http://dx.doi.org/10.4319/lo.2010.55.3.1248")</f>
        <v>http://dx.doi.org/10.4319/lo.2010.55.3.1248</v>
      </c>
      <c r="BG939" t="s">
        <v>74</v>
      </c>
      <c r="BH939" t="s">
        <v>74</v>
      </c>
      <c r="BI939">
        <v>17</v>
      </c>
      <c r="BJ939" t="s">
        <v>929</v>
      </c>
      <c r="BK939" t="s">
        <v>100</v>
      </c>
      <c r="BL939" t="s">
        <v>930</v>
      </c>
      <c r="BM939" t="s">
        <v>16546</v>
      </c>
      <c r="BN939" t="s">
        <v>74</v>
      </c>
      <c r="BO939" t="s">
        <v>134</v>
      </c>
      <c r="BP939" t="s">
        <v>74</v>
      </c>
      <c r="BQ939" t="s">
        <v>74</v>
      </c>
      <c r="BR939" t="s">
        <v>104</v>
      </c>
      <c r="BS939" t="s">
        <v>16547</v>
      </c>
      <c r="BT939" t="str">
        <f>HYPERLINK("https%3A%2F%2Fwww.webofscience.com%2Fwos%2Fwoscc%2Ffull-record%2FWOS:000277650900023","View Full Record in Web of Science")</f>
        <v>View Full Record in Web of Science</v>
      </c>
    </row>
    <row r="940" spans="1:72" x14ac:dyDescent="0.15">
      <c r="A940" t="s">
        <v>72</v>
      </c>
      <c r="B940" t="s">
        <v>16548</v>
      </c>
      <c r="C940" t="s">
        <v>74</v>
      </c>
      <c r="D940" t="s">
        <v>74</v>
      </c>
      <c r="E940" t="s">
        <v>74</v>
      </c>
      <c r="F940" t="s">
        <v>16549</v>
      </c>
      <c r="G940" t="s">
        <v>74</v>
      </c>
      <c r="H940" t="s">
        <v>74</v>
      </c>
      <c r="I940" t="s">
        <v>16550</v>
      </c>
      <c r="J940" t="s">
        <v>912</v>
      </c>
      <c r="K940" t="s">
        <v>74</v>
      </c>
      <c r="L940" t="s">
        <v>74</v>
      </c>
      <c r="M940" t="s">
        <v>78</v>
      </c>
      <c r="N940" t="s">
        <v>79</v>
      </c>
      <c r="O940" t="s">
        <v>74</v>
      </c>
      <c r="P940" t="s">
        <v>74</v>
      </c>
      <c r="Q940" t="s">
        <v>74</v>
      </c>
      <c r="R940" t="s">
        <v>74</v>
      </c>
      <c r="S940" t="s">
        <v>74</v>
      </c>
      <c r="T940" t="s">
        <v>74</v>
      </c>
      <c r="U940" t="s">
        <v>16551</v>
      </c>
      <c r="V940" t="s">
        <v>16552</v>
      </c>
      <c r="W940" t="s">
        <v>16553</v>
      </c>
      <c r="X940" t="s">
        <v>16554</v>
      </c>
      <c r="Y940" t="s">
        <v>16555</v>
      </c>
      <c r="Z940" t="s">
        <v>16556</v>
      </c>
      <c r="AA940" t="s">
        <v>16557</v>
      </c>
      <c r="AB940" t="s">
        <v>16558</v>
      </c>
      <c r="AC940" t="s">
        <v>16559</v>
      </c>
      <c r="AD940" t="s">
        <v>16560</v>
      </c>
      <c r="AE940" t="s">
        <v>16561</v>
      </c>
      <c r="AF940" t="s">
        <v>74</v>
      </c>
      <c r="AG940">
        <v>38</v>
      </c>
      <c r="AH940">
        <v>35</v>
      </c>
      <c r="AI940">
        <v>37</v>
      </c>
      <c r="AJ940">
        <v>0</v>
      </c>
      <c r="AK940">
        <v>15</v>
      </c>
      <c r="AL940" t="s">
        <v>923</v>
      </c>
      <c r="AM940" t="s">
        <v>339</v>
      </c>
      <c r="AN940" t="s">
        <v>340</v>
      </c>
      <c r="AO940" t="s">
        <v>924</v>
      </c>
      <c r="AP940" t="s">
        <v>925</v>
      </c>
      <c r="AQ940" t="s">
        <v>74</v>
      </c>
      <c r="AR940" t="s">
        <v>926</v>
      </c>
      <c r="AS940" t="s">
        <v>927</v>
      </c>
      <c r="AT940" t="s">
        <v>15251</v>
      </c>
      <c r="AU940">
        <v>2010</v>
      </c>
      <c r="AV940">
        <v>55</v>
      </c>
      <c r="AW940">
        <v>3</v>
      </c>
      <c r="AX940" t="s">
        <v>74</v>
      </c>
      <c r="AY940" t="s">
        <v>74</v>
      </c>
      <c r="AZ940" t="s">
        <v>74</v>
      </c>
      <c r="BA940" t="s">
        <v>74</v>
      </c>
      <c r="BB940">
        <v>1400</v>
      </c>
      <c r="BC940">
        <v>1407</v>
      </c>
      <c r="BD940" t="s">
        <v>74</v>
      </c>
      <c r="BE940" t="s">
        <v>16562</v>
      </c>
      <c r="BF940" t="str">
        <f>HYPERLINK("http://dx.doi.org/10.4319/lo.2010.55.3.1400","http://dx.doi.org/10.4319/lo.2010.55.3.1400")</f>
        <v>http://dx.doi.org/10.4319/lo.2010.55.3.1400</v>
      </c>
      <c r="BG940" t="s">
        <v>74</v>
      </c>
      <c r="BH940" t="s">
        <v>74</v>
      </c>
      <c r="BI940">
        <v>8</v>
      </c>
      <c r="BJ940" t="s">
        <v>929</v>
      </c>
      <c r="BK940" t="s">
        <v>100</v>
      </c>
      <c r="BL940" t="s">
        <v>930</v>
      </c>
      <c r="BM940" t="s">
        <v>16546</v>
      </c>
      <c r="BN940" t="s">
        <v>74</v>
      </c>
      <c r="BO940" t="s">
        <v>123</v>
      </c>
      <c r="BP940" t="s">
        <v>74</v>
      </c>
      <c r="BQ940" t="s">
        <v>74</v>
      </c>
      <c r="BR940" t="s">
        <v>104</v>
      </c>
      <c r="BS940" t="s">
        <v>16563</v>
      </c>
      <c r="BT940" t="str">
        <f>HYPERLINK("https%3A%2F%2Fwww.webofscience.com%2Fwos%2Fwoscc%2Ffull-record%2FWOS:000277650900034","View Full Record in Web of Science")</f>
        <v>View Full Record in Web of Science</v>
      </c>
    </row>
    <row r="941" spans="1:72" x14ac:dyDescent="0.15">
      <c r="A941" t="s">
        <v>72</v>
      </c>
      <c r="B941" t="s">
        <v>16564</v>
      </c>
      <c r="C941" t="s">
        <v>74</v>
      </c>
      <c r="D941" t="s">
        <v>74</v>
      </c>
      <c r="E941" t="s">
        <v>74</v>
      </c>
      <c r="F941" t="s">
        <v>16565</v>
      </c>
      <c r="G941" t="s">
        <v>74</v>
      </c>
      <c r="H941" t="s">
        <v>74</v>
      </c>
      <c r="I941" t="s">
        <v>16566</v>
      </c>
      <c r="J941" t="s">
        <v>14153</v>
      </c>
      <c r="K941" t="s">
        <v>74</v>
      </c>
      <c r="L941" t="s">
        <v>74</v>
      </c>
      <c r="M941" t="s">
        <v>78</v>
      </c>
      <c r="N941" t="s">
        <v>326</v>
      </c>
      <c r="O941" t="s">
        <v>74</v>
      </c>
      <c r="P941" t="s">
        <v>74</v>
      </c>
      <c r="Q941" t="s">
        <v>74</v>
      </c>
      <c r="R941" t="s">
        <v>74</v>
      </c>
      <c r="S941" t="s">
        <v>74</v>
      </c>
      <c r="T941" t="s">
        <v>16567</v>
      </c>
      <c r="U941" t="s">
        <v>16568</v>
      </c>
      <c r="V941" t="s">
        <v>16569</v>
      </c>
      <c r="W941" t="s">
        <v>16570</v>
      </c>
      <c r="X941" t="s">
        <v>16571</v>
      </c>
      <c r="Y941" t="s">
        <v>16572</v>
      </c>
      <c r="Z941" t="s">
        <v>16573</v>
      </c>
      <c r="AA941" t="s">
        <v>16574</v>
      </c>
      <c r="AB941" t="s">
        <v>16575</v>
      </c>
      <c r="AC941" t="s">
        <v>16576</v>
      </c>
      <c r="AD941" t="s">
        <v>16577</v>
      </c>
      <c r="AE941" t="s">
        <v>16578</v>
      </c>
      <c r="AF941" t="s">
        <v>74</v>
      </c>
      <c r="AG941">
        <v>62</v>
      </c>
      <c r="AH941">
        <v>77</v>
      </c>
      <c r="AI941">
        <v>84</v>
      </c>
      <c r="AJ941">
        <v>2</v>
      </c>
      <c r="AK941">
        <v>57</v>
      </c>
      <c r="AL941" t="s">
        <v>14162</v>
      </c>
      <c r="AM941" t="s">
        <v>14163</v>
      </c>
      <c r="AN941" t="s">
        <v>14164</v>
      </c>
      <c r="AO941" t="s">
        <v>74</v>
      </c>
      <c r="AP941" t="s">
        <v>14165</v>
      </c>
      <c r="AQ941" t="s">
        <v>74</v>
      </c>
      <c r="AR941" t="s">
        <v>14166</v>
      </c>
      <c r="AS941" t="s">
        <v>14167</v>
      </c>
      <c r="AT941" t="s">
        <v>15251</v>
      </c>
      <c r="AU941">
        <v>2010</v>
      </c>
      <c r="AV941">
        <v>8</v>
      </c>
      <c r="AW941">
        <v>5</v>
      </c>
      <c r="AX941" t="s">
        <v>74</v>
      </c>
      <c r="AY941" t="s">
        <v>74</v>
      </c>
      <c r="AZ941" t="s">
        <v>74</v>
      </c>
      <c r="BA941" t="s">
        <v>74</v>
      </c>
      <c r="BB941">
        <v>1526</v>
      </c>
      <c r="BC941">
        <v>1549</v>
      </c>
      <c r="BD941" t="s">
        <v>74</v>
      </c>
      <c r="BE941" t="s">
        <v>16579</v>
      </c>
      <c r="BF941" t="str">
        <f>HYPERLINK("http://dx.doi.org/10.3390/md8051526","http://dx.doi.org/10.3390/md8051526")</f>
        <v>http://dx.doi.org/10.3390/md8051526</v>
      </c>
      <c r="BG941" t="s">
        <v>74</v>
      </c>
      <c r="BH941" t="s">
        <v>74</v>
      </c>
      <c r="BI941">
        <v>24</v>
      </c>
      <c r="BJ941" t="s">
        <v>14169</v>
      </c>
      <c r="BK941" t="s">
        <v>100</v>
      </c>
      <c r="BL941" t="s">
        <v>14170</v>
      </c>
      <c r="BM941" t="s">
        <v>16580</v>
      </c>
      <c r="BN941">
        <v>20559487</v>
      </c>
      <c r="BO941" t="s">
        <v>2721</v>
      </c>
      <c r="BP941" t="s">
        <v>74</v>
      </c>
      <c r="BQ941" t="s">
        <v>74</v>
      </c>
      <c r="BR941" t="s">
        <v>104</v>
      </c>
      <c r="BS941" t="s">
        <v>16581</v>
      </c>
      <c r="BT941" t="str">
        <f>HYPERLINK("https%3A%2F%2Fwww.webofscience.com%2Fwos%2Fwoscc%2Ffull-record%2FWOS:000278092400003","View Full Record in Web of Science")</f>
        <v>View Full Record in Web of Science</v>
      </c>
    </row>
    <row r="942" spans="1:72" x14ac:dyDescent="0.15">
      <c r="A942" t="s">
        <v>72</v>
      </c>
      <c r="B942" t="s">
        <v>16582</v>
      </c>
      <c r="C942" t="s">
        <v>74</v>
      </c>
      <c r="D942" t="s">
        <v>74</v>
      </c>
      <c r="E942" t="s">
        <v>74</v>
      </c>
      <c r="F942" t="s">
        <v>16583</v>
      </c>
      <c r="G942" t="s">
        <v>74</v>
      </c>
      <c r="H942" t="s">
        <v>74</v>
      </c>
      <c r="I942" t="s">
        <v>16584</v>
      </c>
      <c r="J942" t="s">
        <v>16585</v>
      </c>
      <c r="K942" t="s">
        <v>74</v>
      </c>
      <c r="L942" t="s">
        <v>74</v>
      </c>
      <c r="M942" t="s">
        <v>78</v>
      </c>
      <c r="N942" t="s">
        <v>79</v>
      </c>
      <c r="O942" t="s">
        <v>74</v>
      </c>
      <c r="P942" t="s">
        <v>74</v>
      </c>
      <c r="Q942" t="s">
        <v>74</v>
      </c>
      <c r="R942" t="s">
        <v>74</v>
      </c>
      <c r="S942" t="s">
        <v>74</v>
      </c>
      <c r="T942" t="s">
        <v>16586</v>
      </c>
      <c r="U942" t="s">
        <v>74</v>
      </c>
      <c r="V942" t="s">
        <v>16587</v>
      </c>
      <c r="W942" t="s">
        <v>12013</v>
      </c>
      <c r="X942" t="s">
        <v>9304</v>
      </c>
      <c r="Y942" t="s">
        <v>16588</v>
      </c>
      <c r="Z942" t="s">
        <v>16589</v>
      </c>
      <c r="AA942" t="s">
        <v>74</v>
      </c>
      <c r="AB942" t="s">
        <v>74</v>
      </c>
      <c r="AC942" t="s">
        <v>74</v>
      </c>
      <c r="AD942" t="s">
        <v>74</v>
      </c>
      <c r="AE942" t="s">
        <v>74</v>
      </c>
      <c r="AF942" t="s">
        <v>74</v>
      </c>
      <c r="AG942">
        <v>16</v>
      </c>
      <c r="AH942">
        <v>5</v>
      </c>
      <c r="AI942">
        <v>5</v>
      </c>
      <c r="AJ942">
        <v>0</v>
      </c>
      <c r="AK942">
        <v>7</v>
      </c>
      <c r="AL942" t="s">
        <v>2438</v>
      </c>
      <c r="AM942" t="s">
        <v>265</v>
      </c>
      <c r="AN942" t="s">
        <v>2439</v>
      </c>
      <c r="AO942" t="s">
        <v>16590</v>
      </c>
      <c r="AP942" t="s">
        <v>74</v>
      </c>
      <c r="AQ942" t="s">
        <v>74</v>
      </c>
      <c r="AR942" t="s">
        <v>16591</v>
      </c>
      <c r="AS942" t="s">
        <v>16592</v>
      </c>
      <c r="AT942" t="s">
        <v>15251</v>
      </c>
      <c r="AU942">
        <v>2010</v>
      </c>
      <c r="AV942">
        <v>34</v>
      </c>
      <c r="AW942">
        <v>3</v>
      </c>
      <c r="AX942" t="s">
        <v>74</v>
      </c>
      <c r="AY942" t="s">
        <v>74</v>
      </c>
      <c r="AZ942" t="s">
        <v>74</v>
      </c>
      <c r="BA942" t="s">
        <v>74</v>
      </c>
      <c r="BB942">
        <v>360</v>
      </c>
      <c r="BC942">
        <v>366</v>
      </c>
      <c r="BD942" t="s">
        <v>74</v>
      </c>
      <c r="BE942" t="s">
        <v>16593</v>
      </c>
      <c r="BF942" t="str">
        <f>HYPERLINK("http://dx.doi.org/10.1016/j.marpol.2009.08.004","http://dx.doi.org/10.1016/j.marpol.2009.08.004")</f>
        <v>http://dx.doi.org/10.1016/j.marpol.2009.08.004</v>
      </c>
      <c r="BG942" t="s">
        <v>74</v>
      </c>
      <c r="BH942" t="s">
        <v>74</v>
      </c>
      <c r="BI942">
        <v>7</v>
      </c>
      <c r="BJ942" t="s">
        <v>16594</v>
      </c>
      <c r="BK942" t="s">
        <v>1966</v>
      </c>
      <c r="BL942" t="s">
        <v>16595</v>
      </c>
      <c r="BM942" t="s">
        <v>16596</v>
      </c>
      <c r="BN942" t="s">
        <v>74</v>
      </c>
      <c r="BO942" t="s">
        <v>74</v>
      </c>
      <c r="BP942" t="s">
        <v>74</v>
      </c>
      <c r="BQ942" t="s">
        <v>74</v>
      </c>
      <c r="BR942" t="s">
        <v>104</v>
      </c>
      <c r="BS942" t="s">
        <v>16597</v>
      </c>
      <c r="BT942" t="str">
        <f>HYPERLINK("https%3A%2F%2Fwww.webofscience.com%2Fwos%2Fwoscc%2Ffull-record%2FWOS:000275842800002","View Full Record in Web of Science")</f>
        <v>View Full Record in Web of Science</v>
      </c>
    </row>
    <row r="943" spans="1:72" x14ac:dyDescent="0.15">
      <c r="A943" t="s">
        <v>72</v>
      </c>
      <c r="B943" t="s">
        <v>16582</v>
      </c>
      <c r="C943" t="s">
        <v>74</v>
      </c>
      <c r="D943" t="s">
        <v>74</v>
      </c>
      <c r="E943" t="s">
        <v>74</v>
      </c>
      <c r="F943" t="s">
        <v>16583</v>
      </c>
      <c r="G943" t="s">
        <v>74</v>
      </c>
      <c r="H943" t="s">
        <v>74</v>
      </c>
      <c r="I943" t="s">
        <v>16598</v>
      </c>
      <c r="J943" t="s">
        <v>16585</v>
      </c>
      <c r="K943" t="s">
        <v>74</v>
      </c>
      <c r="L943" t="s">
        <v>74</v>
      </c>
      <c r="M943" t="s">
        <v>78</v>
      </c>
      <c r="N943" t="s">
        <v>79</v>
      </c>
      <c r="O943" t="s">
        <v>74</v>
      </c>
      <c r="P943" t="s">
        <v>74</v>
      </c>
      <c r="Q943" t="s">
        <v>74</v>
      </c>
      <c r="R943" t="s">
        <v>74</v>
      </c>
      <c r="S943" t="s">
        <v>74</v>
      </c>
      <c r="T943" t="s">
        <v>16599</v>
      </c>
      <c r="U943" t="s">
        <v>74</v>
      </c>
      <c r="V943" t="s">
        <v>16600</v>
      </c>
      <c r="W943" t="s">
        <v>12013</v>
      </c>
      <c r="X943" t="s">
        <v>9304</v>
      </c>
      <c r="Y943" t="s">
        <v>16588</v>
      </c>
      <c r="Z943" t="s">
        <v>16589</v>
      </c>
      <c r="AA943" t="s">
        <v>74</v>
      </c>
      <c r="AB943" t="s">
        <v>74</v>
      </c>
      <c r="AC943" t="s">
        <v>74</v>
      </c>
      <c r="AD943" t="s">
        <v>74</v>
      </c>
      <c r="AE943" t="s">
        <v>74</v>
      </c>
      <c r="AF943" t="s">
        <v>74</v>
      </c>
      <c r="AG943">
        <v>18</v>
      </c>
      <c r="AH943">
        <v>5</v>
      </c>
      <c r="AI943">
        <v>5</v>
      </c>
      <c r="AJ943">
        <v>0</v>
      </c>
      <c r="AK943">
        <v>15</v>
      </c>
      <c r="AL943" t="s">
        <v>2438</v>
      </c>
      <c r="AM943" t="s">
        <v>265</v>
      </c>
      <c r="AN943" t="s">
        <v>2439</v>
      </c>
      <c r="AO943" t="s">
        <v>16590</v>
      </c>
      <c r="AP943" t="s">
        <v>74</v>
      </c>
      <c r="AQ943" t="s">
        <v>74</v>
      </c>
      <c r="AR943" t="s">
        <v>16591</v>
      </c>
      <c r="AS943" t="s">
        <v>16592</v>
      </c>
      <c r="AT943" t="s">
        <v>15251</v>
      </c>
      <c r="AU943">
        <v>2010</v>
      </c>
      <c r="AV943">
        <v>34</v>
      </c>
      <c r="AW943">
        <v>3</v>
      </c>
      <c r="AX943" t="s">
        <v>74</v>
      </c>
      <c r="AY943" t="s">
        <v>74</v>
      </c>
      <c r="AZ943" t="s">
        <v>74</v>
      </c>
      <c r="BA943" t="s">
        <v>74</v>
      </c>
      <c r="BB943">
        <v>461</v>
      </c>
      <c r="BC943">
        <v>467</v>
      </c>
      <c r="BD943" t="s">
        <v>74</v>
      </c>
      <c r="BE943" t="s">
        <v>16601</v>
      </c>
      <c r="BF943" t="str">
        <f>HYPERLINK("http://dx.doi.org/10.1016/j.marpol.2009.09.013","http://dx.doi.org/10.1016/j.marpol.2009.09.013")</f>
        <v>http://dx.doi.org/10.1016/j.marpol.2009.09.013</v>
      </c>
      <c r="BG943" t="s">
        <v>74</v>
      </c>
      <c r="BH943" t="s">
        <v>74</v>
      </c>
      <c r="BI943">
        <v>7</v>
      </c>
      <c r="BJ943" t="s">
        <v>16594</v>
      </c>
      <c r="BK943" t="s">
        <v>1966</v>
      </c>
      <c r="BL943" t="s">
        <v>16595</v>
      </c>
      <c r="BM943" t="s">
        <v>16596</v>
      </c>
      <c r="BN943" t="s">
        <v>74</v>
      </c>
      <c r="BO943" t="s">
        <v>74</v>
      </c>
      <c r="BP943" t="s">
        <v>74</v>
      </c>
      <c r="BQ943" t="s">
        <v>74</v>
      </c>
      <c r="BR943" t="s">
        <v>104</v>
      </c>
      <c r="BS943" t="s">
        <v>16602</v>
      </c>
      <c r="BT943" t="str">
        <f>HYPERLINK("https%3A%2F%2Fwww.webofscience.com%2Fwos%2Fwoscc%2Ffull-record%2FWOS:000275842800015","View Full Record in Web of Science")</f>
        <v>View Full Record in Web of Science</v>
      </c>
    </row>
    <row r="944" spans="1:72" x14ac:dyDescent="0.15">
      <c r="A944" t="s">
        <v>72</v>
      </c>
      <c r="B944" t="s">
        <v>16603</v>
      </c>
      <c r="C944" t="s">
        <v>74</v>
      </c>
      <c r="D944" t="s">
        <v>74</v>
      </c>
      <c r="E944" t="s">
        <v>74</v>
      </c>
      <c r="F944" t="s">
        <v>16604</v>
      </c>
      <c r="G944" t="s">
        <v>74</v>
      </c>
      <c r="H944" t="s">
        <v>74</v>
      </c>
      <c r="I944" t="s">
        <v>16605</v>
      </c>
      <c r="J944" t="s">
        <v>2234</v>
      </c>
      <c r="K944" t="s">
        <v>74</v>
      </c>
      <c r="L944" t="s">
        <v>74</v>
      </c>
      <c r="M944" t="s">
        <v>78</v>
      </c>
      <c r="N944" t="s">
        <v>79</v>
      </c>
      <c r="O944" t="s">
        <v>74</v>
      </c>
      <c r="P944" t="s">
        <v>74</v>
      </c>
      <c r="Q944" t="s">
        <v>74</v>
      </c>
      <c r="R944" t="s">
        <v>74</v>
      </c>
      <c r="S944" t="s">
        <v>74</v>
      </c>
      <c r="T944" t="s">
        <v>74</v>
      </c>
      <c r="U944" t="s">
        <v>16606</v>
      </c>
      <c r="V944" t="s">
        <v>16607</v>
      </c>
      <c r="W944" t="s">
        <v>16608</v>
      </c>
      <c r="X944" t="s">
        <v>16609</v>
      </c>
      <c r="Y944" t="s">
        <v>16610</v>
      </c>
      <c r="Z944" t="s">
        <v>16611</v>
      </c>
      <c r="AA944" t="s">
        <v>74</v>
      </c>
      <c r="AB944" t="s">
        <v>74</v>
      </c>
      <c r="AC944" t="s">
        <v>16612</v>
      </c>
      <c r="AD944" t="s">
        <v>16613</v>
      </c>
      <c r="AE944" t="s">
        <v>16614</v>
      </c>
      <c r="AF944" t="s">
        <v>74</v>
      </c>
      <c r="AG944">
        <v>84</v>
      </c>
      <c r="AH944">
        <v>20</v>
      </c>
      <c r="AI944">
        <v>21</v>
      </c>
      <c r="AJ944">
        <v>0</v>
      </c>
      <c r="AK944">
        <v>9</v>
      </c>
      <c r="AL944" t="s">
        <v>923</v>
      </c>
      <c r="AM944" t="s">
        <v>339</v>
      </c>
      <c r="AN944" t="s">
        <v>340</v>
      </c>
      <c r="AO944" t="s">
        <v>2246</v>
      </c>
      <c r="AP944" t="s">
        <v>3908</v>
      </c>
      <c r="AQ944" t="s">
        <v>74</v>
      </c>
      <c r="AR944" t="s">
        <v>2247</v>
      </c>
      <c r="AS944" t="s">
        <v>2248</v>
      </c>
      <c r="AT944" t="s">
        <v>15251</v>
      </c>
      <c r="AU944">
        <v>2010</v>
      </c>
      <c r="AV944">
        <v>45</v>
      </c>
      <c r="AW944">
        <v>5</v>
      </c>
      <c r="AX944" t="s">
        <v>74</v>
      </c>
      <c r="AY944" t="s">
        <v>74</v>
      </c>
      <c r="AZ944" t="s">
        <v>74</v>
      </c>
      <c r="BA944" t="s">
        <v>74</v>
      </c>
      <c r="BB944">
        <v>723</v>
      </c>
      <c r="BC944">
        <v>742</v>
      </c>
      <c r="BD944" t="s">
        <v>74</v>
      </c>
      <c r="BE944" t="s">
        <v>16615</v>
      </c>
      <c r="BF944" t="str">
        <f>HYPERLINK("http://dx.doi.org/10.1111/j.1945-5100.2010.01060.x","http://dx.doi.org/10.1111/j.1945-5100.2010.01060.x")</f>
        <v>http://dx.doi.org/10.1111/j.1945-5100.2010.01060.x</v>
      </c>
      <c r="BG944" t="s">
        <v>74</v>
      </c>
      <c r="BH944" t="s">
        <v>74</v>
      </c>
      <c r="BI944">
        <v>20</v>
      </c>
      <c r="BJ944" t="s">
        <v>558</v>
      </c>
      <c r="BK944" t="s">
        <v>100</v>
      </c>
      <c r="BL944" t="s">
        <v>558</v>
      </c>
      <c r="BM944" t="s">
        <v>16616</v>
      </c>
      <c r="BN944" t="s">
        <v>74</v>
      </c>
      <c r="BO944" t="s">
        <v>74</v>
      </c>
      <c r="BP944" t="s">
        <v>74</v>
      </c>
      <c r="BQ944" t="s">
        <v>74</v>
      </c>
      <c r="BR944" t="s">
        <v>104</v>
      </c>
      <c r="BS944" t="s">
        <v>16617</v>
      </c>
      <c r="BT944" t="str">
        <f>HYPERLINK("https%3A%2F%2Fwww.webofscience.com%2Fwos%2Fwoscc%2Ffull-record%2FWOS:000281715900002","View Full Record in Web of Science")</f>
        <v>View Full Record in Web of Science</v>
      </c>
    </row>
    <row r="945" spans="1:72" x14ac:dyDescent="0.15">
      <c r="A945" t="s">
        <v>72</v>
      </c>
      <c r="B945" t="s">
        <v>16618</v>
      </c>
      <c r="C945" t="s">
        <v>74</v>
      </c>
      <c r="D945" t="s">
        <v>74</v>
      </c>
      <c r="E945" t="s">
        <v>74</v>
      </c>
      <c r="F945" t="s">
        <v>16619</v>
      </c>
      <c r="G945" t="s">
        <v>74</v>
      </c>
      <c r="H945" t="s">
        <v>74</v>
      </c>
      <c r="I945" t="s">
        <v>16620</v>
      </c>
      <c r="J945" t="s">
        <v>1005</v>
      </c>
      <c r="K945" t="s">
        <v>74</v>
      </c>
      <c r="L945" t="s">
        <v>74</v>
      </c>
      <c r="M945" t="s">
        <v>78</v>
      </c>
      <c r="N945" t="s">
        <v>79</v>
      </c>
      <c r="O945" t="s">
        <v>74</v>
      </c>
      <c r="P945" t="s">
        <v>74</v>
      </c>
      <c r="Q945" t="s">
        <v>74</v>
      </c>
      <c r="R945" t="s">
        <v>74</v>
      </c>
      <c r="S945" t="s">
        <v>74</v>
      </c>
      <c r="T945" t="s">
        <v>74</v>
      </c>
      <c r="U945" t="s">
        <v>16621</v>
      </c>
      <c r="V945" t="s">
        <v>16622</v>
      </c>
      <c r="W945" t="s">
        <v>16623</v>
      </c>
      <c r="X945" t="s">
        <v>16624</v>
      </c>
      <c r="Y945" t="s">
        <v>16625</v>
      </c>
      <c r="Z945" t="s">
        <v>16626</v>
      </c>
      <c r="AA945" t="s">
        <v>16627</v>
      </c>
      <c r="AB945" t="s">
        <v>16628</v>
      </c>
      <c r="AC945" t="s">
        <v>16629</v>
      </c>
      <c r="AD945" t="s">
        <v>16630</v>
      </c>
      <c r="AE945" t="s">
        <v>16631</v>
      </c>
      <c r="AF945" t="s">
        <v>74</v>
      </c>
      <c r="AG945">
        <v>96</v>
      </c>
      <c r="AH945">
        <v>53</v>
      </c>
      <c r="AI945">
        <v>60</v>
      </c>
      <c r="AJ945">
        <v>2</v>
      </c>
      <c r="AK945">
        <v>39</v>
      </c>
      <c r="AL945" t="s">
        <v>464</v>
      </c>
      <c r="AM945" t="s">
        <v>310</v>
      </c>
      <c r="AN945" t="s">
        <v>971</v>
      </c>
      <c r="AO945" t="s">
        <v>1017</v>
      </c>
      <c r="AP945" t="s">
        <v>1018</v>
      </c>
      <c r="AQ945" t="s">
        <v>74</v>
      </c>
      <c r="AR945" t="s">
        <v>1019</v>
      </c>
      <c r="AS945" t="s">
        <v>1020</v>
      </c>
      <c r="AT945" t="s">
        <v>15251</v>
      </c>
      <c r="AU945">
        <v>2010</v>
      </c>
      <c r="AV945">
        <v>59</v>
      </c>
      <c r="AW945">
        <v>4</v>
      </c>
      <c r="AX945" t="s">
        <v>74</v>
      </c>
      <c r="AY945" t="s">
        <v>74</v>
      </c>
      <c r="AZ945" t="s">
        <v>74</v>
      </c>
      <c r="BA945" t="s">
        <v>74</v>
      </c>
      <c r="BB945">
        <v>635</v>
      </c>
      <c r="BC945">
        <v>645</v>
      </c>
      <c r="BD945" t="s">
        <v>74</v>
      </c>
      <c r="BE945" t="s">
        <v>16632</v>
      </c>
      <c r="BF945" t="str">
        <f>HYPERLINK("http://dx.doi.org/10.1007/s00248-009-9615-8","http://dx.doi.org/10.1007/s00248-009-9615-8")</f>
        <v>http://dx.doi.org/10.1007/s00248-009-9615-8</v>
      </c>
      <c r="BG945" t="s">
        <v>74</v>
      </c>
      <c r="BH945" t="s">
        <v>74</v>
      </c>
      <c r="BI945">
        <v>11</v>
      </c>
      <c r="BJ945" t="s">
        <v>1022</v>
      </c>
      <c r="BK945" t="s">
        <v>100</v>
      </c>
      <c r="BL945" t="s">
        <v>1023</v>
      </c>
      <c r="BM945" t="s">
        <v>16633</v>
      </c>
      <c r="BN945">
        <v>19956939</v>
      </c>
      <c r="BO945" t="s">
        <v>5180</v>
      </c>
      <c r="BP945" t="s">
        <v>74</v>
      </c>
      <c r="BQ945" t="s">
        <v>74</v>
      </c>
      <c r="BR945" t="s">
        <v>104</v>
      </c>
      <c r="BS945" t="s">
        <v>16634</v>
      </c>
      <c r="BT945" t="str">
        <f>HYPERLINK("https%3A%2F%2Fwww.webofscience.com%2Fwos%2Fwoscc%2Ffull-record%2FWOS:000278349400002","View Full Record in Web of Science")</f>
        <v>View Full Record in Web of Science</v>
      </c>
    </row>
    <row r="946" spans="1:72" x14ac:dyDescent="0.15">
      <c r="A946" t="s">
        <v>72</v>
      </c>
      <c r="B946" t="s">
        <v>16635</v>
      </c>
      <c r="C946" t="s">
        <v>74</v>
      </c>
      <c r="D946" t="s">
        <v>74</v>
      </c>
      <c r="E946" t="s">
        <v>74</v>
      </c>
      <c r="F946" t="s">
        <v>16636</v>
      </c>
      <c r="G946" t="s">
        <v>74</v>
      </c>
      <c r="H946" t="s">
        <v>74</v>
      </c>
      <c r="I946" t="s">
        <v>16637</v>
      </c>
      <c r="J946" t="s">
        <v>1005</v>
      </c>
      <c r="K946" t="s">
        <v>74</v>
      </c>
      <c r="L946" t="s">
        <v>74</v>
      </c>
      <c r="M946" t="s">
        <v>78</v>
      </c>
      <c r="N946" t="s">
        <v>79</v>
      </c>
      <c r="O946" t="s">
        <v>74</v>
      </c>
      <c r="P946" t="s">
        <v>74</v>
      </c>
      <c r="Q946" t="s">
        <v>74</v>
      </c>
      <c r="R946" t="s">
        <v>74</v>
      </c>
      <c r="S946" t="s">
        <v>74</v>
      </c>
      <c r="T946" t="s">
        <v>74</v>
      </c>
      <c r="U946" t="s">
        <v>16638</v>
      </c>
      <c r="V946" t="s">
        <v>16639</v>
      </c>
      <c r="W946" t="s">
        <v>16640</v>
      </c>
      <c r="X946" t="s">
        <v>16641</v>
      </c>
      <c r="Y946" t="s">
        <v>16642</v>
      </c>
      <c r="Z946" t="s">
        <v>16643</v>
      </c>
      <c r="AA946" t="s">
        <v>16644</v>
      </c>
      <c r="AB946" t="s">
        <v>16645</v>
      </c>
      <c r="AC946" t="s">
        <v>16646</v>
      </c>
      <c r="AD946" t="s">
        <v>16647</v>
      </c>
      <c r="AE946" t="s">
        <v>16648</v>
      </c>
      <c r="AF946" t="s">
        <v>74</v>
      </c>
      <c r="AG946">
        <v>29</v>
      </c>
      <c r="AH946">
        <v>55</v>
      </c>
      <c r="AI946">
        <v>58</v>
      </c>
      <c r="AJ946">
        <v>0</v>
      </c>
      <c r="AK946">
        <v>33</v>
      </c>
      <c r="AL946" t="s">
        <v>464</v>
      </c>
      <c r="AM946" t="s">
        <v>310</v>
      </c>
      <c r="AN946" t="s">
        <v>465</v>
      </c>
      <c r="AO946" t="s">
        <v>1017</v>
      </c>
      <c r="AP946" t="s">
        <v>74</v>
      </c>
      <c r="AQ946" t="s">
        <v>74</v>
      </c>
      <c r="AR946" t="s">
        <v>1019</v>
      </c>
      <c r="AS946" t="s">
        <v>1020</v>
      </c>
      <c r="AT946" t="s">
        <v>15251</v>
      </c>
      <c r="AU946">
        <v>2010</v>
      </c>
      <c r="AV946">
        <v>59</v>
      </c>
      <c r="AW946">
        <v>4</v>
      </c>
      <c r="AX946" t="s">
        <v>74</v>
      </c>
      <c r="AY946" t="s">
        <v>74</v>
      </c>
      <c r="AZ946" t="s">
        <v>74</v>
      </c>
      <c r="BA946" t="s">
        <v>74</v>
      </c>
      <c r="BB946">
        <v>689</v>
      </c>
      <c r="BC946">
        <v>699</v>
      </c>
      <c r="BD946" t="s">
        <v>74</v>
      </c>
      <c r="BE946" t="s">
        <v>16649</v>
      </c>
      <c r="BF946" t="str">
        <f>HYPERLINK("http://dx.doi.org/10.1007/s00248-009-9607-8","http://dx.doi.org/10.1007/s00248-009-9607-8")</f>
        <v>http://dx.doi.org/10.1007/s00248-009-9607-8</v>
      </c>
      <c r="BG946" t="s">
        <v>74</v>
      </c>
      <c r="BH946" t="s">
        <v>74</v>
      </c>
      <c r="BI946">
        <v>11</v>
      </c>
      <c r="BJ946" t="s">
        <v>1022</v>
      </c>
      <c r="BK946" t="s">
        <v>100</v>
      </c>
      <c r="BL946" t="s">
        <v>1023</v>
      </c>
      <c r="BM946" t="s">
        <v>16633</v>
      </c>
      <c r="BN946">
        <v>19937324</v>
      </c>
      <c r="BO946" t="s">
        <v>74</v>
      </c>
      <c r="BP946" t="s">
        <v>74</v>
      </c>
      <c r="BQ946" t="s">
        <v>74</v>
      </c>
      <c r="BR946" t="s">
        <v>104</v>
      </c>
      <c r="BS946" t="s">
        <v>16650</v>
      </c>
      <c r="BT946" t="str">
        <f>HYPERLINK("https%3A%2F%2Fwww.webofscience.com%2Fwos%2Fwoscc%2Ffull-record%2FWOS:000278349400007","View Full Record in Web of Science")</f>
        <v>View Full Record in Web of Science</v>
      </c>
    </row>
    <row r="947" spans="1:72" x14ac:dyDescent="0.15">
      <c r="A947" t="s">
        <v>72</v>
      </c>
      <c r="B947" t="s">
        <v>16651</v>
      </c>
      <c r="C947" t="s">
        <v>74</v>
      </c>
      <c r="D947" t="s">
        <v>74</v>
      </c>
      <c r="E947" t="s">
        <v>74</v>
      </c>
      <c r="F947" t="s">
        <v>16652</v>
      </c>
      <c r="G947" t="s">
        <v>74</v>
      </c>
      <c r="H947" t="s">
        <v>74</v>
      </c>
      <c r="I947" t="s">
        <v>16653</v>
      </c>
      <c r="J947" t="s">
        <v>1106</v>
      </c>
      <c r="K947" t="s">
        <v>74</v>
      </c>
      <c r="L947" t="s">
        <v>74</v>
      </c>
      <c r="M947" t="s">
        <v>78</v>
      </c>
      <c r="N947" t="s">
        <v>79</v>
      </c>
      <c r="O947" t="s">
        <v>74</v>
      </c>
      <c r="P947" t="s">
        <v>74</v>
      </c>
      <c r="Q947" t="s">
        <v>74</v>
      </c>
      <c r="R947" t="s">
        <v>74</v>
      </c>
      <c r="S947" t="s">
        <v>74</v>
      </c>
      <c r="T947" t="s">
        <v>16654</v>
      </c>
      <c r="U947" t="s">
        <v>16655</v>
      </c>
      <c r="V947" t="s">
        <v>16656</v>
      </c>
      <c r="W947" t="s">
        <v>16657</v>
      </c>
      <c r="X947" t="s">
        <v>16658</v>
      </c>
      <c r="Y947" t="s">
        <v>16659</v>
      </c>
      <c r="Z947" t="s">
        <v>16660</v>
      </c>
      <c r="AA947" t="s">
        <v>74</v>
      </c>
      <c r="AB947" t="s">
        <v>16661</v>
      </c>
      <c r="AC947" t="s">
        <v>16662</v>
      </c>
      <c r="AD947" t="s">
        <v>16662</v>
      </c>
      <c r="AE947" t="s">
        <v>16663</v>
      </c>
      <c r="AF947" t="s">
        <v>74</v>
      </c>
      <c r="AG947">
        <v>25</v>
      </c>
      <c r="AH947">
        <v>40</v>
      </c>
      <c r="AI947">
        <v>47</v>
      </c>
      <c r="AJ947">
        <v>0</v>
      </c>
      <c r="AK947">
        <v>20</v>
      </c>
      <c r="AL947" t="s">
        <v>923</v>
      </c>
      <c r="AM947" t="s">
        <v>339</v>
      </c>
      <c r="AN947" t="s">
        <v>340</v>
      </c>
      <c r="AO947" t="s">
        <v>1113</v>
      </c>
      <c r="AP947" t="s">
        <v>1114</v>
      </c>
      <c r="AQ947" t="s">
        <v>74</v>
      </c>
      <c r="AR947" t="s">
        <v>1115</v>
      </c>
      <c r="AS947" t="s">
        <v>1116</v>
      </c>
      <c r="AT947" t="s">
        <v>15251</v>
      </c>
      <c r="AU947">
        <v>2010</v>
      </c>
      <c r="AV947">
        <v>10</v>
      </c>
      <c r="AW947">
        <v>3</v>
      </c>
      <c r="AX947" t="s">
        <v>74</v>
      </c>
      <c r="AY947" t="s">
        <v>74</v>
      </c>
      <c r="AZ947" t="s">
        <v>74</v>
      </c>
      <c r="BA947" t="s">
        <v>74</v>
      </c>
      <c r="BB947">
        <v>431</v>
      </c>
      <c r="BC947">
        <v>438</v>
      </c>
      <c r="BD947" t="s">
        <v>74</v>
      </c>
      <c r="BE947" t="s">
        <v>16664</v>
      </c>
      <c r="BF947" t="str">
        <f>HYPERLINK("http://dx.doi.org/10.1111/j.1755-0998.2009.02793.x","http://dx.doi.org/10.1111/j.1755-0998.2009.02793.x")</f>
        <v>http://dx.doi.org/10.1111/j.1755-0998.2009.02793.x</v>
      </c>
      <c r="BG947" t="s">
        <v>74</v>
      </c>
      <c r="BH947" t="s">
        <v>74</v>
      </c>
      <c r="BI947">
        <v>8</v>
      </c>
      <c r="BJ947" t="s">
        <v>1118</v>
      </c>
      <c r="BK947" t="s">
        <v>100</v>
      </c>
      <c r="BL947" t="s">
        <v>1119</v>
      </c>
      <c r="BM947" t="s">
        <v>16665</v>
      </c>
      <c r="BN947">
        <v>21565042</v>
      </c>
      <c r="BO947" t="s">
        <v>631</v>
      </c>
      <c r="BP947" t="s">
        <v>74</v>
      </c>
      <c r="BQ947" t="s">
        <v>74</v>
      </c>
      <c r="BR947" t="s">
        <v>104</v>
      </c>
      <c r="BS947" t="s">
        <v>16666</v>
      </c>
      <c r="BT947" t="str">
        <f>HYPERLINK("https%3A%2F%2Fwww.webofscience.com%2Fwos%2Fwoscc%2Ffull-record%2FWOS:000276407300003","View Full Record in Web of Science")</f>
        <v>View Full Record in Web of Science</v>
      </c>
    </row>
    <row r="948" spans="1:72" x14ac:dyDescent="0.15">
      <c r="A948" t="s">
        <v>72</v>
      </c>
      <c r="B948" t="s">
        <v>16667</v>
      </c>
      <c r="C948" t="s">
        <v>74</v>
      </c>
      <c r="D948" t="s">
        <v>74</v>
      </c>
      <c r="E948" t="s">
        <v>74</v>
      </c>
      <c r="F948" t="s">
        <v>16668</v>
      </c>
      <c r="G948" t="s">
        <v>74</v>
      </c>
      <c r="H948" t="s">
        <v>74</v>
      </c>
      <c r="I948" t="s">
        <v>16669</v>
      </c>
      <c r="J948" t="s">
        <v>1174</v>
      </c>
      <c r="K948" t="s">
        <v>74</v>
      </c>
      <c r="L948" t="s">
        <v>74</v>
      </c>
      <c r="M948" t="s">
        <v>78</v>
      </c>
      <c r="N948" t="s">
        <v>79</v>
      </c>
      <c r="O948" t="s">
        <v>74</v>
      </c>
      <c r="P948" t="s">
        <v>74</v>
      </c>
      <c r="Q948" t="s">
        <v>74</v>
      </c>
      <c r="R948" t="s">
        <v>74</v>
      </c>
      <c r="S948" t="s">
        <v>74</v>
      </c>
      <c r="T948" t="s">
        <v>74</v>
      </c>
      <c r="U948" t="s">
        <v>16670</v>
      </c>
      <c r="V948" t="s">
        <v>16671</v>
      </c>
      <c r="W948" t="s">
        <v>16672</v>
      </c>
      <c r="X948" t="s">
        <v>16673</v>
      </c>
      <c r="Y948" t="s">
        <v>16674</v>
      </c>
      <c r="Z948" t="s">
        <v>16675</v>
      </c>
      <c r="AA948" t="s">
        <v>16676</v>
      </c>
      <c r="AB948" t="s">
        <v>16677</v>
      </c>
      <c r="AC948" t="s">
        <v>16678</v>
      </c>
      <c r="AD948" t="s">
        <v>16679</v>
      </c>
      <c r="AE948" t="s">
        <v>16680</v>
      </c>
      <c r="AF948" t="s">
        <v>74</v>
      </c>
      <c r="AG948">
        <v>30</v>
      </c>
      <c r="AH948">
        <v>48</v>
      </c>
      <c r="AI948">
        <v>56</v>
      </c>
      <c r="AJ948">
        <v>0</v>
      </c>
      <c r="AK948">
        <v>14</v>
      </c>
      <c r="AL948" t="s">
        <v>1186</v>
      </c>
      <c r="AM948" t="s">
        <v>1187</v>
      </c>
      <c r="AN948" t="s">
        <v>1188</v>
      </c>
      <c r="AO948" t="s">
        <v>1189</v>
      </c>
      <c r="AP948" t="s">
        <v>1190</v>
      </c>
      <c r="AQ948" t="s">
        <v>74</v>
      </c>
      <c r="AR948" t="s">
        <v>1191</v>
      </c>
      <c r="AS948" t="s">
        <v>1192</v>
      </c>
      <c r="AT948" t="s">
        <v>15251</v>
      </c>
      <c r="AU948">
        <v>2010</v>
      </c>
      <c r="AV948">
        <v>3</v>
      </c>
      <c r="AW948">
        <v>5</v>
      </c>
      <c r="AX948" t="s">
        <v>74</v>
      </c>
      <c r="AY948" t="s">
        <v>74</v>
      </c>
      <c r="AZ948" t="s">
        <v>582</v>
      </c>
      <c r="BA948" t="s">
        <v>74</v>
      </c>
      <c r="BB948">
        <v>327</v>
      </c>
      <c r="BC948">
        <v>331</v>
      </c>
      <c r="BD948" t="s">
        <v>74</v>
      </c>
      <c r="BE948" t="s">
        <v>16681</v>
      </c>
      <c r="BF948" t="str">
        <f>HYPERLINK("http://dx.doi.org/10.1038/NGEO842","http://dx.doi.org/10.1038/NGEO842")</f>
        <v>http://dx.doi.org/10.1038/NGEO842</v>
      </c>
      <c r="BG948" t="s">
        <v>74</v>
      </c>
      <c r="BH948" t="s">
        <v>74</v>
      </c>
      <c r="BI948">
        <v>5</v>
      </c>
      <c r="BJ948" t="s">
        <v>1194</v>
      </c>
      <c r="BK948" t="s">
        <v>100</v>
      </c>
      <c r="BL948" t="s">
        <v>807</v>
      </c>
      <c r="BM948" t="s">
        <v>16682</v>
      </c>
      <c r="BN948" t="s">
        <v>74</v>
      </c>
      <c r="BO948" t="s">
        <v>134</v>
      </c>
      <c r="BP948" t="s">
        <v>74</v>
      </c>
      <c r="BQ948" t="s">
        <v>74</v>
      </c>
      <c r="BR948" t="s">
        <v>104</v>
      </c>
      <c r="BS948" t="s">
        <v>16683</v>
      </c>
      <c r="BT948" t="str">
        <f>HYPERLINK("https%3A%2F%2Fwww.webofscience.com%2Fwos%2Fwoscc%2Ffull-record%2FWOS:000277188500014","View Full Record in Web of Science")</f>
        <v>View Full Record in Web of Science</v>
      </c>
    </row>
    <row r="949" spans="1:72" x14ac:dyDescent="0.15">
      <c r="A949" t="s">
        <v>72</v>
      </c>
      <c r="B949" t="s">
        <v>16684</v>
      </c>
      <c r="C949" t="s">
        <v>74</v>
      </c>
      <c r="D949" t="s">
        <v>74</v>
      </c>
      <c r="E949" t="s">
        <v>74</v>
      </c>
      <c r="F949" t="s">
        <v>16685</v>
      </c>
      <c r="G949" t="s">
        <v>74</v>
      </c>
      <c r="H949" t="s">
        <v>74</v>
      </c>
      <c r="I949" t="s">
        <v>16686</v>
      </c>
      <c r="J949" t="s">
        <v>1174</v>
      </c>
      <c r="K949" t="s">
        <v>74</v>
      </c>
      <c r="L949" t="s">
        <v>74</v>
      </c>
      <c r="M949" t="s">
        <v>78</v>
      </c>
      <c r="N949" t="s">
        <v>79</v>
      </c>
      <c r="O949" t="s">
        <v>74</v>
      </c>
      <c r="P949" t="s">
        <v>74</v>
      </c>
      <c r="Q949" t="s">
        <v>74</v>
      </c>
      <c r="R949" t="s">
        <v>74</v>
      </c>
      <c r="S949" t="s">
        <v>74</v>
      </c>
      <c r="T949" t="s">
        <v>74</v>
      </c>
      <c r="U949" t="s">
        <v>16687</v>
      </c>
      <c r="V949" t="s">
        <v>16688</v>
      </c>
      <c r="W949" t="s">
        <v>16689</v>
      </c>
      <c r="X949" t="s">
        <v>16690</v>
      </c>
      <c r="Y949" t="s">
        <v>16691</v>
      </c>
      <c r="Z949" t="s">
        <v>16692</v>
      </c>
      <c r="AA949" t="s">
        <v>74</v>
      </c>
      <c r="AB949" t="s">
        <v>16693</v>
      </c>
      <c r="AC949" t="s">
        <v>16694</v>
      </c>
      <c r="AD949" t="s">
        <v>16695</v>
      </c>
      <c r="AE949" t="s">
        <v>16696</v>
      </c>
      <c r="AF949" t="s">
        <v>74</v>
      </c>
      <c r="AG949">
        <v>29</v>
      </c>
      <c r="AH949">
        <v>126</v>
      </c>
      <c r="AI949">
        <v>147</v>
      </c>
      <c r="AJ949">
        <v>10</v>
      </c>
      <c r="AK949">
        <v>132</v>
      </c>
      <c r="AL949" t="s">
        <v>1774</v>
      </c>
      <c r="AM949" t="s">
        <v>310</v>
      </c>
      <c r="AN949" t="s">
        <v>3962</v>
      </c>
      <c r="AO949" t="s">
        <v>1189</v>
      </c>
      <c r="AP949" t="s">
        <v>1190</v>
      </c>
      <c r="AQ949" t="s">
        <v>74</v>
      </c>
      <c r="AR949" t="s">
        <v>1191</v>
      </c>
      <c r="AS949" t="s">
        <v>1192</v>
      </c>
      <c r="AT949" t="s">
        <v>15251</v>
      </c>
      <c r="AU949">
        <v>2010</v>
      </c>
      <c r="AV949">
        <v>3</v>
      </c>
      <c r="AW949">
        <v>5</v>
      </c>
      <c r="AX949" t="s">
        <v>74</v>
      </c>
      <c r="AY949" t="s">
        <v>74</v>
      </c>
      <c r="AZ949" t="s">
        <v>582</v>
      </c>
      <c r="BA949" t="s">
        <v>74</v>
      </c>
      <c r="BB949">
        <v>341</v>
      </c>
      <c r="BC949">
        <v>344</v>
      </c>
      <c r="BD949" t="s">
        <v>74</v>
      </c>
      <c r="BE949" t="s">
        <v>16697</v>
      </c>
      <c r="BF949" t="str">
        <f>HYPERLINK("http://dx.doi.org/10.1038/NGEO847","http://dx.doi.org/10.1038/NGEO847")</f>
        <v>http://dx.doi.org/10.1038/NGEO847</v>
      </c>
      <c r="BG949" t="s">
        <v>74</v>
      </c>
      <c r="BH949" t="s">
        <v>74</v>
      </c>
      <c r="BI949">
        <v>4</v>
      </c>
      <c r="BJ949" t="s">
        <v>1194</v>
      </c>
      <c r="BK949" t="s">
        <v>100</v>
      </c>
      <c r="BL949" t="s">
        <v>807</v>
      </c>
      <c r="BM949" t="s">
        <v>16682</v>
      </c>
      <c r="BN949" t="s">
        <v>74</v>
      </c>
      <c r="BO949" t="s">
        <v>74</v>
      </c>
      <c r="BP949" t="s">
        <v>74</v>
      </c>
      <c r="BQ949" t="s">
        <v>74</v>
      </c>
      <c r="BR949" t="s">
        <v>104</v>
      </c>
      <c r="BS949" t="s">
        <v>16698</v>
      </c>
      <c r="BT949" t="str">
        <f>HYPERLINK("https%3A%2F%2Fwww.webofscience.com%2Fwos%2Fwoscc%2Ffull-record%2FWOS:000277188500017","View Full Record in Web of Science")</f>
        <v>View Full Record in Web of Science</v>
      </c>
    </row>
    <row r="950" spans="1:72" x14ac:dyDescent="0.15">
      <c r="A950" t="s">
        <v>72</v>
      </c>
      <c r="B950" t="s">
        <v>16699</v>
      </c>
      <c r="C950" t="s">
        <v>74</v>
      </c>
      <c r="D950" t="s">
        <v>74</v>
      </c>
      <c r="E950" t="s">
        <v>74</v>
      </c>
      <c r="F950" t="s">
        <v>16700</v>
      </c>
      <c r="G950" t="s">
        <v>74</v>
      </c>
      <c r="H950" t="s">
        <v>74</v>
      </c>
      <c r="I950" t="s">
        <v>16701</v>
      </c>
      <c r="J950" t="s">
        <v>16702</v>
      </c>
      <c r="K950" t="s">
        <v>74</v>
      </c>
      <c r="L950" t="s">
        <v>74</v>
      </c>
      <c r="M950" t="s">
        <v>78</v>
      </c>
      <c r="N950" t="s">
        <v>79</v>
      </c>
      <c r="O950" t="s">
        <v>74</v>
      </c>
      <c r="P950" t="s">
        <v>74</v>
      </c>
      <c r="Q950" t="s">
        <v>74</v>
      </c>
      <c r="R950" t="s">
        <v>74</v>
      </c>
      <c r="S950" t="s">
        <v>74</v>
      </c>
      <c r="T950" t="s">
        <v>16703</v>
      </c>
      <c r="U950" t="s">
        <v>16704</v>
      </c>
      <c r="V950" t="s">
        <v>16705</v>
      </c>
      <c r="W950" t="s">
        <v>16706</v>
      </c>
      <c r="X950" t="s">
        <v>16707</v>
      </c>
      <c r="Y950" t="s">
        <v>16708</v>
      </c>
      <c r="Z950" t="s">
        <v>16709</v>
      </c>
      <c r="AA950" t="s">
        <v>16710</v>
      </c>
      <c r="AB950" t="s">
        <v>16711</v>
      </c>
      <c r="AC950" t="s">
        <v>16712</v>
      </c>
      <c r="AD950" t="s">
        <v>16713</v>
      </c>
      <c r="AE950" t="s">
        <v>16714</v>
      </c>
      <c r="AF950" t="s">
        <v>74</v>
      </c>
      <c r="AG950">
        <v>17</v>
      </c>
      <c r="AH950">
        <v>0</v>
      </c>
      <c r="AI950">
        <v>0</v>
      </c>
      <c r="AJ950">
        <v>1</v>
      </c>
      <c r="AK950">
        <v>8</v>
      </c>
      <c r="AL950" t="s">
        <v>16715</v>
      </c>
      <c r="AM950" t="s">
        <v>16716</v>
      </c>
      <c r="AN950" t="s">
        <v>16717</v>
      </c>
      <c r="AO950" t="s">
        <v>16718</v>
      </c>
      <c r="AP950" t="s">
        <v>16719</v>
      </c>
      <c r="AQ950" t="s">
        <v>74</v>
      </c>
      <c r="AR950" t="s">
        <v>16720</v>
      </c>
      <c r="AS950" t="s">
        <v>16721</v>
      </c>
      <c r="AT950" t="s">
        <v>15251</v>
      </c>
      <c r="AU950">
        <v>2010</v>
      </c>
      <c r="AV950">
        <v>4</v>
      </c>
      <c r="AW950">
        <v>5</v>
      </c>
      <c r="AX950" t="s">
        <v>74</v>
      </c>
      <c r="AY950" t="s">
        <v>74</v>
      </c>
      <c r="AZ950" t="s">
        <v>74</v>
      </c>
      <c r="BA950" t="s">
        <v>74</v>
      </c>
      <c r="BB950">
        <v>754</v>
      </c>
      <c r="BC950">
        <v>758</v>
      </c>
      <c r="BD950" t="s">
        <v>74</v>
      </c>
      <c r="BE950" t="s">
        <v>74</v>
      </c>
      <c r="BF950" t="s">
        <v>74</v>
      </c>
      <c r="BG950" t="s">
        <v>74</v>
      </c>
      <c r="BH950" t="s">
        <v>74</v>
      </c>
      <c r="BI950">
        <v>5</v>
      </c>
      <c r="BJ950" t="s">
        <v>16722</v>
      </c>
      <c r="BK950" t="s">
        <v>100</v>
      </c>
      <c r="BL950" t="s">
        <v>16723</v>
      </c>
      <c r="BM950" t="s">
        <v>16724</v>
      </c>
      <c r="BN950" t="s">
        <v>74</v>
      </c>
      <c r="BO950" t="s">
        <v>74</v>
      </c>
      <c r="BP950" t="s">
        <v>74</v>
      </c>
      <c r="BQ950" t="s">
        <v>74</v>
      </c>
      <c r="BR950" t="s">
        <v>104</v>
      </c>
      <c r="BS950" t="s">
        <v>16725</v>
      </c>
      <c r="BT950" t="str">
        <f>HYPERLINK("https%3A%2F%2Fwww.webofscience.com%2Fwos%2Fwoscc%2Ffull-record%2FWOS:000279246000033","View Full Record in Web of Science")</f>
        <v>View Full Record in Web of Science</v>
      </c>
    </row>
    <row r="951" spans="1:72" x14ac:dyDescent="0.15">
      <c r="A951" t="s">
        <v>72</v>
      </c>
      <c r="B951" t="s">
        <v>16726</v>
      </c>
      <c r="C951" t="s">
        <v>74</v>
      </c>
      <c r="D951" t="s">
        <v>74</v>
      </c>
      <c r="E951" t="s">
        <v>74</v>
      </c>
      <c r="F951" t="s">
        <v>16727</v>
      </c>
      <c r="G951" t="s">
        <v>74</v>
      </c>
      <c r="H951" t="s">
        <v>74</v>
      </c>
      <c r="I951" t="s">
        <v>16728</v>
      </c>
      <c r="J951" t="s">
        <v>16702</v>
      </c>
      <c r="K951" t="s">
        <v>74</v>
      </c>
      <c r="L951" t="s">
        <v>74</v>
      </c>
      <c r="M951" t="s">
        <v>78</v>
      </c>
      <c r="N951" t="s">
        <v>79</v>
      </c>
      <c r="O951" t="s">
        <v>74</v>
      </c>
      <c r="P951" t="s">
        <v>74</v>
      </c>
      <c r="Q951" t="s">
        <v>74</v>
      </c>
      <c r="R951" t="s">
        <v>74</v>
      </c>
      <c r="S951" t="s">
        <v>74</v>
      </c>
      <c r="T951" t="s">
        <v>16729</v>
      </c>
      <c r="U951" t="s">
        <v>16730</v>
      </c>
      <c r="V951" t="s">
        <v>16731</v>
      </c>
      <c r="W951" t="s">
        <v>16732</v>
      </c>
      <c r="X951" t="s">
        <v>16733</v>
      </c>
      <c r="Y951" t="s">
        <v>16708</v>
      </c>
      <c r="Z951" t="s">
        <v>16709</v>
      </c>
      <c r="AA951" t="s">
        <v>16734</v>
      </c>
      <c r="AB951" t="s">
        <v>16735</v>
      </c>
      <c r="AC951" t="s">
        <v>16712</v>
      </c>
      <c r="AD951" t="s">
        <v>16713</v>
      </c>
      <c r="AE951" t="s">
        <v>16736</v>
      </c>
      <c r="AF951" t="s">
        <v>74</v>
      </c>
      <c r="AG951">
        <v>18</v>
      </c>
      <c r="AH951">
        <v>2</v>
      </c>
      <c r="AI951">
        <v>2</v>
      </c>
      <c r="AJ951">
        <v>0</v>
      </c>
      <c r="AK951">
        <v>10</v>
      </c>
      <c r="AL951" t="s">
        <v>16715</v>
      </c>
      <c r="AM951" t="s">
        <v>16716</v>
      </c>
      <c r="AN951" t="s">
        <v>16717</v>
      </c>
      <c r="AO951" t="s">
        <v>16718</v>
      </c>
      <c r="AP951" t="s">
        <v>16719</v>
      </c>
      <c r="AQ951" t="s">
        <v>74</v>
      </c>
      <c r="AR951" t="s">
        <v>16720</v>
      </c>
      <c r="AS951" t="s">
        <v>16721</v>
      </c>
      <c r="AT951" t="s">
        <v>15251</v>
      </c>
      <c r="AU951">
        <v>2010</v>
      </c>
      <c r="AV951">
        <v>4</v>
      </c>
      <c r="AW951">
        <v>5</v>
      </c>
      <c r="AX951" t="s">
        <v>74</v>
      </c>
      <c r="AY951" t="s">
        <v>74</v>
      </c>
      <c r="AZ951" t="s">
        <v>74</v>
      </c>
      <c r="BA951" t="s">
        <v>74</v>
      </c>
      <c r="BB951">
        <v>759</v>
      </c>
      <c r="BC951">
        <v>763</v>
      </c>
      <c r="BD951" t="s">
        <v>74</v>
      </c>
      <c r="BE951" t="s">
        <v>74</v>
      </c>
      <c r="BF951" t="s">
        <v>74</v>
      </c>
      <c r="BG951" t="s">
        <v>74</v>
      </c>
      <c r="BH951" t="s">
        <v>74</v>
      </c>
      <c r="BI951">
        <v>5</v>
      </c>
      <c r="BJ951" t="s">
        <v>16722</v>
      </c>
      <c r="BK951" t="s">
        <v>100</v>
      </c>
      <c r="BL951" t="s">
        <v>16723</v>
      </c>
      <c r="BM951" t="s">
        <v>16724</v>
      </c>
      <c r="BN951" t="s">
        <v>74</v>
      </c>
      <c r="BO951" t="s">
        <v>74</v>
      </c>
      <c r="BP951" t="s">
        <v>74</v>
      </c>
      <c r="BQ951" t="s">
        <v>74</v>
      </c>
      <c r="BR951" t="s">
        <v>104</v>
      </c>
      <c r="BS951" t="s">
        <v>16737</v>
      </c>
      <c r="BT951" t="str">
        <f>HYPERLINK("https%3A%2F%2Fwww.webofscience.com%2Fwos%2Fwoscc%2Ffull-record%2FWOS:000279246000034","View Full Record in Web of Science")</f>
        <v>View Full Record in Web of Science</v>
      </c>
    </row>
    <row r="952" spans="1:72" x14ac:dyDescent="0.15">
      <c r="A952" t="s">
        <v>72</v>
      </c>
      <c r="B952" t="s">
        <v>16738</v>
      </c>
      <c r="C952" t="s">
        <v>74</v>
      </c>
      <c r="D952" t="s">
        <v>74</v>
      </c>
      <c r="E952" t="s">
        <v>74</v>
      </c>
      <c r="F952" t="s">
        <v>16739</v>
      </c>
      <c r="G952" t="s">
        <v>74</v>
      </c>
      <c r="H952" t="s">
        <v>74</v>
      </c>
      <c r="I952" t="s">
        <v>16740</v>
      </c>
      <c r="J952" t="s">
        <v>1265</v>
      </c>
      <c r="K952" t="s">
        <v>74</v>
      </c>
      <c r="L952" t="s">
        <v>74</v>
      </c>
      <c r="M952" t="s">
        <v>78</v>
      </c>
      <c r="N952" t="s">
        <v>79</v>
      </c>
      <c r="O952" t="s">
        <v>74</v>
      </c>
      <c r="P952" t="s">
        <v>74</v>
      </c>
      <c r="Q952" t="s">
        <v>74</v>
      </c>
      <c r="R952" t="s">
        <v>74</v>
      </c>
      <c r="S952" t="s">
        <v>74</v>
      </c>
      <c r="T952" t="s">
        <v>16741</v>
      </c>
      <c r="U952" t="s">
        <v>16742</v>
      </c>
      <c r="V952" t="s">
        <v>16743</v>
      </c>
      <c r="W952" t="s">
        <v>16744</v>
      </c>
      <c r="X952" t="s">
        <v>16745</v>
      </c>
      <c r="Y952" t="s">
        <v>16746</v>
      </c>
      <c r="Z952" t="s">
        <v>16747</v>
      </c>
      <c r="AA952" t="s">
        <v>74</v>
      </c>
      <c r="AB952" t="s">
        <v>74</v>
      </c>
      <c r="AC952" t="s">
        <v>16748</v>
      </c>
      <c r="AD952" t="s">
        <v>16749</v>
      </c>
      <c r="AE952" t="s">
        <v>16750</v>
      </c>
      <c r="AF952" t="s">
        <v>74</v>
      </c>
      <c r="AG952">
        <v>15</v>
      </c>
      <c r="AH952">
        <v>13</v>
      </c>
      <c r="AI952">
        <v>17</v>
      </c>
      <c r="AJ952">
        <v>0</v>
      </c>
      <c r="AK952">
        <v>1</v>
      </c>
      <c r="AL952" t="s">
        <v>464</v>
      </c>
      <c r="AM952" t="s">
        <v>310</v>
      </c>
      <c r="AN952" t="s">
        <v>465</v>
      </c>
      <c r="AO952" t="s">
        <v>1277</v>
      </c>
      <c r="AP952" t="s">
        <v>1278</v>
      </c>
      <c r="AQ952" t="s">
        <v>74</v>
      </c>
      <c r="AR952" t="s">
        <v>1279</v>
      </c>
      <c r="AS952" t="s">
        <v>1280</v>
      </c>
      <c r="AT952" t="s">
        <v>15251</v>
      </c>
      <c r="AU952">
        <v>2010</v>
      </c>
      <c r="AV952">
        <v>33</v>
      </c>
      <c r="AW952">
        <v>5</v>
      </c>
      <c r="AX952" t="s">
        <v>74</v>
      </c>
      <c r="AY952" t="s">
        <v>74</v>
      </c>
      <c r="AZ952" t="s">
        <v>74</v>
      </c>
      <c r="BA952" t="s">
        <v>74</v>
      </c>
      <c r="BB952">
        <v>607</v>
      </c>
      <c r="BC952">
        <v>616</v>
      </c>
      <c r="BD952" t="s">
        <v>74</v>
      </c>
      <c r="BE952" t="s">
        <v>16751</v>
      </c>
      <c r="BF952" t="str">
        <f>HYPERLINK("http://dx.doi.org/10.1007/s00300-009-0736-9","http://dx.doi.org/10.1007/s00300-009-0736-9")</f>
        <v>http://dx.doi.org/10.1007/s00300-009-0736-9</v>
      </c>
      <c r="BG952" t="s">
        <v>74</v>
      </c>
      <c r="BH952" t="s">
        <v>74</v>
      </c>
      <c r="BI952">
        <v>10</v>
      </c>
      <c r="BJ952" t="s">
        <v>1282</v>
      </c>
      <c r="BK952" t="s">
        <v>100</v>
      </c>
      <c r="BL952" t="s">
        <v>680</v>
      </c>
      <c r="BM952" t="s">
        <v>16752</v>
      </c>
      <c r="BN952" t="s">
        <v>74</v>
      </c>
      <c r="BO952" t="s">
        <v>74</v>
      </c>
      <c r="BP952" t="s">
        <v>74</v>
      </c>
      <c r="BQ952" t="s">
        <v>74</v>
      </c>
      <c r="BR952" t="s">
        <v>104</v>
      </c>
      <c r="BS952" t="s">
        <v>16753</v>
      </c>
      <c r="BT952" t="str">
        <f>HYPERLINK("https%3A%2F%2Fwww.webofscience.com%2Fwos%2Fwoscc%2Ffull-record%2FWOS:000276615400004","View Full Record in Web of Science")</f>
        <v>View Full Record in Web of Science</v>
      </c>
    </row>
    <row r="953" spans="1:72" x14ac:dyDescent="0.15">
      <c r="A953" t="s">
        <v>72</v>
      </c>
      <c r="B953" t="s">
        <v>16754</v>
      </c>
      <c r="C953" t="s">
        <v>74</v>
      </c>
      <c r="D953" t="s">
        <v>74</v>
      </c>
      <c r="E953" t="s">
        <v>74</v>
      </c>
      <c r="F953" t="s">
        <v>16755</v>
      </c>
      <c r="G953" t="s">
        <v>74</v>
      </c>
      <c r="H953" t="s">
        <v>74</v>
      </c>
      <c r="I953" t="s">
        <v>16756</v>
      </c>
      <c r="J953" t="s">
        <v>1265</v>
      </c>
      <c r="K953" t="s">
        <v>74</v>
      </c>
      <c r="L953" t="s">
        <v>74</v>
      </c>
      <c r="M953" t="s">
        <v>78</v>
      </c>
      <c r="N953" t="s">
        <v>79</v>
      </c>
      <c r="O953" t="s">
        <v>74</v>
      </c>
      <c r="P953" t="s">
        <v>74</v>
      </c>
      <c r="Q953" t="s">
        <v>74</v>
      </c>
      <c r="R953" t="s">
        <v>74</v>
      </c>
      <c r="S953" t="s">
        <v>74</v>
      </c>
      <c r="T953" t="s">
        <v>16757</v>
      </c>
      <c r="U953" t="s">
        <v>16758</v>
      </c>
      <c r="V953" t="s">
        <v>16759</v>
      </c>
      <c r="W953" t="s">
        <v>16760</v>
      </c>
      <c r="X953" t="s">
        <v>16761</v>
      </c>
      <c r="Y953" t="s">
        <v>16762</v>
      </c>
      <c r="Z953" t="s">
        <v>16763</v>
      </c>
      <c r="AA953" t="s">
        <v>16764</v>
      </c>
      <c r="AB953" t="s">
        <v>16765</v>
      </c>
      <c r="AC953" t="s">
        <v>16766</v>
      </c>
      <c r="AD953" t="s">
        <v>2267</v>
      </c>
      <c r="AE953" t="s">
        <v>16767</v>
      </c>
      <c r="AF953" t="s">
        <v>74</v>
      </c>
      <c r="AG953">
        <v>32</v>
      </c>
      <c r="AH953">
        <v>7</v>
      </c>
      <c r="AI953">
        <v>8</v>
      </c>
      <c r="AJ953">
        <v>0</v>
      </c>
      <c r="AK953">
        <v>15</v>
      </c>
      <c r="AL953" t="s">
        <v>464</v>
      </c>
      <c r="AM953" t="s">
        <v>310</v>
      </c>
      <c r="AN953" t="s">
        <v>971</v>
      </c>
      <c r="AO953" t="s">
        <v>1277</v>
      </c>
      <c r="AP953" t="s">
        <v>1278</v>
      </c>
      <c r="AQ953" t="s">
        <v>74</v>
      </c>
      <c r="AR953" t="s">
        <v>1279</v>
      </c>
      <c r="AS953" t="s">
        <v>1280</v>
      </c>
      <c r="AT953" t="s">
        <v>15251</v>
      </c>
      <c r="AU953">
        <v>2010</v>
      </c>
      <c r="AV953">
        <v>33</v>
      </c>
      <c r="AW953">
        <v>5</v>
      </c>
      <c r="AX953" t="s">
        <v>74</v>
      </c>
      <c r="AY953" t="s">
        <v>74</v>
      </c>
      <c r="AZ953" t="s">
        <v>74</v>
      </c>
      <c r="BA953" t="s">
        <v>74</v>
      </c>
      <c r="BB953">
        <v>617</v>
      </c>
      <c r="BC953">
        <v>626</v>
      </c>
      <c r="BD953" t="s">
        <v>74</v>
      </c>
      <c r="BE953" t="s">
        <v>16768</v>
      </c>
      <c r="BF953" t="str">
        <f>HYPERLINK("http://dx.doi.org/10.1007/s00300-009-0737-8","http://dx.doi.org/10.1007/s00300-009-0737-8")</f>
        <v>http://dx.doi.org/10.1007/s00300-009-0737-8</v>
      </c>
      <c r="BG953" t="s">
        <v>74</v>
      </c>
      <c r="BH953" t="s">
        <v>74</v>
      </c>
      <c r="BI953">
        <v>10</v>
      </c>
      <c r="BJ953" t="s">
        <v>1282</v>
      </c>
      <c r="BK953" t="s">
        <v>100</v>
      </c>
      <c r="BL953" t="s">
        <v>680</v>
      </c>
      <c r="BM953" t="s">
        <v>16752</v>
      </c>
      <c r="BN953" t="s">
        <v>74</v>
      </c>
      <c r="BO953" t="s">
        <v>74</v>
      </c>
      <c r="BP953" t="s">
        <v>74</v>
      </c>
      <c r="BQ953" t="s">
        <v>74</v>
      </c>
      <c r="BR953" t="s">
        <v>104</v>
      </c>
      <c r="BS953" t="s">
        <v>16769</v>
      </c>
      <c r="BT953" t="str">
        <f>HYPERLINK("https%3A%2F%2Fwww.webofscience.com%2Fwos%2Fwoscc%2Ffull-record%2FWOS:000276615400005","View Full Record in Web of Science")</f>
        <v>View Full Record in Web of Science</v>
      </c>
    </row>
    <row r="954" spans="1:72" x14ac:dyDescent="0.15">
      <c r="A954" t="s">
        <v>72</v>
      </c>
      <c r="B954" t="s">
        <v>16770</v>
      </c>
      <c r="C954" t="s">
        <v>74</v>
      </c>
      <c r="D954" t="s">
        <v>74</v>
      </c>
      <c r="E954" t="s">
        <v>74</v>
      </c>
      <c r="F954" t="s">
        <v>16771</v>
      </c>
      <c r="G954" t="s">
        <v>74</v>
      </c>
      <c r="H954" t="s">
        <v>74</v>
      </c>
      <c r="I954" t="s">
        <v>16772</v>
      </c>
      <c r="J954" t="s">
        <v>1265</v>
      </c>
      <c r="K954" t="s">
        <v>74</v>
      </c>
      <c r="L954" t="s">
        <v>74</v>
      </c>
      <c r="M954" t="s">
        <v>78</v>
      </c>
      <c r="N954" t="s">
        <v>79</v>
      </c>
      <c r="O954" t="s">
        <v>74</v>
      </c>
      <c r="P954" t="s">
        <v>74</v>
      </c>
      <c r="Q954" t="s">
        <v>74</v>
      </c>
      <c r="R954" t="s">
        <v>74</v>
      </c>
      <c r="S954" t="s">
        <v>74</v>
      </c>
      <c r="T954" t="s">
        <v>16773</v>
      </c>
      <c r="U954" t="s">
        <v>16774</v>
      </c>
      <c r="V954" t="s">
        <v>16775</v>
      </c>
      <c r="W954" t="s">
        <v>16776</v>
      </c>
      <c r="X954" t="s">
        <v>16777</v>
      </c>
      <c r="Y954" t="s">
        <v>9198</v>
      </c>
      <c r="Z954" t="s">
        <v>16778</v>
      </c>
      <c r="AA954" t="s">
        <v>16779</v>
      </c>
      <c r="AB954" t="s">
        <v>16780</v>
      </c>
      <c r="AC954" t="s">
        <v>16781</v>
      </c>
      <c r="AD954" t="s">
        <v>16782</v>
      </c>
      <c r="AE954" t="s">
        <v>16783</v>
      </c>
      <c r="AF954" t="s">
        <v>74</v>
      </c>
      <c r="AG954">
        <v>45</v>
      </c>
      <c r="AH954">
        <v>6</v>
      </c>
      <c r="AI954">
        <v>8</v>
      </c>
      <c r="AJ954">
        <v>0</v>
      </c>
      <c r="AK954">
        <v>6</v>
      </c>
      <c r="AL954" t="s">
        <v>464</v>
      </c>
      <c r="AM954" t="s">
        <v>310</v>
      </c>
      <c r="AN954" t="s">
        <v>465</v>
      </c>
      <c r="AO954" t="s">
        <v>1277</v>
      </c>
      <c r="AP954" t="s">
        <v>1278</v>
      </c>
      <c r="AQ954" t="s">
        <v>74</v>
      </c>
      <c r="AR954" t="s">
        <v>1279</v>
      </c>
      <c r="AS954" t="s">
        <v>1280</v>
      </c>
      <c r="AT954" t="s">
        <v>15251</v>
      </c>
      <c r="AU954">
        <v>2010</v>
      </c>
      <c r="AV954">
        <v>33</v>
      </c>
      <c r="AW954">
        <v>5</v>
      </c>
      <c r="AX954" t="s">
        <v>74</v>
      </c>
      <c r="AY954" t="s">
        <v>74</v>
      </c>
      <c r="AZ954" t="s">
        <v>74</v>
      </c>
      <c r="BA954" t="s">
        <v>74</v>
      </c>
      <c r="BB954">
        <v>627</v>
      </c>
      <c r="BC954">
        <v>634</v>
      </c>
      <c r="BD954" t="s">
        <v>74</v>
      </c>
      <c r="BE954" t="s">
        <v>16784</v>
      </c>
      <c r="BF954" t="str">
        <f>HYPERLINK("http://dx.doi.org/10.1007/s00300-009-0738-7","http://dx.doi.org/10.1007/s00300-009-0738-7")</f>
        <v>http://dx.doi.org/10.1007/s00300-009-0738-7</v>
      </c>
      <c r="BG954" t="s">
        <v>74</v>
      </c>
      <c r="BH954" t="s">
        <v>74</v>
      </c>
      <c r="BI954">
        <v>8</v>
      </c>
      <c r="BJ954" t="s">
        <v>1282</v>
      </c>
      <c r="BK954" t="s">
        <v>100</v>
      </c>
      <c r="BL954" t="s">
        <v>680</v>
      </c>
      <c r="BM954" t="s">
        <v>16752</v>
      </c>
      <c r="BN954" t="s">
        <v>74</v>
      </c>
      <c r="BO954" t="s">
        <v>74</v>
      </c>
      <c r="BP954" t="s">
        <v>74</v>
      </c>
      <c r="BQ954" t="s">
        <v>74</v>
      </c>
      <c r="BR954" t="s">
        <v>104</v>
      </c>
      <c r="BS954" t="s">
        <v>16785</v>
      </c>
      <c r="BT954" t="str">
        <f>HYPERLINK("https%3A%2F%2Fwww.webofscience.com%2Fwos%2Fwoscc%2Ffull-record%2FWOS:000276615400006","View Full Record in Web of Science")</f>
        <v>View Full Record in Web of Science</v>
      </c>
    </row>
    <row r="955" spans="1:72" x14ac:dyDescent="0.15">
      <c r="A955" t="s">
        <v>72</v>
      </c>
      <c r="B955" t="s">
        <v>16786</v>
      </c>
      <c r="C955" t="s">
        <v>74</v>
      </c>
      <c r="D955" t="s">
        <v>74</v>
      </c>
      <c r="E955" t="s">
        <v>74</v>
      </c>
      <c r="F955" t="s">
        <v>16787</v>
      </c>
      <c r="G955" t="s">
        <v>74</v>
      </c>
      <c r="H955" t="s">
        <v>74</v>
      </c>
      <c r="I955" t="s">
        <v>16788</v>
      </c>
      <c r="J955" t="s">
        <v>1265</v>
      </c>
      <c r="K955" t="s">
        <v>74</v>
      </c>
      <c r="L955" t="s">
        <v>74</v>
      </c>
      <c r="M955" t="s">
        <v>78</v>
      </c>
      <c r="N955" t="s">
        <v>79</v>
      </c>
      <c r="O955" t="s">
        <v>74</v>
      </c>
      <c r="P955" t="s">
        <v>74</v>
      </c>
      <c r="Q955" t="s">
        <v>74</v>
      </c>
      <c r="R955" t="s">
        <v>74</v>
      </c>
      <c r="S955" t="s">
        <v>74</v>
      </c>
      <c r="T955" t="s">
        <v>16789</v>
      </c>
      <c r="U955" t="s">
        <v>16790</v>
      </c>
      <c r="V955" t="s">
        <v>16791</v>
      </c>
      <c r="W955" t="s">
        <v>16792</v>
      </c>
      <c r="X955" t="s">
        <v>16793</v>
      </c>
      <c r="Y955" t="s">
        <v>16794</v>
      </c>
      <c r="Z955" t="s">
        <v>11030</v>
      </c>
      <c r="AA955" t="s">
        <v>16795</v>
      </c>
      <c r="AB955" t="s">
        <v>16796</v>
      </c>
      <c r="AC955" t="s">
        <v>16797</v>
      </c>
      <c r="AD955" t="s">
        <v>16797</v>
      </c>
      <c r="AE955" t="s">
        <v>16798</v>
      </c>
      <c r="AF955" t="s">
        <v>74</v>
      </c>
      <c r="AG955">
        <v>37</v>
      </c>
      <c r="AH955">
        <v>103</v>
      </c>
      <c r="AI955">
        <v>111</v>
      </c>
      <c r="AJ955">
        <v>6</v>
      </c>
      <c r="AK955">
        <v>36</v>
      </c>
      <c r="AL955" t="s">
        <v>464</v>
      </c>
      <c r="AM955" t="s">
        <v>310</v>
      </c>
      <c r="AN955" t="s">
        <v>971</v>
      </c>
      <c r="AO955" t="s">
        <v>1277</v>
      </c>
      <c r="AP955" t="s">
        <v>1278</v>
      </c>
      <c r="AQ955" t="s">
        <v>74</v>
      </c>
      <c r="AR955" t="s">
        <v>1279</v>
      </c>
      <c r="AS955" t="s">
        <v>1280</v>
      </c>
      <c r="AT955" t="s">
        <v>15251</v>
      </c>
      <c r="AU955">
        <v>2010</v>
      </c>
      <c r="AV955">
        <v>33</v>
      </c>
      <c r="AW955">
        <v>5</v>
      </c>
      <c r="AX955" t="s">
        <v>74</v>
      </c>
      <c r="AY955" t="s">
        <v>74</v>
      </c>
      <c r="AZ955" t="s">
        <v>74</v>
      </c>
      <c r="BA955" t="s">
        <v>74</v>
      </c>
      <c r="BB955">
        <v>641</v>
      </c>
      <c r="BC955">
        <v>648</v>
      </c>
      <c r="BD955" t="s">
        <v>74</v>
      </c>
      <c r="BE955" t="s">
        <v>16799</v>
      </c>
      <c r="BF955" t="str">
        <f>HYPERLINK("http://dx.doi.org/10.1007/s00300-009-0740-0","http://dx.doi.org/10.1007/s00300-009-0740-0")</f>
        <v>http://dx.doi.org/10.1007/s00300-009-0740-0</v>
      </c>
      <c r="BG955" t="s">
        <v>74</v>
      </c>
      <c r="BH955" t="s">
        <v>74</v>
      </c>
      <c r="BI955">
        <v>8</v>
      </c>
      <c r="BJ955" t="s">
        <v>1282</v>
      </c>
      <c r="BK955" t="s">
        <v>100</v>
      </c>
      <c r="BL955" t="s">
        <v>680</v>
      </c>
      <c r="BM955" t="s">
        <v>16752</v>
      </c>
      <c r="BN955" t="s">
        <v>74</v>
      </c>
      <c r="BO955" t="s">
        <v>631</v>
      </c>
      <c r="BP955" t="s">
        <v>74</v>
      </c>
      <c r="BQ955" t="s">
        <v>74</v>
      </c>
      <c r="BR955" t="s">
        <v>104</v>
      </c>
      <c r="BS955" t="s">
        <v>16800</v>
      </c>
      <c r="BT955" t="str">
        <f>HYPERLINK("https%3A%2F%2Fwww.webofscience.com%2Fwos%2Fwoscc%2Ffull-record%2FWOS:000276615400008","View Full Record in Web of Science")</f>
        <v>View Full Record in Web of Science</v>
      </c>
    </row>
    <row r="956" spans="1:72" x14ac:dyDescent="0.15">
      <c r="A956" t="s">
        <v>72</v>
      </c>
      <c r="B956" t="s">
        <v>16801</v>
      </c>
      <c r="C956" t="s">
        <v>74</v>
      </c>
      <c r="D956" t="s">
        <v>74</v>
      </c>
      <c r="E956" t="s">
        <v>74</v>
      </c>
      <c r="F956" t="s">
        <v>16802</v>
      </c>
      <c r="G956" t="s">
        <v>74</v>
      </c>
      <c r="H956" t="s">
        <v>74</v>
      </c>
      <c r="I956" t="s">
        <v>16803</v>
      </c>
      <c r="J956" t="s">
        <v>1265</v>
      </c>
      <c r="K956" t="s">
        <v>74</v>
      </c>
      <c r="L956" t="s">
        <v>74</v>
      </c>
      <c r="M956" t="s">
        <v>78</v>
      </c>
      <c r="N956" t="s">
        <v>79</v>
      </c>
      <c r="O956" t="s">
        <v>74</v>
      </c>
      <c r="P956" t="s">
        <v>74</v>
      </c>
      <c r="Q956" t="s">
        <v>74</v>
      </c>
      <c r="R956" t="s">
        <v>74</v>
      </c>
      <c r="S956" t="s">
        <v>74</v>
      </c>
      <c r="T956" t="s">
        <v>16804</v>
      </c>
      <c r="U956" t="s">
        <v>16805</v>
      </c>
      <c r="V956" t="s">
        <v>16806</v>
      </c>
      <c r="W956" t="s">
        <v>16807</v>
      </c>
      <c r="X956" t="s">
        <v>11286</v>
      </c>
      <c r="Y956" t="s">
        <v>16808</v>
      </c>
      <c r="Z956" t="s">
        <v>16809</v>
      </c>
      <c r="AA956" t="s">
        <v>11271</v>
      </c>
      <c r="AB956" t="s">
        <v>16810</v>
      </c>
      <c r="AC956" t="s">
        <v>16811</v>
      </c>
      <c r="AD956" t="s">
        <v>16812</v>
      </c>
      <c r="AE956" t="s">
        <v>16813</v>
      </c>
      <c r="AF956" t="s">
        <v>74</v>
      </c>
      <c r="AG956">
        <v>50</v>
      </c>
      <c r="AH956">
        <v>22</v>
      </c>
      <c r="AI956">
        <v>23</v>
      </c>
      <c r="AJ956">
        <v>0</v>
      </c>
      <c r="AK956">
        <v>13</v>
      </c>
      <c r="AL956" t="s">
        <v>464</v>
      </c>
      <c r="AM956" t="s">
        <v>310</v>
      </c>
      <c r="AN956" t="s">
        <v>465</v>
      </c>
      <c r="AO956" t="s">
        <v>1277</v>
      </c>
      <c r="AP956" t="s">
        <v>74</v>
      </c>
      <c r="AQ956" t="s">
        <v>74</v>
      </c>
      <c r="AR956" t="s">
        <v>1279</v>
      </c>
      <c r="AS956" t="s">
        <v>1280</v>
      </c>
      <c r="AT956" t="s">
        <v>15251</v>
      </c>
      <c r="AU956">
        <v>2010</v>
      </c>
      <c r="AV956">
        <v>33</v>
      </c>
      <c r="AW956">
        <v>5</v>
      </c>
      <c r="AX956" t="s">
        <v>74</v>
      </c>
      <c r="AY956" t="s">
        <v>74</v>
      </c>
      <c r="AZ956" t="s">
        <v>74</v>
      </c>
      <c r="BA956" t="s">
        <v>74</v>
      </c>
      <c r="BB956">
        <v>649</v>
      </c>
      <c r="BC956">
        <v>658</v>
      </c>
      <c r="BD956" t="s">
        <v>74</v>
      </c>
      <c r="BE956" t="s">
        <v>16814</v>
      </c>
      <c r="BF956" t="str">
        <f>HYPERLINK("http://dx.doi.org/10.1007/s00300-009-0741-z","http://dx.doi.org/10.1007/s00300-009-0741-z")</f>
        <v>http://dx.doi.org/10.1007/s00300-009-0741-z</v>
      </c>
      <c r="BG956" t="s">
        <v>74</v>
      </c>
      <c r="BH956" t="s">
        <v>74</v>
      </c>
      <c r="BI956">
        <v>10</v>
      </c>
      <c r="BJ956" t="s">
        <v>1282</v>
      </c>
      <c r="BK956" t="s">
        <v>100</v>
      </c>
      <c r="BL956" t="s">
        <v>680</v>
      </c>
      <c r="BM956" t="s">
        <v>16752</v>
      </c>
      <c r="BN956" t="s">
        <v>74</v>
      </c>
      <c r="BO956" t="s">
        <v>74</v>
      </c>
      <c r="BP956" t="s">
        <v>74</v>
      </c>
      <c r="BQ956" t="s">
        <v>74</v>
      </c>
      <c r="BR956" t="s">
        <v>104</v>
      </c>
      <c r="BS956" t="s">
        <v>16815</v>
      </c>
      <c r="BT956" t="str">
        <f>HYPERLINK("https%3A%2F%2Fwww.webofscience.com%2Fwos%2Fwoscc%2Ffull-record%2FWOS:000276615400009","View Full Record in Web of Science")</f>
        <v>View Full Record in Web of Science</v>
      </c>
    </row>
    <row r="957" spans="1:72" x14ac:dyDescent="0.15">
      <c r="A957" t="s">
        <v>72</v>
      </c>
      <c r="B957" t="s">
        <v>16816</v>
      </c>
      <c r="C957" t="s">
        <v>74</v>
      </c>
      <c r="D957" t="s">
        <v>74</v>
      </c>
      <c r="E957" t="s">
        <v>74</v>
      </c>
      <c r="F957" t="s">
        <v>16817</v>
      </c>
      <c r="G957" t="s">
        <v>74</v>
      </c>
      <c r="H957" t="s">
        <v>74</v>
      </c>
      <c r="I957" t="s">
        <v>16818</v>
      </c>
      <c r="J957" t="s">
        <v>1265</v>
      </c>
      <c r="K957" t="s">
        <v>74</v>
      </c>
      <c r="L957" t="s">
        <v>74</v>
      </c>
      <c r="M957" t="s">
        <v>78</v>
      </c>
      <c r="N957" t="s">
        <v>79</v>
      </c>
      <c r="O957" t="s">
        <v>74</v>
      </c>
      <c r="P957" t="s">
        <v>74</v>
      </c>
      <c r="Q957" t="s">
        <v>74</v>
      </c>
      <c r="R957" t="s">
        <v>74</v>
      </c>
      <c r="S957" t="s">
        <v>74</v>
      </c>
      <c r="T957" t="s">
        <v>16819</v>
      </c>
      <c r="U957" t="s">
        <v>16820</v>
      </c>
      <c r="V957" t="s">
        <v>16821</v>
      </c>
      <c r="W957" t="s">
        <v>16822</v>
      </c>
      <c r="X957" t="s">
        <v>16823</v>
      </c>
      <c r="Y957" t="s">
        <v>16824</v>
      </c>
      <c r="Z957" t="s">
        <v>16825</v>
      </c>
      <c r="AA957" t="s">
        <v>74</v>
      </c>
      <c r="AB957" t="s">
        <v>74</v>
      </c>
      <c r="AC957" t="s">
        <v>16826</v>
      </c>
      <c r="AD957" t="s">
        <v>16827</v>
      </c>
      <c r="AE957" t="s">
        <v>16828</v>
      </c>
      <c r="AF957" t="s">
        <v>74</v>
      </c>
      <c r="AG957">
        <v>25</v>
      </c>
      <c r="AH957">
        <v>10</v>
      </c>
      <c r="AI957">
        <v>11</v>
      </c>
      <c r="AJ957">
        <v>0</v>
      </c>
      <c r="AK957">
        <v>1</v>
      </c>
      <c r="AL957" t="s">
        <v>464</v>
      </c>
      <c r="AM957" t="s">
        <v>310</v>
      </c>
      <c r="AN957" t="s">
        <v>465</v>
      </c>
      <c r="AO957" t="s">
        <v>1277</v>
      </c>
      <c r="AP957" t="s">
        <v>1278</v>
      </c>
      <c r="AQ957" t="s">
        <v>74</v>
      </c>
      <c r="AR957" t="s">
        <v>1279</v>
      </c>
      <c r="AS957" t="s">
        <v>1280</v>
      </c>
      <c r="AT957" t="s">
        <v>15251</v>
      </c>
      <c r="AU957">
        <v>2010</v>
      </c>
      <c r="AV957">
        <v>33</v>
      </c>
      <c r="AW957">
        <v>5</v>
      </c>
      <c r="AX957" t="s">
        <v>74</v>
      </c>
      <c r="AY957" t="s">
        <v>74</v>
      </c>
      <c r="AZ957" t="s">
        <v>74</v>
      </c>
      <c r="BA957" t="s">
        <v>74</v>
      </c>
      <c r="BB957">
        <v>659</v>
      </c>
      <c r="BC957">
        <v>672</v>
      </c>
      <c r="BD957" t="s">
        <v>74</v>
      </c>
      <c r="BE957" t="s">
        <v>16829</v>
      </c>
      <c r="BF957" t="str">
        <f>HYPERLINK("http://dx.doi.org/10.1007/s00300-009-0742-y","http://dx.doi.org/10.1007/s00300-009-0742-y")</f>
        <v>http://dx.doi.org/10.1007/s00300-009-0742-y</v>
      </c>
      <c r="BG957" t="s">
        <v>74</v>
      </c>
      <c r="BH957" t="s">
        <v>74</v>
      </c>
      <c r="BI957">
        <v>14</v>
      </c>
      <c r="BJ957" t="s">
        <v>1282</v>
      </c>
      <c r="BK957" t="s">
        <v>100</v>
      </c>
      <c r="BL957" t="s">
        <v>680</v>
      </c>
      <c r="BM957" t="s">
        <v>16752</v>
      </c>
      <c r="BN957" t="s">
        <v>74</v>
      </c>
      <c r="BO957" t="s">
        <v>74</v>
      </c>
      <c r="BP957" t="s">
        <v>74</v>
      </c>
      <c r="BQ957" t="s">
        <v>74</v>
      </c>
      <c r="BR957" t="s">
        <v>104</v>
      </c>
      <c r="BS957" t="s">
        <v>16830</v>
      </c>
      <c r="BT957" t="str">
        <f>HYPERLINK("https%3A%2F%2Fwww.webofscience.com%2Fwos%2Fwoscc%2Ffull-record%2FWOS:000276615400010","View Full Record in Web of Science")</f>
        <v>View Full Record in Web of Science</v>
      </c>
    </row>
    <row r="958" spans="1:72" x14ac:dyDescent="0.15">
      <c r="A958" t="s">
        <v>72</v>
      </c>
      <c r="B958" t="s">
        <v>16831</v>
      </c>
      <c r="C958" t="s">
        <v>74</v>
      </c>
      <c r="D958" t="s">
        <v>74</v>
      </c>
      <c r="E958" t="s">
        <v>74</v>
      </c>
      <c r="F958" t="s">
        <v>16832</v>
      </c>
      <c r="G958" t="s">
        <v>74</v>
      </c>
      <c r="H958" t="s">
        <v>74</v>
      </c>
      <c r="I958" t="s">
        <v>16833</v>
      </c>
      <c r="J958" t="s">
        <v>1265</v>
      </c>
      <c r="K958" t="s">
        <v>74</v>
      </c>
      <c r="L958" t="s">
        <v>74</v>
      </c>
      <c r="M958" t="s">
        <v>78</v>
      </c>
      <c r="N958" t="s">
        <v>79</v>
      </c>
      <c r="O958" t="s">
        <v>74</v>
      </c>
      <c r="P958" t="s">
        <v>74</v>
      </c>
      <c r="Q958" t="s">
        <v>74</v>
      </c>
      <c r="R958" t="s">
        <v>74</v>
      </c>
      <c r="S958" t="s">
        <v>74</v>
      </c>
      <c r="T958" t="s">
        <v>16834</v>
      </c>
      <c r="U958" t="s">
        <v>16835</v>
      </c>
      <c r="V958" t="s">
        <v>16836</v>
      </c>
      <c r="W958" t="s">
        <v>16837</v>
      </c>
      <c r="X958" t="s">
        <v>16838</v>
      </c>
      <c r="Y958" t="s">
        <v>16839</v>
      </c>
      <c r="Z958" t="s">
        <v>16840</v>
      </c>
      <c r="AA958" t="s">
        <v>16841</v>
      </c>
      <c r="AB958" t="s">
        <v>16842</v>
      </c>
      <c r="AC958" t="s">
        <v>16843</v>
      </c>
      <c r="AD958" t="s">
        <v>16844</v>
      </c>
      <c r="AE958" t="s">
        <v>16845</v>
      </c>
      <c r="AF958" t="s">
        <v>74</v>
      </c>
      <c r="AG958">
        <v>42</v>
      </c>
      <c r="AH958">
        <v>11</v>
      </c>
      <c r="AI958">
        <v>12</v>
      </c>
      <c r="AJ958">
        <v>1</v>
      </c>
      <c r="AK958">
        <v>14</v>
      </c>
      <c r="AL958" t="s">
        <v>464</v>
      </c>
      <c r="AM958" t="s">
        <v>310</v>
      </c>
      <c r="AN958" t="s">
        <v>465</v>
      </c>
      <c r="AO958" t="s">
        <v>1277</v>
      </c>
      <c r="AP958" t="s">
        <v>1278</v>
      </c>
      <c r="AQ958" t="s">
        <v>74</v>
      </c>
      <c r="AR958" t="s">
        <v>1279</v>
      </c>
      <c r="AS958" t="s">
        <v>1280</v>
      </c>
      <c r="AT958" t="s">
        <v>15251</v>
      </c>
      <c r="AU958">
        <v>2010</v>
      </c>
      <c r="AV958">
        <v>33</v>
      </c>
      <c r="AW958">
        <v>5</v>
      </c>
      <c r="AX958" t="s">
        <v>74</v>
      </c>
      <c r="AY958" t="s">
        <v>74</v>
      </c>
      <c r="AZ958" t="s">
        <v>74</v>
      </c>
      <c r="BA958" t="s">
        <v>74</v>
      </c>
      <c r="BB958">
        <v>673</v>
      </c>
      <c r="BC958">
        <v>682</v>
      </c>
      <c r="BD958" t="s">
        <v>74</v>
      </c>
      <c r="BE958" t="s">
        <v>16846</v>
      </c>
      <c r="BF958" t="str">
        <f>HYPERLINK("http://dx.doi.org/10.1007/s00300-009-0743-x","http://dx.doi.org/10.1007/s00300-009-0743-x")</f>
        <v>http://dx.doi.org/10.1007/s00300-009-0743-x</v>
      </c>
      <c r="BG958" t="s">
        <v>74</v>
      </c>
      <c r="BH958" t="s">
        <v>74</v>
      </c>
      <c r="BI958">
        <v>10</v>
      </c>
      <c r="BJ958" t="s">
        <v>1282</v>
      </c>
      <c r="BK958" t="s">
        <v>100</v>
      </c>
      <c r="BL958" t="s">
        <v>680</v>
      </c>
      <c r="BM958" t="s">
        <v>16752</v>
      </c>
      <c r="BN958" t="s">
        <v>74</v>
      </c>
      <c r="BO958" t="s">
        <v>74</v>
      </c>
      <c r="BP958" t="s">
        <v>74</v>
      </c>
      <c r="BQ958" t="s">
        <v>74</v>
      </c>
      <c r="BR958" t="s">
        <v>104</v>
      </c>
      <c r="BS958" t="s">
        <v>16847</v>
      </c>
      <c r="BT958" t="str">
        <f>HYPERLINK("https%3A%2F%2Fwww.webofscience.com%2Fwos%2Fwoscc%2Ffull-record%2FWOS:000276615400011","View Full Record in Web of Science")</f>
        <v>View Full Record in Web of Science</v>
      </c>
    </row>
    <row r="959" spans="1:72" x14ac:dyDescent="0.15">
      <c r="A959" t="s">
        <v>72</v>
      </c>
      <c r="B959" t="s">
        <v>16848</v>
      </c>
      <c r="C959" t="s">
        <v>74</v>
      </c>
      <c r="D959" t="s">
        <v>74</v>
      </c>
      <c r="E959" t="s">
        <v>74</v>
      </c>
      <c r="F959" t="s">
        <v>16849</v>
      </c>
      <c r="G959" t="s">
        <v>74</v>
      </c>
      <c r="H959" t="s">
        <v>74</v>
      </c>
      <c r="I959" t="s">
        <v>16850</v>
      </c>
      <c r="J959" t="s">
        <v>1265</v>
      </c>
      <c r="K959" t="s">
        <v>74</v>
      </c>
      <c r="L959" t="s">
        <v>74</v>
      </c>
      <c r="M959" t="s">
        <v>78</v>
      </c>
      <c r="N959" t="s">
        <v>79</v>
      </c>
      <c r="O959" t="s">
        <v>74</v>
      </c>
      <c r="P959" t="s">
        <v>74</v>
      </c>
      <c r="Q959" t="s">
        <v>74</v>
      </c>
      <c r="R959" t="s">
        <v>74</v>
      </c>
      <c r="S959" t="s">
        <v>74</v>
      </c>
      <c r="T959" t="s">
        <v>16851</v>
      </c>
      <c r="U959" t="s">
        <v>16852</v>
      </c>
      <c r="V959" t="s">
        <v>16853</v>
      </c>
      <c r="W959" t="s">
        <v>16854</v>
      </c>
      <c r="X959" t="s">
        <v>16855</v>
      </c>
      <c r="Y959" t="s">
        <v>4063</v>
      </c>
      <c r="Z959" t="s">
        <v>4064</v>
      </c>
      <c r="AA959" t="s">
        <v>16856</v>
      </c>
      <c r="AB959" t="s">
        <v>16857</v>
      </c>
      <c r="AC959" t="s">
        <v>16858</v>
      </c>
      <c r="AD959" t="s">
        <v>16859</v>
      </c>
      <c r="AE959" t="s">
        <v>16860</v>
      </c>
      <c r="AF959" t="s">
        <v>74</v>
      </c>
      <c r="AG959">
        <v>55</v>
      </c>
      <c r="AH959">
        <v>30</v>
      </c>
      <c r="AI959">
        <v>35</v>
      </c>
      <c r="AJ959">
        <v>2</v>
      </c>
      <c r="AK959">
        <v>27</v>
      </c>
      <c r="AL959" t="s">
        <v>464</v>
      </c>
      <c r="AM959" t="s">
        <v>310</v>
      </c>
      <c r="AN959" t="s">
        <v>465</v>
      </c>
      <c r="AO959" t="s">
        <v>1277</v>
      </c>
      <c r="AP959" t="s">
        <v>1278</v>
      </c>
      <c r="AQ959" t="s">
        <v>74</v>
      </c>
      <c r="AR959" t="s">
        <v>1279</v>
      </c>
      <c r="AS959" t="s">
        <v>1280</v>
      </c>
      <c r="AT959" t="s">
        <v>15251</v>
      </c>
      <c r="AU959">
        <v>2010</v>
      </c>
      <c r="AV959">
        <v>33</v>
      </c>
      <c r="AW959">
        <v>5</v>
      </c>
      <c r="AX959" t="s">
        <v>74</v>
      </c>
      <c r="AY959" t="s">
        <v>74</v>
      </c>
      <c r="AZ959" t="s">
        <v>74</v>
      </c>
      <c r="BA959" t="s">
        <v>74</v>
      </c>
      <c r="BB959">
        <v>683</v>
      </c>
      <c r="BC959">
        <v>691</v>
      </c>
      <c r="BD959" t="s">
        <v>74</v>
      </c>
      <c r="BE959" t="s">
        <v>16861</v>
      </c>
      <c r="BF959" t="str">
        <f>HYPERLINK("http://dx.doi.org/10.1007/s00300-009-0745-8","http://dx.doi.org/10.1007/s00300-009-0745-8")</f>
        <v>http://dx.doi.org/10.1007/s00300-009-0745-8</v>
      </c>
      <c r="BG959" t="s">
        <v>74</v>
      </c>
      <c r="BH959" t="s">
        <v>74</v>
      </c>
      <c r="BI959">
        <v>9</v>
      </c>
      <c r="BJ959" t="s">
        <v>1282</v>
      </c>
      <c r="BK959" t="s">
        <v>100</v>
      </c>
      <c r="BL959" t="s">
        <v>680</v>
      </c>
      <c r="BM959" t="s">
        <v>16752</v>
      </c>
      <c r="BN959" t="s">
        <v>74</v>
      </c>
      <c r="BO959" t="s">
        <v>74</v>
      </c>
      <c r="BP959" t="s">
        <v>74</v>
      </c>
      <c r="BQ959" t="s">
        <v>74</v>
      </c>
      <c r="BR959" t="s">
        <v>104</v>
      </c>
      <c r="BS959" t="s">
        <v>16862</v>
      </c>
      <c r="BT959" t="str">
        <f>HYPERLINK("https%3A%2F%2Fwww.webofscience.com%2Fwos%2Fwoscc%2Ffull-record%2FWOS:000276615400012","View Full Record in Web of Science")</f>
        <v>View Full Record in Web of Science</v>
      </c>
    </row>
    <row r="960" spans="1:72" x14ac:dyDescent="0.15">
      <c r="A960" t="s">
        <v>72</v>
      </c>
      <c r="B960" t="s">
        <v>16863</v>
      </c>
      <c r="C960" t="s">
        <v>74</v>
      </c>
      <c r="D960" t="s">
        <v>74</v>
      </c>
      <c r="E960" t="s">
        <v>74</v>
      </c>
      <c r="F960" t="s">
        <v>16864</v>
      </c>
      <c r="G960" t="s">
        <v>74</v>
      </c>
      <c r="H960" t="s">
        <v>74</v>
      </c>
      <c r="I960" t="s">
        <v>16865</v>
      </c>
      <c r="J960" t="s">
        <v>1265</v>
      </c>
      <c r="K960" t="s">
        <v>74</v>
      </c>
      <c r="L960" t="s">
        <v>74</v>
      </c>
      <c r="M960" t="s">
        <v>78</v>
      </c>
      <c r="N960" t="s">
        <v>79</v>
      </c>
      <c r="O960" t="s">
        <v>74</v>
      </c>
      <c r="P960" t="s">
        <v>74</v>
      </c>
      <c r="Q960" t="s">
        <v>74</v>
      </c>
      <c r="R960" t="s">
        <v>74</v>
      </c>
      <c r="S960" t="s">
        <v>74</v>
      </c>
      <c r="T960" t="s">
        <v>16866</v>
      </c>
      <c r="U960" t="s">
        <v>16867</v>
      </c>
      <c r="V960" t="s">
        <v>16868</v>
      </c>
      <c r="W960" t="s">
        <v>16869</v>
      </c>
      <c r="X960" t="s">
        <v>16870</v>
      </c>
      <c r="Y960" t="s">
        <v>16871</v>
      </c>
      <c r="Z960" t="s">
        <v>16872</v>
      </c>
      <c r="AA960" t="s">
        <v>16873</v>
      </c>
      <c r="AB960" t="s">
        <v>16874</v>
      </c>
      <c r="AC960" t="s">
        <v>74</v>
      </c>
      <c r="AD960" t="s">
        <v>74</v>
      </c>
      <c r="AE960" t="s">
        <v>74</v>
      </c>
      <c r="AF960" t="s">
        <v>74</v>
      </c>
      <c r="AG960">
        <v>19</v>
      </c>
      <c r="AH960">
        <v>12</v>
      </c>
      <c r="AI960">
        <v>13</v>
      </c>
      <c r="AJ960">
        <v>0</v>
      </c>
      <c r="AK960">
        <v>2</v>
      </c>
      <c r="AL960" t="s">
        <v>464</v>
      </c>
      <c r="AM960" t="s">
        <v>310</v>
      </c>
      <c r="AN960" t="s">
        <v>465</v>
      </c>
      <c r="AO960" t="s">
        <v>1277</v>
      </c>
      <c r="AP960" t="s">
        <v>74</v>
      </c>
      <c r="AQ960" t="s">
        <v>74</v>
      </c>
      <c r="AR960" t="s">
        <v>1279</v>
      </c>
      <c r="AS960" t="s">
        <v>1280</v>
      </c>
      <c r="AT960" t="s">
        <v>15251</v>
      </c>
      <c r="AU960">
        <v>2010</v>
      </c>
      <c r="AV960">
        <v>33</v>
      </c>
      <c r="AW960">
        <v>5</v>
      </c>
      <c r="AX960" t="s">
        <v>74</v>
      </c>
      <c r="AY960" t="s">
        <v>74</v>
      </c>
      <c r="AZ960" t="s">
        <v>74</v>
      </c>
      <c r="BA960" t="s">
        <v>74</v>
      </c>
      <c r="BB960">
        <v>709</v>
      </c>
      <c r="BC960">
        <v>711</v>
      </c>
      <c r="BD960" t="s">
        <v>74</v>
      </c>
      <c r="BE960" t="s">
        <v>16875</v>
      </c>
      <c r="BF960" t="str">
        <f>HYPERLINK("http://dx.doi.org/10.1007/s00300-009-0749-4","http://dx.doi.org/10.1007/s00300-009-0749-4")</f>
        <v>http://dx.doi.org/10.1007/s00300-009-0749-4</v>
      </c>
      <c r="BG960" t="s">
        <v>74</v>
      </c>
      <c r="BH960" t="s">
        <v>74</v>
      </c>
      <c r="BI960">
        <v>3</v>
      </c>
      <c r="BJ960" t="s">
        <v>1282</v>
      </c>
      <c r="BK960" t="s">
        <v>100</v>
      </c>
      <c r="BL960" t="s">
        <v>680</v>
      </c>
      <c r="BM960" t="s">
        <v>16752</v>
      </c>
      <c r="BN960" t="s">
        <v>74</v>
      </c>
      <c r="BO960" t="s">
        <v>134</v>
      </c>
      <c r="BP960" t="s">
        <v>74</v>
      </c>
      <c r="BQ960" t="s">
        <v>74</v>
      </c>
      <c r="BR960" t="s">
        <v>104</v>
      </c>
      <c r="BS960" t="s">
        <v>16876</v>
      </c>
      <c r="BT960" t="str">
        <f>HYPERLINK("https%3A%2F%2Fwww.webofscience.com%2Fwos%2Fwoscc%2Ffull-record%2FWOS:000276615400015","View Full Record in Web of Science")</f>
        <v>View Full Record in Web of Science</v>
      </c>
    </row>
    <row r="961" spans="1:72" x14ac:dyDescent="0.15">
      <c r="A961" t="s">
        <v>72</v>
      </c>
      <c r="B961" t="s">
        <v>16877</v>
      </c>
      <c r="C961" t="s">
        <v>74</v>
      </c>
      <c r="D961" t="s">
        <v>74</v>
      </c>
      <c r="E961" t="s">
        <v>74</v>
      </c>
      <c r="F961" t="s">
        <v>16878</v>
      </c>
      <c r="G961" t="s">
        <v>74</v>
      </c>
      <c r="H961" t="s">
        <v>74</v>
      </c>
      <c r="I961" t="s">
        <v>16879</v>
      </c>
      <c r="J961" t="s">
        <v>1265</v>
      </c>
      <c r="K961" t="s">
        <v>74</v>
      </c>
      <c r="L961" t="s">
        <v>74</v>
      </c>
      <c r="M961" t="s">
        <v>78</v>
      </c>
      <c r="N961" t="s">
        <v>79</v>
      </c>
      <c r="O961" t="s">
        <v>74</v>
      </c>
      <c r="P961" t="s">
        <v>74</v>
      </c>
      <c r="Q961" t="s">
        <v>74</v>
      </c>
      <c r="R961" t="s">
        <v>74</v>
      </c>
      <c r="S961" t="s">
        <v>74</v>
      </c>
      <c r="T961" t="s">
        <v>16880</v>
      </c>
      <c r="U961" t="s">
        <v>16881</v>
      </c>
      <c r="V961" t="s">
        <v>16882</v>
      </c>
      <c r="W961" t="s">
        <v>16883</v>
      </c>
      <c r="X961" t="s">
        <v>3114</v>
      </c>
      <c r="Y961" t="s">
        <v>16884</v>
      </c>
      <c r="Z961" t="s">
        <v>16885</v>
      </c>
      <c r="AA961" t="s">
        <v>74</v>
      </c>
      <c r="AB961" t="s">
        <v>74</v>
      </c>
      <c r="AC961" t="s">
        <v>16886</v>
      </c>
      <c r="AD961" t="s">
        <v>16887</v>
      </c>
      <c r="AE961" t="s">
        <v>16888</v>
      </c>
      <c r="AF961" t="s">
        <v>74</v>
      </c>
      <c r="AG961">
        <v>24</v>
      </c>
      <c r="AH961">
        <v>9</v>
      </c>
      <c r="AI961">
        <v>10</v>
      </c>
      <c r="AJ961">
        <v>0</v>
      </c>
      <c r="AK961">
        <v>7</v>
      </c>
      <c r="AL961" t="s">
        <v>464</v>
      </c>
      <c r="AM961" t="s">
        <v>310</v>
      </c>
      <c r="AN961" t="s">
        <v>465</v>
      </c>
      <c r="AO961" t="s">
        <v>1277</v>
      </c>
      <c r="AP961" t="s">
        <v>1278</v>
      </c>
      <c r="AQ961" t="s">
        <v>74</v>
      </c>
      <c r="AR961" t="s">
        <v>1279</v>
      </c>
      <c r="AS961" t="s">
        <v>1280</v>
      </c>
      <c r="AT961" t="s">
        <v>15251</v>
      </c>
      <c r="AU961">
        <v>2010</v>
      </c>
      <c r="AV961">
        <v>33</v>
      </c>
      <c r="AW961">
        <v>5</v>
      </c>
      <c r="AX961" t="s">
        <v>74</v>
      </c>
      <c r="AY961" t="s">
        <v>74</v>
      </c>
      <c r="AZ961" t="s">
        <v>74</v>
      </c>
      <c r="BA961" t="s">
        <v>74</v>
      </c>
      <c r="BB961">
        <v>721</v>
      </c>
      <c r="BC961">
        <v>724</v>
      </c>
      <c r="BD961" t="s">
        <v>74</v>
      </c>
      <c r="BE961" t="s">
        <v>16889</v>
      </c>
      <c r="BF961" t="str">
        <f>HYPERLINK("http://dx.doi.org/10.1007/s00300-009-0753-8","http://dx.doi.org/10.1007/s00300-009-0753-8")</f>
        <v>http://dx.doi.org/10.1007/s00300-009-0753-8</v>
      </c>
      <c r="BG961" t="s">
        <v>74</v>
      </c>
      <c r="BH961" t="s">
        <v>74</v>
      </c>
      <c r="BI961">
        <v>4</v>
      </c>
      <c r="BJ961" t="s">
        <v>1282</v>
      </c>
      <c r="BK961" t="s">
        <v>100</v>
      </c>
      <c r="BL961" t="s">
        <v>680</v>
      </c>
      <c r="BM961" t="s">
        <v>16752</v>
      </c>
      <c r="BN961" t="s">
        <v>74</v>
      </c>
      <c r="BO961" t="s">
        <v>74</v>
      </c>
      <c r="BP961" t="s">
        <v>74</v>
      </c>
      <c r="BQ961" t="s">
        <v>74</v>
      </c>
      <c r="BR961" t="s">
        <v>104</v>
      </c>
      <c r="BS961" t="s">
        <v>16890</v>
      </c>
      <c r="BT961" t="str">
        <f>HYPERLINK("https%3A%2F%2Fwww.webofscience.com%2Fwos%2Fwoscc%2Ffull-record%2FWOS:000276615400017","View Full Record in Web of Science")</f>
        <v>View Full Record in Web of Science</v>
      </c>
    </row>
    <row r="962" spans="1:72" x14ac:dyDescent="0.15">
      <c r="A962" t="s">
        <v>72</v>
      </c>
      <c r="B962" t="s">
        <v>16891</v>
      </c>
      <c r="C962" t="s">
        <v>74</v>
      </c>
      <c r="D962" t="s">
        <v>74</v>
      </c>
      <c r="E962" t="s">
        <v>74</v>
      </c>
      <c r="F962" t="s">
        <v>16892</v>
      </c>
      <c r="G962" t="s">
        <v>74</v>
      </c>
      <c r="H962" t="s">
        <v>74</v>
      </c>
      <c r="I962" t="s">
        <v>16893</v>
      </c>
      <c r="J962" t="s">
        <v>9283</v>
      </c>
      <c r="K962" t="s">
        <v>74</v>
      </c>
      <c r="L962" t="s">
        <v>74</v>
      </c>
      <c r="M962" t="s">
        <v>78</v>
      </c>
      <c r="N962" t="s">
        <v>79</v>
      </c>
      <c r="O962" t="s">
        <v>74</v>
      </c>
      <c r="P962" t="s">
        <v>74</v>
      </c>
      <c r="Q962" t="s">
        <v>74</v>
      </c>
      <c r="R962" t="s">
        <v>74</v>
      </c>
      <c r="S962" t="s">
        <v>74</v>
      </c>
      <c r="T962" t="s">
        <v>16894</v>
      </c>
      <c r="U962" t="s">
        <v>16895</v>
      </c>
      <c r="V962" t="s">
        <v>16896</v>
      </c>
      <c r="W962" t="s">
        <v>16897</v>
      </c>
      <c r="X962" t="s">
        <v>16898</v>
      </c>
      <c r="Y962" t="s">
        <v>16899</v>
      </c>
      <c r="Z962" t="s">
        <v>16900</v>
      </c>
      <c r="AA962" t="s">
        <v>74</v>
      </c>
      <c r="AB962" t="s">
        <v>74</v>
      </c>
      <c r="AC962" t="s">
        <v>16901</v>
      </c>
      <c r="AD962" t="s">
        <v>16902</v>
      </c>
      <c r="AE962" t="s">
        <v>16903</v>
      </c>
      <c r="AF962" t="s">
        <v>74</v>
      </c>
      <c r="AG962">
        <v>35</v>
      </c>
      <c r="AH962">
        <v>6</v>
      </c>
      <c r="AI962">
        <v>8</v>
      </c>
      <c r="AJ962">
        <v>1</v>
      </c>
      <c r="AK962">
        <v>12</v>
      </c>
      <c r="AL962" t="s">
        <v>549</v>
      </c>
      <c r="AM962" t="s">
        <v>550</v>
      </c>
      <c r="AN962" t="s">
        <v>551</v>
      </c>
      <c r="AO962" t="s">
        <v>9290</v>
      </c>
      <c r="AP962" t="s">
        <v>9291</v>
      </c>
      <c r="AQ962" t="s">
        <v>74</v>
      </c>
      <c r="AR962" t="s">
        <v>9292</v>
      </c>
      <c r="AS962" t="s">
        <v>9293</v>
      </c>
      <c r="AT962" t="s">
        <v>15251</v>
      </c>
      <c r="AU962">
        <v>2010</v>
      </c>
      <c r="AV962">
        <v>4</v>
      </c>
      <c r="AW962">
        <v>1</v>
      </c>
      <c r="AX962" t="s">
        <v>74</v>
      </c>
      <c r="AY962" t="s">
        <v>74</v>
      </c>
      <c r="AZ962" t="s">
        <v>74</v>
      </c>
      <c r="BA962" t="s">
        <v>74</v>
      </c>
      <c r="BB962">
        <v>1</v>
      </c>
      <c r="BC962">
        <v>17</v>
      </c>
      <c r="BD962" t="s">
        <v>74</v>
      </c>
      <c r="BE962" t="s">
        <v>16904</v>
      </c>
      <c r="BF962" t="str">
        <f>HYPERLINK("http://dx.doi.org/10.1016/j.polar.2009.12.002","http://dx.doi.org/10.1016/j.polar.2009.12.002")</f>
        <v>http://dx.doi.org/10.1016/j.polar.2009.12.002</v>
      </c>
      <c r="BG962" t="s">
        <v>74</v>
      </c>
      <c r="BH962" t="s">
        <v>74</v>
      </c>
      <c r="BI962">
        <v>17</v>
      </c>
      <c r="BJ962" t="s">
        <v>9295</v>
      </c>
      <c r="BK962" t="s">
        <v>100</v>
      </c>
      <c r="BL962" t="s">
        <v>7084</v>
      </c>
      <c r="BM962" t="s">
        <v>16905</v>
      </c>
      <c r="BN962" t="s">
        <v>74</v>
      </c>
      <c r="BO962" t="s">
        <v>1000</v>
      </c>
      <c r="BP962" t="s">
        <v>74</v>
      </c>
      <c r="BQ962" t="s">
        <v>74</v>
      </c>
      <c r="BR962" t="s">
        <v>104</v>
      </c>
      <c r="BS962" t="s">
        <v>16906</v>
      </c>
      <c r="BT962" t="str">
        <f>HYPERLINK("https%3A%2F%2Fwww.webofscience.com%2Fwos%2Fwoscc%2Ffull-record%2FWOS:000209450000001","View Full Record in Web of Science")</f>
        <v>View Full Record in Web of Science</v>
      </c>
    </row>
    <row r="963" spans="1:72" x14ac:dyDescent="0.15">
      <c r="A963" t="s">
        <v>72</v>
      </c>
      <c r="B963" t="s">
        <v>16907</v>
      </c>
      <c r="C963" t="s">
        <v>74</v>
      </c>
      <c r="D963" t="s">
        <v>74</v>
      </c>
      <c r="E963" t="s">
        <v>74</v>
      </c>
      <c r="F963" t="s">
        <v>16908</v>
      </c>
      <c r="G963" t="s">
        <v>74</v>
      </c>
      <c r="H963" t="s">
        <v>74</v>
      </c>
      <c r="I963" t="s">
        <v>16909</v>
      </c>
      <c r="J963" t="s">
        <v>9283</v>
      </c>
      <c r="K963" t="s">
        <v>74</v>
      </c>
      <c r="L963" t="s">
        <v>74</v>
      </c>
      <c r="M963" t="s">
        <v>78</v>
      </c>
      <c r="N963" t="s">
        <v>79</v>
      </c>
      <c r="O963" t="s">
        <v>74</v>
      </c>
      <c r="P963" t="s">
        <v>74</v>
      </c>
      <c r="Q963" t="s">
        <v>74</v>
      </c>
      <c r="R963" t="s">
        <v>74</v>
      </c>
      <c r="S963" t="s">
        <v>74</v>
      </c>
      <c r="T963" t="s">
        <v>16910</v>
      </c>
      <c r="U963" t="s">
        <v>74</v>
      </c>
      <c r="V963" t="s">
        <v>16911</v>
      </c>
      <c r="W963" t="s">
        <v>16912</v>
      </c>
      <c r="X963" t="s">
        <v>16913</v>
      </c>
      <c r="Y963" t="s">
        <v>16914</v>
      </c>
      <c r="Z963" t="s">
        <v>16915</v>
      </c>
      <c r="AA963" t="s">
        <v>74</v>
      </c>
      <c r="AB963" t="s">
        <v>74</v>
      </c>
      <c r="AC963" t="s">
        <v>74</v>
      </c>
      <c r="AD963" t="s">
        <v>74</v>
      </c>
      <c r="AE963" t="s">
        <v>74</v>
      </c>
      <c r="AF963" t="s">
        <v>74</v>
      </c>
      <c r="AG963">
        <v>26</v>
      </c>
      <c r="AH963">
        <v>32</v>
      </c>
      <c r="AI963">
        <v>35</v>
      </c>
      <c r="AJ963">
        <v>0</v>
      </c>
      <c r="AK963">
        <v>3</v>
      </c>
      <c r="AL963" t="s">
        <v>549</v>
      </c>
      <c r="AM963" t="s">
        <v>550</v>
      </c>
      <c r="AN963" t="s">
        <v>551</v>
      </c>
      <c r="AO963" t="s">
        <v>9290</v>
      </c>
      <c r="AP963" t="s">
        <v>9291</v>
      </c>
      <c r="AQ963" t="s">
        <v>74</v>
      </c>
      <c r="AR963" t="s">
        <v>9292</v>
      </c>
      <c r="AS963" t="s">
        <v>9293</v>
      </c>
      <c r="AT963" t="s">
        <v>15251</v>
      </c>
      <c r="AU963">
        <v>2010</v>
      </c>
      <c r="AV963">
        <v>4</v>
      </c>
      <c r="AW963">
        <v>1</v>
      </c>
      <c r="AX963" t="s">
        <v>74</v>
      </c>
      <c r="AY963" t="s">
        <v>74</v>
      </c>
      <c r="AZ963" t="s">
        <v>74</v>
      </c>
      <c r="BA963" t="s">
        <v>74</v>
      </c>
      <c r="BB963">
        <v>18</v>
      </c>
      <c r="BC963">
        <v>33</v>
      </c>
      <c r="BD963" t="s">
        <v>74</v>
      </c>
      <c r="BE963" t="s">
        <v>16916</v>
      </c>
      <c r="BF963" t="str">
        <f>HYPERLINK("http://dx.doi.org/10.1016/j.polar.2010.02.001","http://dx.doi.org/10.1016/j.polar.2010.02.001")</f>
        <v>http://dx.doi.org/10.1016/j.polar.2010.02.001</v>
      </c>
      <c r="BG963" t="s">
        <v>74</v>
      </c>
      <c r="BH963" t="s">
        <v>74</v>
      </c>
      <c r="BI963">
        <v>16</v>
      </c>
      <c r="BJ963" t="s">
        <v>9295</v>
      </c>
      <c r="BK963" t="s">
        <v>100</v>
      </c>
      <c r="BL963" t="s">
        <v>7084</v>
      </c>
      <c r="BM963" t="s">
        <v>16905</v>
      </c>
      <c r="BN963" t="s">
        <v>74</v>
      </c>
      <c r="BO963" t="s">
        <v>1000</v>
      </c>
      <c r="BP963" t="s">
        <v>74</v>
      </c>
      <c r="BQ963" t="s">
        <v>74</v>
      </c>
      <c r="BR963" t="s">
        <v>104</v>
      </c>
      <c r="BS963" t="s">
        <v>16917</v>
      </c>
      <c r="BT963" t="str">
        <f>HYPERLINK("https%3A%2F%2Fwww.webofscience.com%2Fwos%2Fwoscc%2Ffull-record%2FWOS:000209450000002","View Full Record in Web of Science")</f>
        <v>View Full Record in Web of Science</v>
      </c>
    </row>
    <row r="964" spans="1:72" x14ac:dyDescent="0.15">
      <c r="A964" t="s">
        <v>72</v>
      </c>
      <c r="B964" t="s">
        <v>16918</v>
      </c>
      <c r="C964" t="s">
        <v>74</v>
      </c>
      <c r="D964" t="s">
        <v>74</v>
      </c>
      <c r="E964" t="s">
        <v>74</v>
      </c>
      <c r="F964" t="s">
        <v>16919</v>
      </c>
      <c r="G964" t="s">
        <v>74</v>
      </c>
      <c r="H964" t="s">
        <v>74</v>
      </c>
      <c r="I964" t="s">
        <v>16920</v>
      </c>
      <c r="J964" t="s">
        <v>9283</v>
      </c>
      <c r="K964" t="s">
        <v>74</v>
      </c>
      <c r="L964" t="s">
        <v>74</v>
      </c>
      <c r="M964" t="s">
        <v>78</v>
      </c>
      <c r="N964" t="s">
        <v>79</v>
      </c>
      <c r="O964" t="s">
        <v>74</v>
      </c>
      <c r="P964" t="s">
        <v>74</v>
      </c>
      <c r="Q964" t="s">
        <v>74</v>
      </c>
      <c r="R964" t="s">
        <v>74</v>
      </c>
      <c r="S964" t="s">
        <v>74</v>
      </c>
      <c r="T964" t="s">
        <v>16921</v>
      </c>
      <c r="U964" t="s">
        <v>16922</v>
      </c>
      <c r="V964" t="s">
        <v>16923</v>
      </c>
      <c r="W964" t="s">
        <v>16924</v>
      </c>
      <c r="X964" t="s">
        <v>16925</v>
      </c>
      <c r="Y964" t="s">
        <v>16926</v>
      </c>
      <c r="Z964" t="s">
        <v>16927</v>
      </c>
      <c r="AA964" t="s">
        <v>16928</v>
      </c>
      <c r="AB964" t="s">
        <v>16929</v>
      </c>
      <c r="AC964" t="s">
        <v>16930</v>
      </c>
      <c r="AD964" t="s">
        <v>16931</v>
      </c>
      <c r="AE964" t="s">
        <v>16932</v>
      </c>
      <c r="AF964" t="s">
        <v>74</v>
      </c>
      <c r="AG964">
        <v>54</v>
      </c>
      <c r="AH964">
        <v>31</v>
      </c>
      <c r="AI964">
        <v>44</v>
      </c>
      <c r="AJ964">
        <v>1</v>
      </c>
      <c r="AK964">
        <v>4</v>
      </c>
      <c r="AL964" t="s">
        <v>549</v>
      </c>
      <c r="AM964" t="s">
        <v>550</v>
      </c>
      <c r="AN964" t="s">
        <v>551</v>
      </c>
      <c r="AO964" t="s">
        <v>9290</v>
      </c>
      <c r="AP964" t="s">
        <v>9291</v>
      </c>
      <c r="AQ964" t="s">
        <v>74</v>
      </c>
      <c r="AR964" t="s">
        <v>9292</v>
      </c>
      <c r="AS964" t="s">
        <v>9293</v>
      </c>
      <c r="AT964" t="s">
        <v>15251</v>
      </c>
      <c r="AU964">
        <v>2010</v>
      </c>
      <c r="AV964">
        <v>4</v>
      </c>
      <c r="AW964">
        <v>1</v>
      </c>
      <c r="AX964" t="s">
        <v>74</v>
      </c>
      <c r="AY964" t="s">
        <v>74</v>
      </c>
      <c r="AZ964" t="s">
        <v>74</v>
      </c>
      <c r="BA964" t="s">
        <v>74</v>
      </c>
      <c r="BB964">
        <v>42</v>
      </c>
      <c r="BC964">
        <v>61</v>
      </c>
      <c r="BD964" t="s">
        <v>74</v>
      </c>
      <c r="BE964" t="s">
        <v>16933</v>
      </c>
      <c r="BF964" t="str">
        <f>HYPERLINK("http://dx.doi.org/10.1016/j.polar.2010.01.001","http://dx.doi.org/10.1016/j.polar.2010.01.001")</f>
        <v>http://dx.doi.org/10.1016/j.polar.2010.01.001</v>
      </c>
      <c r="BG964" t="s">
        <v>74</v>
      </c>
      <c r="BH964" t="s">
        <v>74</v>
      </c>
      <c r="BI964">
        <v>20</v>
      </c>
      <c r="BJ964" t="s">
        <v>9295</v>
      </c>
      <c r="BK964" t="s">
        <v>100</v>
      </c>
      <c r="BL964" t="s">
        <v>7084</v>
      </c>
      <c r="BM964" t="s">
        <v>16905</v>
      </c>
      <c r="BN964" t="s">
        <v>74</v>
      </c>
      <c r="BO964" t="s">
        <v>1000</v>
      </c>
      <c r="BP964" t="s">
        <v>74</v>
      </c>
      <c r="BQ964" t="s">
        <v>74</v>
      </c>
      <c r="BR964" t="s">
        <v>104</v>
      </c>
      <c r="BS964" t="s">
        <v>16934</v>
      </c>
      <c r="BT964" t="str">
        <f>HYPERLINK("https%3A%2F%2Fwww.webofscience.com%2Fwos%2Fwoscc%2Ffull-record%2FWOS:000209450000004","View Full Record in Web of Science")</f>
        <v>View Full Record in Web of Science</v>
      </c>
    </row>
    <row r="965" spans="1:72" x14ac:dyDescent="0.15">
      <c r="A965" t="s">
        <v>72</v>
      </c>
      <c r="B965" t="s">
        <v>16935</v>
      </c>
      <c r="C965" t="s">
        <v>74</v>
      </c>
      <c r="D965" t="s">
        <v>74</v>
      </c>
      <c r="E965" t="s">
        <v>74</v>
      </c>
      <c r="F965" t="s">
        <v>16936</v>
      </c>
      <c r="G965" t="s">
        <v>74</v>
      </c>
      <c r="H965" t="s">
        <v>74</v>
      </c>
      <c r="I965" t="s">
        <v>16937</v>
      </c>
      <c r="J965" t="s">
        <v>16938</v>
      </c>
      <c r="K965" t="s">
        <v>74</v>
      </c>
      <c r="L965" t="s">
        <v>74</v>
      </c>
      <c r="M965" t="s">
        <v>78</v>
      </c>
      <c r="N965" t="s">
        <v>79</v>
      </c>
      <c r="O965" t="s">
        <v>74</v>
      </c>
      <c r="P965" t="s">
        <v>74</v>
      </c>
      <c r="Q965" t="s">
        <v>74</v>
      </c>
      <c r="R965" t="s">
        <v>74</v>
      </c>
      <c r="S965" t="s">
        <v>74</v>
      </c>
      <c r="T965" t="s">
        <v>16939</v>
      </c>
      <c r="U965" t="s">
        <v>16940</v>
      </c>
      <c r="V965" t="s">
        <v>16941</v>
      </c>
      <c r="W965" t="s">
        <v>16942</v>
      </c>
      <c r="X965" t="s">
        <v>2262</v>
      </c>
      <c r="Y965" t="s">
        <v>16943</v>
      </c>
      <c r="Z965" t="s">
        <v>16944</v>
      </c>
      <c r="AA965" t="s">
        <v>74</v>
      </c>
      <c r="AB965" t="s">
        <v>16945</v>
      </c>
      <c r="AC965" t="s">
        <v>2266</v>
      </c>
      <c r="AD965" t="s">
        <v>2267</v>
      </c>
      <c r="AE965" t="s">
        <v>16946</v>
      </c>
      <c r="AF965" t="s">
        <v>74</v>
      </c>
      <c r="AG965">
        <v>31</v>
      </c>
      <c r="AH965">
        <v>21</v>
      </c>
      <c r="AI965">
        <v>23</v>
      </c>
      <c r="AJ965">
        <v>1</v>
      </c>
      <c r="AK965">
        <v>12</v>
      </c>
      <c r="AL965" t="s">
        <v>1136</v>
      </c>
      <c r="AM965" t="s">
        <v>1137</v>
      </c>
      <c r="AN965" t="s">
        <v>1138</v>
      </c>
      <c r="AO965" t="s">
        <v>16947</v>
      </c>
      <c r="AP965" t="s">
        <v>16948</v>
      </c>
      <c r="AQ965" t="s">
        <v>74</v>
      </c>
      <c r="AR965" t="s">
        <v>16949</v>
      </c>
      <c r="AS965" t="s">
        <v>16950</v>
      </c>
      <c r="AT965" t="s">
        <v>15251</v>
      </c>
      <c r="AU965">
        <v>2010</v>
      </c>
      <c r="AV965">
        <v>71</v>
      </c>
      <c r="AW965">
        <v>1</v>
      </c>
      <c r="AX965" t="s">
        <v>74</v>
      </c>
      <c r="AY965" t="s">
        <v>74</v>
      </c>
      <c r="AZ965" t="s">
        <v>74</v>
      </c>
      <c r="BA965" t="s">
        <v>74</v>
      </c>
      <c r="BB965">
        <v>108</v>
      </c>
      <c r="BC965">
        <v>114</v>
      </c>
      <c r="BD965" t="s">
        <v>74</v>
      </c>
      <c r="BE965" t="s">
        <v>16951</v>
      </c>
      <c r="BF965" t="str">
        <f>HYPERLINK("http://dx.doi.org/10.1016/j.pep.2010.01.017","http://dx.doi.org/10.1016/j.pep.2010.01.017")</f>
        <v>http://dx.doi.org/10.1016/j.pep.2010.01.017</v>
      </c>
      <c r="BG965" t="s">
        <v>74</v>
      </c>
      <c r="BH965" t="s">
        <v>74</v>
      </c>
      <c r="BI965">
        <v>7</v>
      </c>
      <c r="BJ965" t="s">
        <v>16952</v>
      </c>
      <c r="BK965" t="s">
        <v>100</v>
      </c>
      <c r="BL965" t="s">
        <v>2588</v>
      </c>
      <c r="BM965" t="s">
        <v>16953</v>
      </c>
      <c r="BN965">
        <v>20100576</v>
      </c>
      <c r="BO965" t="s">
        <v>74</v>
      </c>
      <c r="BP965" t="s">
        <v>74</v>
      </c>
      <c r="BQ965" t="s">
        <v>74</v>
      </c>
      <c r="BR965" t="s">
        <v>104</v>
      </c>
      <c r="BS965" t="s">
        <v>16954</v>
      </c>
      <c r="BT965" t="str">
        <f>HYPERLINK("https%3A%2F%2Fwww.webofscience.com%2Fwos%2Fwoscc%2Ffull-record%2FWOS:000275485900017","View Full Record in Web of Science")</f>
        <v>View Full Record in Web of Science</v>
      </c>
    </row>
    <row r="966" spans="1:72" x14ac:dyDescent="0.15">
      <c r="A966" t="s">
        <v>72</v>
      </c>
      <c r="B966" t="s">
        <v>16955</v>
      </c>
      <c r="C966" t="s">
        <v>74</v>
      </c>
      <c r="D966" t="s">
        <v>74</v>
      </c>
      <c r="E966" t="s">
        <v>74</v>
      </c>
      <c r="F966" t="s">
        <v>16956</v>
      </c>
      <c r="G966" t="s">
        <v>74</v>
      </c>
      <c r="H966" t="s">
        <v>74</v>
      </c>
      <c r="I966" t="s">
        <v>16957</v>
      </c>
      <c r="J966" t="s">
        <v>12093</v>
      </c>
      <c r="K966" t="s">
        <v>74</v>
      </c>
      <c r="L966" t="s">
        <v>74</v>
      </c>
      <c r="M966" t="s">
        <v>78</v>
      </c>
      <c r="N966" t="s">
        <v>79</v>
      </c>
      <c r="O966" t="s">
        <v>74</v>
      </c>
      <c r="P966" t="s">
        <v>74</v>
      </c>
      <c r="Q966" t="s">
        <v>74</v>
      </c>
      <c r="R966" t="s">
        <v>74</v>
      </c>
      <c r="S966" t="s">
        <v>74</v>
      </c>
      <c r="T966" t="s">
        <v>16958</v>
      </c>
      <c r="U966" t="s">
        <v>16959</v>
      </c>
      <c r="V966" t="s">
        <v>16960</v>
      </c>
      <c r="W966" t="s">
        <v>16961</v>
      </c>
      <c r="X966" t="s">
        <v>16962</v>
      </c>
      <c r="Y966" t="s">
        <v>16963</v>
      </c>
      <c r="Z966" t="s">
        <v>16964</v>
      </c>
      <c r="AA966" t="s">
        <v>74</v>
      </c>
      <c r="AB966" t="s">
        <v>16965</v>
      </c>
      <c r="AC966" t="s">
        <v>16966</v>
      </c>
      <c r="AD966" t="s">
        <v>16967</v>
      </c>
      <c r="AE966" t="s">
        <v>16968</v>
      </c>
      <c r="AF966" t="s">
        <v>74</v>
      </c>
      <c r="AG966">
        <v>49</v>
      </c>
      <c r="AH966">
        <v>38</v>
      </c>
      <c r="AI966">
        <v>40</v>
      </c>
      <c r="AJ966">
        <v>0</v>
      </c>
      <c r="AK966">
        <v>16</v>
      </c>
      <c r="AL966" t="s">
        <v>851</v>
      </c>
      <c r="AM966" t="s">
        <v>310</v>
      </c>
      <c r="AN966" t="s">
        <v>852</v>
      </c>
      <c r="AO966" t="s">
        <v>12106</v>
      </c>
      <c r="AP966" t="s">
        <v>12107</v>
      </c>
      <c r="AQ966" t="s">
        <v>74</v>
      </c>
      <c r="AR966" t="s">
        <v>12108</v>
      </c>
      <c r="AS966" t="s">
        <v>12109</v>
      </c>
      <c r="AT966" t="s">
        <v>15251</v>
      </c>
      <c r="AU966">
        <v>2010</v>
      </c>
      <c r="AV966">
        <v>73</v>
      </c>
      <c r="AW966">
        <v>3</v>
      </c>
      <c r="AX966" t="s">
        <v>74</v>
      </c>
      <c r="AY966" t="s">
        <v>74</v>
      </c>
      <c r="AZ966" t="s">
        <v>74</v>
      </c>
      <c r="BA966" t="s">
        <v>74</v>
      </c>
      <c r="BB966">
        <v>535</v>
      </c>
      <c r="BC966">
        <v>540</v>
      </c>
      <c r="BD966" t="s">
        <v>74</v>
      </c>
      <c r="BE966" t="s">
        <v>16969</v>
      </c>
      <c r="BF966" t="str">
        <f>HYPERLINK("http://dx.doi.org/10.1016/j.yqres.2010.02.002","http://dx.doi.org/10.1016/j.yqres.2010.02.002")</f>
        <v>http://dx.doi.org/10.1016/j.yqres.2010.02.002</v>
      </c>
      <c r="BG966" t="s">
        <v>74</v>
      </c>
      <c r="BH966" t="s">
        <v>74</v>
      </c>
      <c r="BI966">
        <v>6</v>
      </c>
      <c r="BJ966" t="s">
        <v>1409</v>
      </c>
      <c r="BK966" t="s">
        <v>100</v>
      </c>
      <c r="BL966" t="s">
        <v>1410</v>
      </c>
      <c r="BM966" t="s">
        <v>16970</v>
      </c>
      <c r="BN966" t="s">
        <v>74</v>
      </c>
      <c r="BO966" t="s">
        <v>134</v>
      </c>
      <c r="BP966" t="s">
        <v>74</v>
      </c>
      <c r="BQ966" t="s">
        <v>74</v>
      </c>
      <c r="BR966" t="s">
        <v>104</v>
      </c>
      <c r="BS966" t="s">
        <v>16971</v>
      </c>
      <c r="BT966" t="str">
        <f>HYPERLINK("https%3A%2F%2Fwww.webofscience.com%2Fwos%2Fwoscc%2Ffull-record%2FWOS:000277557200011","View Full Record in Web of Science")</f>
        <v>View Full Record in Web of Science</v>
      </c>
    </row>
    <row r="967" spans="1:72" x14ac:dyDescent="0.15">
      <c r="A967" t="s">
        <v>72</v>
      </c>
      <c r="B967" t="s">
        <v>16972</v>
      </c>
      <c r="C967" t="s">
        <v>74</v>
      </c>
      <c r="D967" t="s">
        <v>74</v>
      </c>
      <c r="E967" t="s">
        <v>74</v>
      </c>
      <c r="F967" t="s">
        <v>16973</v>
      </c>
      <c r="G967" t="s">
        <v>74</v>
      </c>
      <c r="H967" t="s">
        <v>74</v>
      </c>
      <c r="I967" t="s">
        <v>16974</v>
      </c>
      <c r="J967" t="s">
        <v>1393</v>
      </c>
      <c r="K967" t="s">
        <v>74</v>
      </c>
      <c r="L967" t="s">
        <v>74</v>
      </c>
      <c r="M967" t="s">
        <v>78</v>
      </c>
      <c r="N967" t="s">
        <v>79</v>
      </c>
      <c r="O967" t="s">
        <v>74</v>
      </c>
      <c r="P967" t="s">
        <v>74</v>
      </c>
      <c r="Q967" t="s">
        <v>74</v>
      </c>
      <c r="R967" t="s">
        <v>74</v>
      </c>
      <c r="S967" t="s">
        <v>74</v>
      </c>
      <c r="T967" t="s">
        <v>74</v>
      </c>
      <c r="U967" t="s">
        <v>16975</v>
      </c>
      <c r="V967" t="s">
        <v>16976</v>
      </c>
      <c r="W967" t="s">
        <v>16977</v>
      </c>
      <c r="X967" t="s">
        <v>16978</v>
      </c>
      <c r="Y967" t="s">
        <v>16979</v>
      </c>
      <c r="Z967" t="s">
        <v>16980</v>
      </c>
      <c r="AA967" t="s">
        <v>16981</v>
      </c>
      <c r="AB967" t="s">
        <v>16982</v>
      </c>
      <c r="AC967" t="s">
        <v>16983</v>
      </c>
      <c r="AD967" t="s">
        <v>16984</v>
      </c>
      <c r="AE967" t="s">
        <v>16985</v>
      </c>
      <c r="AF967" t="s">
        <v>74</v>
      </c>
      <c r="AG967">
        <v>117</v>
      </c>
      <c r="AH967">
        <v>61</v>
      </c>
      <c r="AI967">
        <v>71</v>
      </c>
      <c r="AJ967">
        <v>0</v>
      </c>
      <c r="AK967">
        <v>45</v>
      </c>
      <c r="AL967" t="s">
        <v>264</v>
      </c>
      <c r="AM967" t="s">
        <v>265</v>
      </c>
      <c r="AN967" t="s">
        <v>266</v>
      </c>
      <c r="AO967" t="s">
        <v>1404</v>
      </c>
      <c r="AP967" t="s">
        <v>74</v>
      </c>
      <c r="AQ967" t="s">
        <v>74</v>
      </c>
      <c r="AR967" t="s">
        <v>1405</v>
      </c>
      <c r="AS967" t="s">
        <v>1406</v>
      </c>
      <c r="AT967" t="s">
        <v>15251</v>
      </c>
      <c r="AU967">
        <v>2010</v>
      </c>
      <c r="AV967">
        <v>29</v>
      </c>
      <c r="AW967" t="s">
        <v>13852</v>
      </c>
      <c r="AX967" t="s">
        <v>74</v>
      </c>
      <c r="AY967" t="s">
        <v>74</v>
      </c>
      <c r="AZ967" t="s">
        <v>74</v>
      </c>
      <c r="BA967" t="s">
        <v>74</v>
      </c>
      <c r="BB967">
        <v>1228</v>
      </c>
      <c r="BC967">
        <v>1245</v>
      </c>
      <c r="BD967" t="s">
        <v>74</v>
      </c>
      <c r="BE967" t="s">
        <v>16986</v>
      </c>
      <c r="BF967" t="str">
        <f>HYPERLINK("http://dx.doi.org/10.1016/j.quascirev.2010.02.009","http://dx.doi.org/10.1016/j.quascirev.2010.02.009")</f>
        <v>http://dx.doi.org/10.1016/j.quascirev.2010.02.009</v>
      </c>
      <c r="BG967" t="s">
        <v>74</v>
      </c>
      <c r="BH967" t="s">
        <v>74</v>
      </c>
      <c r="BI967">
        <v>18</v>
      </c>
      <c r="BJ967" t="s">
        <v>1409</v>
      </c>
      <c r="BK967" t="s">
        <v>100</v>
      </c>
      <c r="BL967" t="s">
        <v>1410</v>
      </c>
      <c r="BM967" t="s">
        <v>16987</v>
      </c>
      <c r="BN967" t="s">
        <v>74</v>
      </c>
      <c r="BO967" t="s">
        <v>74</v>
      </c>
      <c r="BP967" t="s">
        <v>74</v>
      </c>
      <c r="BQ967" t="s">
        <v>74</v>
      </c>
      <c r="BR967" t="s">
        <v>104</v>
      </c>
      <c r="BS967" t="s">
        <v>16988</v>
      </c>
      <c r="BT967" t="str">
        <f>HYPERLINK("https%3A%2F%2Fwww.webofscience.com%2Fwos%2Fwoscc%2Ffull-record%2FWOS:000277813300013","View Full Record in Web of Science")</f>
        <v>View Full Record in Web of Science</v>
      </c>
    </row>
    <row r="968" spans="1:72" x14ac:dyDescent="0.15">
      <c r="A968" t="s">
        <v>72</v>
      </c>
      <c r="B968" t="s">
        <v>16989</v>
      </c>
      <c r="C968" t="s">
        <v>74</v>
      </c>
      <c r="D968" t="s">
        <v>74</v>
      </c>
      <c r="E968" t="s">
        <v>74</v>
      </c>
      <c r="F968" t="s">
        <v>16990</v>
      </c>
      <c r="G968" t="s">
        <v>74</v>
      </c>
      <c r="H968" t="s">
        <v>74</v>
      </c>
      <c r="I968" t="s">
        <v>16991</v>
      </c>
      <c r="J968" t="s">
        <v>4269</v>
      </c>
      <c r="K968" t="s">
        <v>74</v>
      </c>
      <c r="L968" t="s">
        <v>74</v>
      </c>
      <c r="M968" t="s">
        <v>78</v>
      </c>
      <c r="N968" t="s">
        <v>79</v>
      </c>
      <c r="O968" t="s">
        <v>74</v>
      </c>
      <c r="P968" t="s">
        <v>74</v>
      </c>
      <c r="Q968" t="s">
        <v>74</v>
      </c>
      <c r="R968" t="s">
        <v>74</v>
      </c>
      <c r="S968" t="s">
        <v>74</v>
      </c>
      <c r="T968" t="s">
        <v>16992</v>
      </c>
      <c r="U968" t="s">
        <v>16993</v>
      </c>
      <c r="V968" t="s">
        <v>16994</v>
      </c>
      <c r="W968" t="s">
        <v>16995</v>
      </c>
      <c r="X968" t="s">
        <v>16996</v>
      </c>
      <c r="Y968" t="s">
        <v>16997</v>
      </c>
      <c r="Z968" t="s">
        <v>16998</v>
      </c>
      <c r="AA968" t="s">
        <v>16999</v>
      </c>
      <c r="AB968" t="s">
        <v>17000</v>
      </c>
      <c r="AC968" t="s">
        <v>17001</v>
      </c>
      <c r="AD968" t="s">
        <v>3179</v>
      </c>
      <c r="AE968" t="s">
        <v>17002</v>
      </c>
      <c r="AF968" t="s">
        <v>74</v>
      </c>
      <c r="AG968">
        <v>54</v>
      </c>
      <c r="AH968">
        <v>25</v>
      </c>
      <c r="AI968">
        <v>29</v>
      </c>
      <c r="AJ968">
        <v>0</v>
      </c>
      <c r="AK968">
        <v>6</v>
      </c>
      <c r="AL968" t="s">
        <v>1038</v>
      </c>
      <c r="AM968" t="s">
        <v>550</v>
      </c>
      <c r="AN968" t="s">
        <v>1039</v>
      </c>
      <c r="AO968" t="s">
        <v>4281</v>
      </c>
      <c r="AP968" t="s">
        <v>4282</v>
      </c>
      <c r="AQ968" t="s">
        <v>74</v>
      </c>
      <c r="AR968" t="s">
        <v>4283</v>
      </c>
      <c r="AS968" t="s">
        <v>4284</v>
      </c>
      <c r="AT968" t="s">
        <v>15251</v>
      </c>
      <c r="AU968">
        <v>2010</v>
      </c>
      <c r="AV968">
        <v>160</v>
      </c>
      <c r="AW968" t="s">
        <v>556</v>
      </c>
      <c r="AX968" t="s">
        <v>74</v>
      </c>
      <c r="AY968" t="s">
        <v>74</v>
      </c>
      <c r="AZ968" t="s">
        <v>74</v>
      </c>
      <c r="BA968" t="s">
        <v>74</v>
      </c>
      <c r="BB968">
        <v>143</v>
      </c>
      <c r="BC968">
        <v>153</v>
      </c>
      <c r="BD968" t="s">
        <v>74</v>
      </c>
      <c r="BE968" t="s">
        <v>17003</v>
      </c>
      <c r="BF968" t="str">
        <f>HYPERLINK("http://dx.doi.org/10.1016/j.revpalbo.2010.02.003","http://dx.doi.org/10.1016/j.revpalbo.2010.02.003")</f>
        <v>http://dx.doi.org/10.1016/j.revpalbo.2010.02.003</v>
      </c>
      <c r="BG968" t="s">
        <v>74</v>
      </c>
      <c r="BH968" t="s">
        <v>74</v>
      </c>
      <c r="BI968">
        <v>11</v>
      </c>
      <c r="BJ968" t="s">
        <v>4286</v>
      </c>
      <c r="BK968" t="s">
        <v>100</v>
      </c>
      <c r="BL968" t="s">
        <v>4286</v>
      </c>
      <c r="BM968" t="s">
        <v>17004</v>
      </c>
      <c r="BN968" t="s">
        <v>74</v>
      </c>
      <c r="BO968" t="s">
        <v>74</v>
      </c>
      <c r="BP968" t="s">
        <v>74</v>
      </c>
      <c r="BQ968" t="s">
        <v>74</v>
      </c>
      <c r="BR968" t="s">
        <v>104</v>
      </c>
      <c r="BS968" t="s">
        <v>17005</v>
      </c>
      <c r="BT968" t="str">
        <f>HYPERLINK("https%3A%2F%2Fwww.webofscience.com%2Fwos%2Fwoscc%2Ffull-record%2FWOS:000278216200006","View Full Record in Web of Science")</f>
        <v>View Full Record in Web of Science</v>
      </c>
    </row>
    <row r="969" spans="1:72" x14ac:dyDescent="0.15">
      <c r="A969" t="s">
        <v>72</v>
      </c>
      <c r="B969" t="s">
        <v>17006</v>
      </c>
      <c r="C969" t="s">
        <v>74</v>
      </c>
      <c r="D969" t="s">
        <v>74</v>
      </c>
      <c r="E969" t="s">
        <v>74</v>
      </c>
      <c r="F969" t="s">
        <v>17007</v>
      </c>
      <c r="G969" t="s">
        <v>74</v>
      </c>
      <c r="H969" t="s">
        <v>74</v>
      </c>
      <c r="I969" t="s">
        <v>17008</v>
      </c>
      <c r="J969" t="s">
        <v>5215</v>
      </c>
      <c r="K969" t="s">
        <v>74</v>
      </c>
      <c r="L969" t="s">
        <v>74</v>
      </c>
      <c r="M969" t="s">
        <v>17009</v>
      </c>
      <c r="N969" t="s">
        <v>79</v>
      </c>
      <c r="O969" t="s">
        <v>74</v>
      </c>
      <c r="P969" t="s">
        <v>74</v>
      </c>
      <c r="Q969" t="s">
        <v>74</v>
      </c>
      <c r="R969" t="s">
        <v>74</v>
      </c>
      <c r="S969" t="s">
        <v>74</v>
      </c>
      <c r="T969" t="s">
        <v>17010</v>
      </c>
      <c r="U969" t="s">
        <v>17011</v>
      </c>
      <c r="V969" t="s">
        <v>17012</v>
      </c>
      <c r="W969" t="s">
        <v>17013</v>
      </c>
      <c r="X969" t="s">
        <v>74</v>
      </c>
      <c r="Y969" t="s">
        <v>17014</v>
      </c>
      <c r="Z969" t="s">
        <v>17015</v>
      </c>
      <c r="AA969" t="s">
        <v>74</v>
      </c>
      <c r="AB969" t="s">
        <v>74</v>
      </c>
      <c r="AC969" t="s">
        <v>74</v>
      </c>
      <c r="AD969" t="s">
        <v>74</v>
      </c>
      <c r="AE969" t="s">
        <v>74</v>
      </c>
      <c r="AF969" t="s">
        <v>74</v>
      </c>
      <c r="AG969">
        <v>61</v>
      </c>
      <c r="AH969">
        <v>26</v>
      </c>
      <c r="AI969">
        <v>27</v>
      </c>
      <c r="AJ969">
        <v>0</v>
      </c>
      <c r="AK969">
        <v>3</v>
      </c>
      <c r="AL969" t="s">
        <v>5228</v>
      </c>
      <c r="AM969" t="s">
        <v>5229</v>
      </c>
      <c r="AN969" t="s">
        <v>5230</v>
      </c>
      <c r="AO969" t="s">
        <v>5231</v>
      </c>
      <c r="AP969" t="s">
        <v>5232</v>
      </c>
      <c r="AQ969" t="s">
        <v>74</v>
      </c>
      <c r="AR969" t="s">
        <v>5233</v>
      </c>
      <c r="AS969" t="s">
        <v>5234</v>
      </c>
      <c r="AT969" t="s">
        <v>17016</v>
      </c>
      <c r="AU969">
        <v>2010</v>
      </c>
      <c r="AV969">
        <v>13</v>
      </c>
      <c r="AW969">
        <v>2</v>
      </c>
      <c r="AX969" t="s">
        <v>74</v>
      </c>
      <c r="AY969" t="s">
        <v>74</v>
      </c>
      <c r="AZ969" t="s">
        <v>74</v>
      </c>
      <c r="BA969" t="s">
        <v>74</v>
      </c>
      <c r="BB969">
        <v>143</v>
      </c>
      <c r="BC969">
        <v>158</v>
      </c>
      <c r="BD969" t="s">
        <v>74</v>
      </c>
      <c r="BE969" t="s">
        <v>17017</v>
      </c>
      <c r="BF969" t="str">
        <f>HYPERLINK("http://dx.doi.org/10.4072/rbp.2010.2.07","http://dx.doi.org/10.4072/rbp.2010.2.07")</f>
        <v>http://dx.doi.org/10.4072/rbp.2010.2.07</v>
      </c>
      <c r="BG969" t="s">
        <v>74</v>
      </c>
      <c r="BH969" t="s">
        <v>74</v>
      </c>
      <c r="BI969">
        <v>16</v>
      </c>
      <c r="BJ969" t="s">
        <v>858</v>
      </c>
      <c r="BK969" t="s">
        <v>100</v>
      </c>
      <c r="BL969" t="s">
        <v>858</v>
      </c>
      <c r="BM969" t="s">
        <v>17018</v>
      </c>
      <c r="BN969" t="s">
        <v>74</v>
      </c>
      <c r="BO969" t="s">
        <v>394</v>
      </c>
      <c r="BP969" t="s">
        <v>74</v>
      </c>
      <c r="BQ969" t="s">
        <v>74</v>
      </c>
      <c r="BR969" t="s">
        <v>104</v>
      </c>
      <c r="BS969" t="s">
        <v>17019</v>
      </c>
      <c r="BT969" t="str">
        <f>HYPERLINK("https%3A%2F%2Fwww.webofscience.com%2Fwos%2Fwoscc%2Ffull-record%2FWOS:000281700900007","View Full Record in Web of Science")</f>
        <v>View Full Record in Web of Science</v>
      </c>
    </row>
    <row r="970" spans="1:72" x14ac:dyDescent="0.15">
      <c r="A970" t="s">
        <v>72</v>
      </c>
      <c r="B970" t="s">
        <v>17020</v>
      </c>
      <c r="C970" t="s">
        <v>74</v>
      </c>
      <c r="D970" t="s">
        <v>74</v>
      </c>
      <c r="E970" t="s">
        <v>74</v>
      </c>
      <c r="F970" t="s">
        <v>17021</v>
      </c>
      <c r="G970" t="s">
        <v>74</v>
      </c>
      <c r="H970" t="s">
        <v>74</v>
      </c>
      <c r="I970" t="s">
        <v>17022</v>
      </c>
      <c r="J970" t="s">
        <v>17023</v>
      </c>
      <c r="K970" t="s">
        <v>74</v>
      </c>
      <c r="L970" t="s">
        <v>74</v>
      </c>
      <c r="M970" t="s">
        <v>78</v>
      </c>
      <c r="N970" t="s">
        <v>79</v>
      </c>
      <c r="O970" t="s">
        <v>74</v>
      </c>
      <c r="P970" t="s">
        <v>74</v>
      </c>
      <c r="Q970" t="s">
        <v>74</v>
      </c>
      <c r="R970" t="s">
        <v>74</v>
      </c>
      <c r="S970" t="s">
        <v>74</v>
      </c>
      <c r="T970" t="s">
        <v>17024</v>
      </c>
      <c r="U970" t="s">
        <v>74</v>
      </c>
      <c r="V970" t="s">
        <v>17025</v>
      </c>
      <c r="W970" t="s">
        <v>17026</v>
      </c>
      <c r="X970" t="s">
        <v>4331</v>
      </c>
      <c r="Y970" t="s">
        <v>4332</v>
      </c>
      <c r="Z970" t="s">
        <v>17027</v>
      </c>
      <c r="AA970" t="s">
        <v>17028</v>
      </c>
      <c r="AB970" t="s">
        <v>17029</v>
      </c>
      <c r="AC970" t="s">
        <v>74</v>
      </c>
      <c r="AD970" t="s">
        <v>74</v>
      </c>
      <c r="AE970" t="s">
        <v>74</v>
      </c>
      <c r="AF970" t="s">
        <v>74</v>
      </c>
      <c r="AG970">
        <v>13</v>
      </c>
      <c r="AH970">
        <v>2</v>
      </c>
      <c r="AI970">
        <v>2</v>
      </c>
      <c r="AJ970">
        <v>0</v>
      </c>
      <c r="AK970">
        <v>1</v>
      </c>
      <c r="AL970" t="s">
        <v>3198</v>
      </c>
      <c r="AM970" t="s">
        <v>310</v>
      </c>
      <c r="AN970" t="s">
        <v>3199</v>
      </c>
      <c r="AO970" t="s">
        <v>17030</v>
      </c>
      <c r="AP970" t="s">
        <v>74</v>
      </c>
      <c r="AQ970" t="s">
        <v>74</v>
      </c>
      <c r="AR970" t="s">
        <v>17031</v>
      </c>
      <c r="AS970" t="s">
        <v>17032</v>
      </c>
      <c r="AT970" t="s">
        <v>15251</v>
      </c>
      <c r="AU970">
        <v>2010</v>
      </c>
      <c r="AV970">
        <v>41</v>
      </c>
      <c r="AW970">
        <v>3</v>
      </c>
      <c r="AX970" t="s">
        <v>74</v>
      </c>
      <c r="AY970" t="s">
        <v>74</v>
      </c>
      <c r="AZ970" t="s">
        <v>74</v>
      </c>
      <c r="BA970" t="s">
        <v>74</v>
      </c>
      <c r="BB970">
        <v>225</v>
      </c>
      <c r="BC970">
        <v>228</v>
      </c>
      <c r="BD970" t="s">
        <v>74</v>
      </c>
      <c r="BE970" t="s">
        <v>17033</v>
      </c>
      <c r="BF970" t="str">
        <f>HYPERLINK("http://dx.doi.org/10.1134/S1067413610030057","http://dx.doi.org/10.1134/S1067413610030057")</f>
        <v>http://dx.doi.org/10.1134/S1067413610030057</v>
      </c>
      <c r="BG970" t="s">
        <v>74</v>
      </c>
      <c r="BH970" t="s">
        <v>74</v>
      </c>
      <c r="BI970">
        <v>4</v>
      </c>
      <c r="BJ970" t="s">
        <v>3127</v>
      </c>
      <c r="BK970" t="s">
        <v>100</v>
      </c>
      <c r="BL970" t="s">
        <v>2797</v>
      </c>
      <c r="BM970" t="s">
        <v>17034</v>
      </c>
      <c r="BN970" t="s">
        <v>74</v>
      </c>
      <c r="BO970" t="s">
        <v>74</v>
      </c>
      <c r="BP970" t="s">
        <v>74</v>
      </c>
      <c r="BQ970" t="s">
        <v>74</v>
      </c>
      <c r="BR970" t="s">
        <v>104</v>
      </c>
      <c r="BS970" t="s">
        <v>17035</v>
      </c>
      <c r="BT970" t="str">
        <f>HYPERLINK("https%3A%2F%2Fwww.webofscience.com%2Fwos%2Fwoscc%2Ffull-record%2FWOS:000280488800005","View Full Record in Web of Science")</f>
        <v>View Full Record in Web of Science</v>
      </c>
    </row>
    <row r="971" spans="1:72" x14ac:dyDescent="0.15">
      <c r="A971" t="s">
        <v>72</v>
      </c>
      <c r="B971" t="s">
        <v>17036</v>
      </c>
      <c r="C971" t="s">
        <v>74</v>
      </c>
      <c r="D971" t="s">
        <v>74</v>
      </c>
      <c r="E971" t="s">
        <v>74</v>
      </c>
      <c r="F971" t="s">
        <v>17037</v>
      </c>
      <c r="G971" t="s">
        <v>74</v>
      </c>
      <c r="H971" t="s">
        <v>74</v>
      </c>
      <c r="I971" t="s">
        <v>17038</v>
      </c>
      <c r="J971" t="s">
        <v>17039</v>
      </c>
      <c r="K971" t="s">
        <v>74</v>
      </c>
      <c r="L971" t="s">
        <v>74</v>
      </c>
      <c r="M971" t="s">
        <v>78</v>
      </c>
      <c r="N971" t="s">
        <v>79</v>
      </c>
      <c r="O971" t="s">
        <v>74</v>
      </c>
      <c r="P971" t="s">
        <v>74</v>
      </c>
      <c r="Q971" t="s">
        <v>74</v>
      </c>
      <c r="R971" t="s">
        <v>74</v>
      </c>
      <c r="S971" t="s">
        <v>74</v>
      </c>
      <c r="T971" t="s">
        <v>17040</v>
      </c>
      <c r="U971" t="s">
        <v>17041</v>
      </c>
      <c r="V971" t="s">
        <v>17042</v>
      </c>
      <c r="W971" t="s">
        <v>17043</v>
      </c>
      <c r="X971" t="s">
        <v>17044</v>
      </c>
      <c r="Y971" t="s">
        <v>17045</v>
      </c>
      <c r="Z971" t="s">
        <v>17046</v>
      </c>
      <c r="AA971" t="s">
        <v>17047</v>
      </c>
      <c r="AB971" t="s">
        <v>17048</v>
      </c>
      <c r="AC971" t="s">
        <v>17049</v>
      </c>
      <c r="AD971" t="s">
        <v>17050</v>
      </c>
      <c r="AE971" t="s">
        <v>17051</v>
      </c>
      <c r="AF971" t="s">
        <v>74</v>
      </c>
      <c r="AG971">
        <v>51</v>
      </c>
      <c r="AH971">
        <v>20</v>
      </c>
      <c r="AI971">
        <v>22</v>
      </c>
      <c r="AJ971">
        <v>3</v>
      </c>
      <c r="AK971">
        <v>52</v>
      </c>
      <c r="AL971" t="s">
        <v>436</v>
      </c>
      <c r="AM971" t="s">
        <v>437</v>
      </c>
      <c r="AN971" t="s">
        <v>438</v>
      </c>
      <c r="AO971" t="s">
        <v>17052</v>
      </c>
      <c r="AP971" t="s">
        <v>17053</v>
      </c>
      <c r="AQ971" t="s">
        <v>74</v>
      </c>
      <c r="AR971" t="s">
        <v>17054</v>
      </c>
      <c r="AS971" t="s">
        <v>17055</v>
      </c>
      <c r="AT971" t="s">
        <v>15251</v>
      </c>
      <c r="AU971">
        <v>2010</v>
      </c>
      <c r="AV971">
        <v>53</v>
      </c>
      <c r="AW971">
        <v>5</v>
      </c>
      <c r="AX971" t="s">
        <v>74</v>
      </c>
      <c r="AY971" t="s">
        <v>74</v>
      </c>
      <c r="AZ971" t="s">
        <v>74</v>
      </c>
      <c r="BA971" t="s">
        <v>74</v>
      </c>
      <c r="BB971">
        <v>1033</v>
      </c>
      <c r="BC971">
        <v>1047</v>
      </c>
      <c r="BD971" t="s">
        <v>74</v>
      </c>
      <c r="BE971" t="s">
        <v>17056</v>
      </c>
      <c r="BF971" t="str">
        <f>HYPERLINK("http://dx.doi.org/10.1007/s11426-010-0182-0","http://dx.doi.org/10.1007/s11426-010-0182-0")</f>
        <v>http://dx.doi.org/10.1007/s11426-010-0182-0</v>
      </c>
      <c r="BG971" t="s">
        <v>74</v>
      </c>
      <c r="BH971" t="s">
        <v>74</v>
      </c>
      <c r="BI971">
        <v>15</v>
      </c>
      <c r="BJ971" t="s">
        <v>419</v>
      </c>
      <c r="BK971" t="s">
        <v>100</v>
      </c>
      <c r="BL971" t="s">
        <v>392</v>
      </c>
      <c r="BM971" t="s">
        <v>17057</v>
      </c>
      <c r="BN971" t="s">
        <v>74</v>
      </c>
      <c r="BO971" t="s">
        <v>74</v>
      </c>
      <c r="BP971" t="s">
        <v>74</v>
      </c>
      <c r="BQ971" t="s">
        <v>74</v>
      </c>
      <c r="BR971" t="s">
        <v>104</v>
      </c>
      <c r="BS971" t="s">
        <v>17058</v>
      </c>
      <c r="BT971" t="str">
        <f>HYPERLINK("https%3A%2F%2Fwww.webofscience.com%2Fwos%2Fwoscc%2Ffull-record%2FWOS:000278263500010","View Full Record in Web of Science")</f>
        <v>View Full Record in Web of Science</v>
      </c>
    </row>
    <row r="972" spans="1:72" x14ac:dyDescent="0.15">
      <c r="A972" t="s">
        <v>72</v>
      </c>
      <c r="B972" t="s">
        <v>17059</v>
      </c>
      <c r="C972" t="s">
        <v>74</v>
      </c>
      <c r="D972" t="s">
        <v>74</v>
      </c>
      <c r="E972" t="s">
        <v>74</v>
      </c>
      <c r="F972" t="s">
        <v>17060</v>
      </c>
      <c r="G972" t="s">
        <v>74</v>
      </c>
      <c r="H972" t="s">
        <v>74</v>
      </c>
      <c r="I972" t="s">
        <v>17061</v>
      </c>
      <c r="J972" t="s">
        <v>6971</v>
      </c>
      <c r="K972" t="s">
        <v>74</v>
      </c>
      <c r="L972" t="s">
        <v>74</v>
      </c>
      <c r="M972" t="s">
        <v>78</v>
      </c>
      <c r="N972" t="s">
        <v>79</v>
      </c>
      <c r="O972" t="s">
        <v>74</v>
      </c>
      <c r="P972" t="s">
        <v>74</v>
      </c>
      <c r="Q972" t="s">
        <v>74</v>
      </c>
      <c r="R972" t="s">
        <v>74</v>
      </c>
      <c r="S972" t="s">
        <v>74</v>
      </c>
      <c r="T972" t="s">
        <v>17062</v>
      </c>
      <c r="U972" t="s">
        <v>17063</v>
      </c>
      <c r="V972" t="s">
        <v>17064</v>
      </c>
      <c r="W972" t="s">
        <v>17065</v>
      </c>
      <c r="X972" t="s">
        <v>15549</v>
      </c>
      <c r="Y972" t="s">
        <v>15550</v>
      </c>
      <c r="Z972" t="s">
        <v>15551</v>
      </c>
      <c r="AA972" t="s">
        <v>17066</v>
      </c>
      <c r="AB972" t="s">
        <v>15553</v>
      </c>
      <c r="AC972" t="s">
        <v>17067</v>
      </c>
      <c r="AD972" t="s">
        <v>17068</v>
      </c>
      <c r="AE972" t="s">
        <v>17069</v>
      </c>
      <c r="AF972" t="s">
        <v>74</v>
      </c>
      <c r="AG972">
        <v>28</v>
      </c>
      <c r="AH972">
        <v>9</v>
      </c>
      <c r="AI972">
        <v>12</v>
      </c>
      <c r="AJ972">
        <v>1</v>
      </c>
      <c r="AK972">
        <v>9</v>
      </c>
      <c r="AL972" t="s">
        <v>436</v>
      </c>
      <c r="AM972" t="s">
        <v>437</v>
      </c>
      <c r="AN972" t="s">
        <v>438</v>
      </c>
      <c r="AO972" t="s">
        <v>6981</v>
      </c>
      <c r="AP972" t="s">
        <v>14744</v>
      </c>
      <c r="AQ972" t="s">
        <v>74</v>
      </c>
      <c r="AR972" t="s">
        <v>6982</v>
      </c>
      <c r="AS972" t="s">
        <v>6983</v>
      </c>
      <c r="AT972" t="s">
        <v>15251</v>
      </c>
      <c r="AU972">
        <v>2010</v>
      </c>
      <c r="AV972">
        <v>53</v>
      </c>
      <c r="AW972">
        <v>5</v>
      </c>
      <c r="AX972" t="s">
        <v>74</v>
      </c>
      <c r="AY972" t="s">
        <v>74</v>
      </c>
      <c r="AZ972" t="s">
        <v>74</v>
      </c>
      <c r="BA972" t="s">
        <v>74</v>
      </c>
      <c r="BB972">
        <v>763</v>
      </c>
      <c r="BC972">
        <v>772</v>
      </c>
      <c r="BD972" t="s">
        <v>74</v>
      </c>
      <c r="BE972" t="s">
        <v>17070</v>
      </c>
      <c r="BF972" t="str">
        <f>HYPERLINK("http://dx.doi.org/10.1007/s11430-010-0017-z","http://dx.doi.org/10.1007/s11430-010-0017-z")</f>
        <v>http://dx.doi.org/10.1007/s11430-010-0017-z</v>
      </c>
      <c r="BG972" t="s">
        <v>74</v>
      </c>
      <c r="BH972" t="s">
        <v>74</v>
      </c>
      <c r="BI972">
        <v>10</v>
      </c>
      <c r="BJ972" t="s">
        <v>1194</v>
      </c>
      <c r="BK972" t="s">
        <v>100</v>
      </c>
      <c r="BL972" t="s">
        <v>807</v>
      </c>
      <c r="BM972" t="s">
        <v>17071</v>
      </c>
      <c r="BN972" t="s">
        <v>74</v>
      </c>
      <c r="BO972" t="s">
        <v>74</v>
      </c>
      <c r="BP972" t="s">
        <v>74</v>
      </c>
      <c r="BQ972" t="s">
        <v>74</v>
      </c>
      <c r="BR972" t="s">
        <v>104</v>
      </c>
      <c r="BS972" t="s">
        <v>17072</v>
      </c>
      <c r="BT972" t="str">
        <f>HYPERLINK("https%3A%2F%2Fwww.webofscience.com%2Fwos%2Fwoscc%2Ffull-record%2FWOS:000277645400014","View Full Record in Web of Science")</f>
        <v>View Full Record in Web of Science</v>
      </c>
    </row>
    <row r="973" spans="1:72" x14ac:dyDescent="0.15">
      <c r="A973" t="s">
        <v>72</v>
      </c>
      <c r="B973" t="s">
        <v>17073</v>
      </c>
      <c r="C973" t="s">
        <v>74</v>
      </c>
      <c r="D973" t="s">
        <v>74</v>
      </c>
      <c r="E973" t="s">
        <v>74</v>
      </c>
      <c r="F973" t="s">
        <v>17074</v>
      </c>
      <c r="G973" t="s">
        <v>74</v>
      </c>
      <c r="H973" t="s">
        <v>74</v>
      </c>
      <c r="I973" t="s">
        <v>17075</v>
      </c>
      <c r="J973" t="s">
        <v>17076</v>
      </c>
      <c r="K973" t="s">
        <v>74</v>
      </c>
      <c r="L973" t="s">
        <v>74</v>
      </c>
      <c r="M973" t="s">
        <v>78</v>
      </c>
      <c r="N973" t="s">
        <v>79</v>
      </c>
      <c r="O973" t="s">
        <v>74</v>
      </c>
      <c r="P973" t="s">
        <v>74</v>
      </c>
      <c r="Q973" t="s">
        <v>74</v>
      </c>
      <c r="R973" t="s">
        <v>74</v>
      </c>
      <c r="S973" t="s">
        <v>74</v>
      </c>
      <c r="T973" t="s">
        <v>74</v>
      </c>
      <c r="U973" t="s">
        <v>17077</v>
      </c>
      <c r="V973" t="s">
        <v>17078</v>
      </c>
      <c r="W973" t="s">
        <v>17079</v>
      </c>
      <c r="X973" t="s">
        <v>17080</v>
      </c>
      <c r="Y973" t="s">
        <v>17081</v>
      </c>
      <c r="Z973" t="s">
        <v>17082</v>
      </c>
      <c r="AA973" t="s">
        <v>17083</v>
      </c>
      <c r="AB973" t="s">
        <v>17084</v>
      </c>
      <c r="AC973" t="s">
        <v>17085</v>
      </c>
      <c r="AD973" t="s">
        <v>17086</v>
      </c>
      <c r="AE973" t="s">
        <v>17087</v>
      </c>
      <c r="AF973" t="s">
        <v>74</v>
      </c>
      <c r="AG973">
        <v>39</v>
      </c>
      <c r="AH973">
        <v>35</v>
      </c>
      <c r="AI973">
        <v>37</v>
      </c>
      <c r="AJ973">
        <v>0</v>
      </c>
      <c r="AK973">
        <v>14</v>
      </c>
      <c r="AL973" t="s">
        <v>9662</v>
      </c>
      <c r="AM973" t="s">
        <v>17088</v>
      </c>
      <c r="AN973" t="s">
        <v>17089</v>
      </c>
      <c r="AO973" t="s">
        <v>17090</v>
      </c>
      <c r="AP973" t="s">
        <v>17091</v>
      </c>
      <c r="AQ973" t="s">
        <v>74</v>
      </c>
      <c r="AR973" t="s">
        <v>17092</v>
      </c>
      <c r="AS973" t="s">
        <v>17093</v>
      </c>
      <c r="AT973" t="s">
        <v>15251</v>
      </c>
      <c r="AU973">
        <v>2010</v>
      </c>
      <c r="AV973">
        <v>100</v>
      </c>
      <c r="AW973" t="s">
        <v>556</v>
      </c>
      <c r="AX973" t="s">
        <v>74</v>
      </c>
      <c r="AY973" t="s">
        <v>74</v>
      </c>
      <c r="AZ973" t="s">
        <v>74</v>
      </c>
      <c r="BA973" t="s">
        <v>74</v>
      </c>
      <c r="BB973">
        <v>239</v>
      </c>
      <c r="BC973">
        <v>250</v>
      </c>
      <c r="BD973" t="s">
        <v>74</v>
      </c>
      <c r="BE973" t="s">
        <v>17094</v>
      </c>
      <c r="BF973" t="str">
        <f>HYPERLINK("http://dx.doi.org/10.1007/s00704-009-0161-6","http://dx.doi.org/10.1007/s00704-009-0161-6")</f>
        <v>http://dx.doi.org/10.1007/s00704-009-0161-6</v>
      </c>
      <c r="BG973" t="s">
        <v>74</v>
      </c>
      <c r="BH973" t="s">
        <v>74</v>
      </c>
      <c r="BI973">
        <v>12</v>
      </c>
      <c r="BJ973" t="s">
        <v>319</v>
      </c>
      <c r="BK973" t="s">
        <v>100</v>
      </c>
      <c r="BL973" t="s">
        <v>319</v>
      </c>
      <c r="BM973" t="s">
        <v>17095</v>
      </c>
      <c r="BN973" t="s">
        <v>74</v>
      </c>
      <c r="BO973" t="s">
        <v>134</v>
      </c>
      <c r="BP973" t="s">
        <v>74</v>
      </c>
      <c r="BQ973" t="s">
        <v>74</v>
      </c>
      <c r="BR973" t="s">
        <v>104</v>
      </c>
      <c r="BS973" t="s">
        <v>17096</v>
      </c>
      <c r="BT973" t="str">
        <f>HYPERLINK("https%3A%2F%2Fwww.webofscience.com%2Fwos%2Fwoscc%2Ffull-record%2FWOS:000277098800001","View Full Record in Web of Science")</f>
        <v>View Full Record in Web of Science</v>
      </c>
    </row>
    <row r="974" spans="1:72" x14ac:dyDescent="0.15">
      <c r="A974" t="s">
        <v>72</v>
      </c>
      <c r="B974" t="s">
        <v>17097</v>
      </c>
      <c r="C974" t="s">
        <v>74</v>
      </c>
      <c r="D974" t="s">
        <v>74</v>
      </c>
      <c r="E974" t="s">
        <v>74</v>
      </c>
      <c r="F974" t="s">
        <v>17098</v>
      </c>
      <c r="G974" t="s">
        <v>74</v>
      </c>
      <c r="H974" t="s">
        <v>74</v>
      </c>
      <c r="I974" t="s">
        <v>17099</v>
      </c>
      <c r="J974" t="s">
        <v>17076</v>
      </c>
      <c r="K974" t="s">
        <v>74</v>
      </c>
      <c r="L974" t="s">
        <v>74</v>
      </c>
      <c r="M974" t="s">
        <v>78</v>
      </c>
      <c r="N974" t="s">
        <v>79</v>
      </c>
      <c r="O974" t="s">
        <v>74</v>
      </c>
      <c r="P974" t="s">
        <v>74</v>
      </c>
      <c r="Q974" t="s">
        <v>74</v>
      </c>
      <c r="R974" t="s">
        <v>74</v>
      </c>
      <c r="S974" t="s">
        <v>74</v>
      </c>
      <c r="T974" t="s">
        <v>74</v>
      </c>
      <c r="U974" t="s">
        <v>17100</v>
      </c>
      <c r="V974" t="s">
        <v>17101</v>
      </c>
      <c r="W974" t="s">
        <v>17102</v>
      </c>
      <c r="X974" t="s">
        <v>17103</v>
      </c>
      <c r="Y974" t="s">
        <v>17104</v>
      </c>
      <c r="Z974" t="s">
        <v>17105</v>
      </c>
      <c r="AA974" t="s">
        <v>74</v>
      </c>
      <c r="AB974" t="s">
        <v>74</v>
      </c>
      <c r="AC974" t="s">
        <v>17106</v>
      </c>
      <c r="AD974" t="s">
        <v>17107</v>
      </c>
      <c r="AE974" t="s">
        <v>17108</v>
      </c>
      <c r="AF974" t="s">
        <v>74</v>
      </c>
      <c r="AG974">
        <v>42</v>
      </c>
      <c r="AH974">
        <v>21</v>
      </c>
      <c r="AI974">
        <v>22</v>
      </c>
      <c r="AJ974">
        <v>0</v>
      </c>
      <c r="AK974">
        <v>19</v>
      </c>
      <c r="AL974" t="s">
        <v>9662</v>
      </c>
      <c r="AM974" t="s">
        <v>9663</v>
      </c>
      <c r="AN974" t="s">
        <v>9664</v>
      </c>
      <c r="AO974" t="s">
        <v>17090</v>
      </c>
      <c r="AP974" t="s">
        <v>17091</v>
      </c>
      <c r="AQ974" t="s">
        <v>74</v>
      </c>
      <c r="AR974" t="s">
        <v>17092</v>
      </c>
      <c r="AS974" t="s">
        <v>17093</v>
      </c>
      <c r="AT974" t="s">
        <v>15251</v>
      </c>
      <c r="AU974">
        <v>2010</v>
      </c>
      <c r="AV974">
        <v>100</v>
      </c>
      <c r="AW974" t="s">
        <v>556</v>
      </c>
      <c r="AX974" t="s">
        <v>74</v>
      </c>
      <c r="AY974" t="s">
        <v>74</v>
      </c>
      <c r="AZ974" t="s">
        <v>74</v>
      </c>
      <c r="BA974" t="s">
        <v>74</v>
      </c>
      <c r="BB974">
        <v>261</v>
      </c>
      <c r="BC974">
        <v>274</v>
      </c>
      <c r="BD974" t="s">
        <v>74</v>
      </c>
      <c r="BE974" t="s">
        <v>17109</v>
      </c>
      <c r="BF974" t="str">
        <f>HYPERLINK("http://dx.doi.org/10.1007/s00704-009-0187-9","http://dx.doi.org/10.1007/s00704-009-0187-9")</f>
        <v>http://dx.doi.org/10.1007/s00704-009-0187-9</v>
      </c>
      <c r="BG974" t="s">
        <v>74</v>
      </c>
      <c r="BH974" t="s">
        <v>74</v>
      </c>
      <c r="BI974">
        <v>14</v>
      </c>
      <c r="BJ974" t="s">
        <v>319</v>
      </c>
      <c r="BK974" t="s">
        <v>100</v>
      </c>
      <c r="BL974" t="s">
        <v>319</v>
      </c>
      <c r="BM974" t="s">
        <v>17095</v>
      </c>
      <c r="BN974" t="s">
        <v>74</v>
      </c>
      <c r="BO974" t="s">
        <v>74</v>
      </c>
      <c r="BP974" t="s">
        <v>74</v>
      </c>
      <c r="BQ974" t="s">
        <v>74</v>
      </c>
      <c r="BR974" t="s">
        <v>104</v>
      </c>
      <c r="BS974" t="s">
        <v>17110</v>
      </c>
      <c r="BT974" t="str">
        <f>HYPERLINK("https%3A%2F%2Fwww.webofscience.com%2Fwos%2Fwoscc%2Ffull-record%2FWOS:000277098800003","View Full Record in Web of Science")</f>
        <v>View Full Record in Web of Science</v>
      </c>
    </row>
    <row r="975" spans="1:72" x14ac:dyDescent="0.15">
      <c r="A975" t="s">
        <v>72</v>
      </c>
      <c r="B975" t="s">
        <v>17111</v>
      </c>
      <c r="C975" t="s">
        <v>74</v>
      </c>
      <c r="D975" t="s">
        <v>74</v>
      </c>
      <c r="E975" t="s">
        <v>74</v>
      </c>
      <c r="F975" t="s">
        <v>17112</v>
      </c>
      <c r="G975" t="s">
        <v>74</v>
      </c>
      <c r="H975" t="s">
        <v>74</v>
      </c>
      <c r="I975" t="s">
        <v>17113</v>
      </c>
      <c r="J975" t="s">
        <v>6990</v>
      </c>
      <c r="K975" t="s">
        <v>74</v>
      </c>
      <c r="L975" t="s">
        <v>74</v>
      </c>
      <c r="M975" t="s">
        <v>78</v>
      </c>
      <c r="N975" t="s">
        <v>79</v>
      </c>
      <c r="O975" t="s">
        <v>74</v>
      </c>
      <c r="P975" t="s">
        <v>74</v>
      </c>
      <c r="Q975" t="s">
        <v>74</v>
      </c>
      <c r="R975" t="s">
        <v>74</v>
      </c>
      <c r="S975" t="s">
        <v>74</v>
      </c>
      <c r="T975" t="s">
        <v>74</v>
      </c>
      <c r="U975" t="s">
        <v>17114</v>
      </c>
      <c r="V975" t="s">
        <v>17115</v>
      </c>
      <c r="W975" t="s">
        <v>17116</v>
      </c>
      <c r="X975" t="s">
        <v>17117</v>
      </c>
      <c r="Y975" t="s">
        <v>17118</v>
      </c>
      <c r="Z975" t="s">
        <v>17119</v>
      </c>
      <c r="AA975" t="s">
        <v>74</v>
      </c>
      <c r="AB975" t="s">
        <v>74</v>
      </c>
      <c r="AC975" t="s">
        <v>74</v>
      </c>
      <c r="AD975" t="s">
        <v>74</v>
      </c>
      <c r="AE975" t="s">
        <v>74</v>
      </c>
      <c r="AF975" t="s">
        <v>74</v>
      </c>
      <c r="AG975">
        <v>95</v>
      </c>
      <c r="AH975">
        <v>11</v>
      </c>
      <c r="AI975">
        <v>12</v>
      </c>
      <c r="AJ975">
        <v>2</v>
      </c>
      <c r="AK975">
        <v>43</v>
      </c>
      <c r="AL975" t="s">
        <v>923</v>
      </c>
      <c r="AM975" t="s">
        <v>339</v>
      </c>
      <c r="AN975" t="s">
        <v>340</v>
      </c>
      <c r="AO975" t="s">
        <v>6999</v>
      </c>
      <c r="AP975" t="s">
        <v>7000</v>
      </c>
      <c r="AQ975" t="s">
        <v>74</v>
      </c>
      <c r="AR975" t="s">
        <v>7001</v>
      </c>
      <c r="AS975" t="s">
        <v>7002</v>
      </c>
      <c r="AT975" t="s">
        <v>15275</v>
      </c>
      <c r="AU975">
        <v>2010</v>
      </c>
      <c r="AV975">
        <v>1</v>
      </c>
      <c r="AW975">
        <v>3</v>
      </c>
      <c r="AX975" t="s">
        <v>74</v>
      </c>
      <c r="AY975" t="s">
        <v>74</v>
      </c>
      <c r="AZ975" t="s">
        <v>74</v>
      </c>
      <c r="BA975" t="s">
        <v>74</v>
      </c>
      <c r="BB975">
        <v>428</v>
      </c>
      <c r="BC975">
        <v>449</v>
      </c>
      <c r="BD975" t="s">
        <v>74</v>
      </c>
      <c r="BE975" t="s">
        <v>17120</v>
      </c>
      <c r="BF975" t="str">
        <f>HYPERLINK("http://dx.doi.org/10.1002/wcc.36","http://dx.doi.org/10.1002/wcc.36")</f>
        <v>http://dx.doi.org/10.1002/wcc.36</v>
      </c>
      <c r="BG975" t="s">
        <v>74</v>
      </c>
      <c r="BH975" t="s">
        <v>74</v>
      </c>
      <c r="BI975">
        <v>22</v>
      </c>
      <c r="BJ975" t="s">
        <v>7004</v>
      </c>
      <c r="BK975" t="s">
        <v>2796</v>
      </c>
      <c r="BL975" t="s">
        <v>273</v>
      </c>
      <c r="BM975" t="s">
        <v>17121</v>
      </c>
      <c r="BN975" t="s">
        <v>74</v>
      </c>
      <c r="BO975" t="s">
        <v>631</v>
      </c>
      <c r="BP975" t="s">
        <v>74</v>
      </c>
      <c r="BQ975" t="s">
        <v>74</v>
      </c>
      <c r="BR975" t="s">
        <v>104</v>
      </c>
      <c r="BS975" t="s">
        <v>17122</v>
      </c>
      <c r="BT975" t="str">
        <f>HYPERLINK("https%3A%2F%2Fwww.webofscience.com%2Fwos%2Fwoscc%2Ffull-record%2FWOS:000291735500013","View Full Record in Web of Science")</f>
        <v>View Full Record in Web of Science</v>
      </c>
    </row>
    <row r="976" spans="1:72" x14ac:dyDescent="0.15">
      <c r="A976" t="s">
        <v>72</v>
      </c>
      <c r="B976" t="s">
        <v>17123</v>
      </c>
      <c r="C976" t="s">
        <v>74</v>
      </c>
      <c r="D976" t="s">
        <v>74</v>
      </c>
      <c r="E976" t="s">
        <v>74</v>
      </c>
      <c r="F976" t="s">
        <v>17124</v>
      </c>
      <c r="G976" t="s">
        <v>74</v>
      </c>
      <c r="H976" t="s">
        <v>74</v>
      </c>
      <c r="I976" t="s">
        <v>17125</v>
      </c>
      <c r="J976" t="s">
        <v>17126</v>
      </c>
      <c r="K976" t="s">
        <v>74</v>
      </c>
      <c r="L976" t="s">
        <v>74</v>
      </c>
      <c r="M976" t="s">
        <v>78</v>
      </c>
      <c r="N976" t="s">
        <v>79</v>
      </c>
      <c r="O976" t="s">
        <v>74</v>
      </c>
      <c r="P976" t="s">
        <v>74</v>
      </c>
      <c r="Q976" t="s">
        <v>74</v>
      </c>
      <c r="R976" t="s">
        <v>74</v>
      </c>
      <c r="S976" t="s">
        <v>74</v>
      </c>
      <c r="T976" t="s">
        <v>74</v>
      </c>
      <c r="U976" t="s">
        <v>17127</v>
      </c>
      <c r="V976" t="s">
        <v>17128</v>
      </c>
      <c r="W976" t="s">
        <v>17129</v>
      </c>
      <c r="X976" t="s">
        <v>17130</v>
      </c>
      <c r="Y976" t="s">
        <v>17131</v>
      </c>
      <c r="Z976" t="s">
        <v>17132</v>
      </c>
      <c r="AA976" t="s">
        <v>74</v>
      </c>
      <c r="AB976" t="s">
        <v>17133</v>
      </c>
      <c r="AC976" t="s">
        <v>17134</v>
      </c>
      <c r="AD976" t="s">
        <v>8592</v>
      </c>
      <c r="AE976" t="s">
        <v>17135</v>
      </c>
      <c r="AF976" t="s">
        <v>74</v>
      </c>
      <c r="AG976">
        <v>30</v>
      </c>
      <c r="AH976">
        <v>7</v>
      </c>
      <c r="AI976">
        <v>11</v>
      </c>
      <c r="AJ976">
        <v>0</v>
      </c>
      <c r="AK976">
        <v>16</v>
      </c>
      <c r="AL976" t="s">
        <v>923</v>
      </c>
      <c r="AM976" t="s">
        <v>339</v>
      </c>
      <c r="AN976" t="s">
        <v>340</v>
      </c>
      <c r="AO976" t="s">
        <v>17136</v>
      </c>
      <c r="AP976" t="s">
        <v>17137</v>
      </c>
      <c r="AQ976" t="s">
        <v>74</v>
      </c>
      <c r="AR976" t="s">
        <v>17138</v>
      </c>
      <c r="AS976" t="s">
        <v>17139</v>
      </c>
      <c r="AT976" t="s">
        <v>15275</v>
      </c>
      <c r="AU976">
        <v>2010</v>
      </c>
      <c r="AV976">
        <v>39</v>
      </c>
      <c r="AW976">
        <v>3</v>
      </c>
      <c r="AX976" t="s">
        <v>74</v>
      </c>
      <c r="AY976" t="s">
        <v>74</v>
      </c>
      <c r="AZ976" t="s">
        <v>74</v>
      </c>
      <c r="BA976" t="s">
        <v>74</v>
      </c>
      <c r="BB976">
        <v>176</v>
      </c>
      <c r="BC976">
        <v>183</v>
      </c>
      <c r="BD976" t="s">
        <v>74</v>
      </c>
      <c r="BE976" t="s">
        <v>17140</v>
      </c>
      <c r="BF976" t="str">
        <f>HYPERLINK("http://dx.doi.org/10.1002/xrs.1244","http://dx.doi.org/10.1002/xrs.1244")</f>
        <v>http://dx.doi.org/10.1002/xrs.1244</v>
      </c>
      <c r="BG976" t="s">
        <v>74</v>
      </c>
      <c r="BH976" t="s">
        <v>74</v>
      </c>
      <c r="BI976">
        <v>8</v>
      </c>
      <c r="BJ976" t="s">
        <v>17141</v>
      </c>
      <c r="BK976" t="s">
        <v>100</v>
      </c>
      <c r="BL976" t="s">
        <v>17141</v>
      </c>
      <c r="BM976" t="s">
        <v>17142</v>
      </c>
      <c r="BN976" t="s">
        <v>74</v>
      </c>
      <c r="BO976" t="s">
        <v>74</v>
      </c>
      <c r="BP976" t="s">
        <v>74</v>
      </c>
      <c r="BQ976" t="s">
        <v>74</v>
      </c>
      <c r="BR976" t="s">
        <v>104</v>
      </c>
      <c r="BS976" t="s">
        <v>17143</v>
      </c>
      <c r="BT976" t="str">
        <f>HYPERLINK("https%3A%2F%2Fwww.webofscience.com%2Fwos%2Fwoscc%2Ffull-record%2FWOS:000277637400003","View Full Record in Web of Science")</f>
        <v>View Full Record in Web of Science</v>
      </c>
    </row>
    <row r="977" spans="1:72" x14ac:dyDescent="0.15">
      <c r="A977" t="s">
        <v>72</v>
      </c>
      <c r="B977" t="s">
        <v>17144</v>
      </c>
      <c r="C977" t="s">
        <v>74</v>
      </c>
      <c r="D977" t="s">
        <v>74</v>
      </c>
      <c r="E977" t="s">
        <v>74</v>
      </c>
      <c r="F977" t="s">
        <v>17145</v>
      </c>
      <c r="G977" t="s">
        <v>74</v>
      </c>
      <c r="H977" t="s">
        <v>74</v>
      </c>
      <c r="I977" t="s">
        <v>17146</v>
      </c>
      <c r="J977" t="s">
        <v>17147</v>
      </c>
      <c r="K977" t="s">
        <v>74</v>
      </c>
      <c r="L977" t="s">
        <v>74</v>
      </c>
      <c r="M977" t="s">
        <v>78</v>
      </c>
      <c r="N977" t="s">
        <v>79</v>
      </c>
      <c r="O977" t="s">
        <v>74</v>
      </c>
      <c r="P977" t="s">
        <v>74</v>
      </c>
      <c r="Q977" t="s">
        <v>74</v>
      </c>
      <c r="R977" t="s">
        <v>74</v>
      </c>
      <c r="S977" t="s">
        <v>74</v>
      </c>
      <c r="T977" t="s">
        <v>74</v>
      </c>
      <c r="U977" t="s">
        <v>17148</v>
      </c>
      <c r="V977" t="s">
        <v>17149</v>
      </c>
      <c r="W977" t="s">
        <v>17150</v>
      </c>
      <c r="X977" t="s">
        <v>17151</v>
      </c>
      <c r="Y977" t="s">
        <v>17152</v>
      </c>
      <c r="Z977" t="s">
        <v>74</v>
      </c>
      <c r="AA977" t="s">
        <v>17153</v>
      </c>
      <c r="AB977" t="s">
        <v>17154</v>
      </c>
      <c r="AC977" t="s">
        <v>17155</v>
      </c>
      <c r="AD977" t="s">
        <v>17156</v>
      </c>
      <c r="AE977" t="s">
        <v>17157</v>
      </c>
      <c r="AF977" t="s">
        <v>74</v>
      </c>
      <c r="AG977">
        <v>41</v>
      </c>
      <c r="AH977">
        <v>8</v>
      </c>
      <c r="AI977">
        <v>10</v>
      </c>
      <c r="AJ977">
        <v>0</v>
      </c>
      <c r="AK977">
        <v>4</v>
      </c>
      <c r="AL977" t="s">
        <v>17158</v>
      </c>
      <c r="AM977" t="s">
        <v>17159</v>
      </c>
      <c r="AN977" t="s">
        <v>17160</v>
      </c>
      <c r="AO977" t="s">
        <v>17161</v>
      </c>
      <c r="AP977" t="s">
        <v>17162</v>
      </c>
      <c r="AQ977" t="s">
        <v>74</v>
      </c>
      <c r="AR977" t="s">
        <v>17163</v>
      </c>
      <c r="AS977" t="s">
        <v>17164</v>
      </c>
      <c r="AT977" t="s">
        <v>17165</v>
      </c>
      <c r="AU977">
        <v>2010</v>
      </c>
      <c r="AV977">
        <v>15</v>
      </c>
      <c r="AW977">
        <v>2</v>
      </c>
      <c r="AX977" t="s">
        <v>74</v>
      </c>
      <c r="AY977" t="s">
        <v>74</v>
      </c>
      <c r="AZ977" t="s">
        <v>74</v>
      </c>
      <c r="BA977" t="s">
        <v>74</v>
      </c>
      <c r="BB977">
        <v>203</v>
      </c>
      <c r="BC977">
        <v>217</v>
      </c>
      <c r="BD977" t="s">
        <v>74</v>
      </c>
      <c r="BE977" t="s">
        <v>74</v>
      </c>
      <c r="BF977" t="s">
        <v>74</v>
      </c>
      <c r="BG977" t="s">
        <v>74</v>
      </c>
      <c r="BH977" t="s">
        <v>74</v>
      </c>
      <c r="BI977">
        <v>15</v>
      </c>
      <c r="BJ977" t="s">
        <v>3562</v>
      </c>
      <c r="BK977" t="s">
        <v>100</v>
      </c>
      <c r="BL977" t="s">
        <v>2797</v>
      </c>
      <c r="BM977" t="s">
        <v>17166</v>
      </c>
      <c r="BN977" t="s">
        <v>74</v>
      </c>
      <c r="BO977" t="s">
        <v>74</v>
      </c>
      <c r="BP977" t="s">
        <v>74</v>
      </c>
      <c r="BQ977" t="s">
        <v>74</v>
      </c>
      <c r="BR977" t="s">
        <v>104</v>
      </c>
      <c r="BS977" t="s">
        <v>17167</v>
      </c>
      <c r="BT977" t="str">
        <f>HYPERLINK("https%3A%2F%2Fwww.webofscience.com%2Fwos%2Fwoscc%2Ffull-record%2FWOS:000277256000009","View Full Record in Web of Science")</f>
        <v>View Full Record in Web of Science</v>
      </c>
    </row>
    <row r="978" spans="1:72" x14ac:dyDescent="0.15">
      <c r="A978" t="s">
        <v>72</v>
      </c>
      <c r="B978" t="s">
        <v>17168</v>
      </c>
      <c r="C978" t="s">
        <v>74</v>
      </c>
      <c r="D978" t="s">
        <v>74</v>
      </c>
      <c r="E978" t="s">
        <v>74</v>
      </c>
      <c r="F978" t="s">
        <v>17169</v>
      </c>
      <c r="G978" t="s">
        <v>74</v>
      </c>
      <c r="H978" t="s">
        <v>74</v>
      </c>
      <c r="I978" t="s">
        <v>17170</v>
      </c>
      <c r="J978" t="s">
        <v>1891</v>
      </c>
      <c r="K978" t="s">
        <v>74</v>
      </c>
      <c r="L978" t="s">
        <v>74</v>
      </c>
      <c r="M978" t="s">
        <v>78</v>
      </c>
      <c r="N978" t="s">
        <v>79</v>
      </c>
      <c r="O978" t="s">
        <v>74</v>
      </c>
      <c r="P978" t="s">
        <v>74</v>
      </c>
      <c r="Q978" t="s">
        <v>74</v>
      </c>
      <c r="R978" t="s">
        <v>74</v>
      </c>
      <c r="S978" t="s">
        <v>74</v>
      </c>
      <c r="T978" t="s">
        <v>17171</v>
      </c>
      <c r="U978" t="s">
        <v>17172</v>
      </c>
      <c r="V978" t="s">
        <v>17173</v>
      </c>
      <c r="W978" t="s">
        <v>17174</v>
      </c>
      <c r="X978" t="s">
        <v>17175</v>
      </c>
      <c r="Y978" t="s">
        <v>17176</v>
      </c>
      <c r="Z978" t="s">
        <v>17177</v>
      </c>
      <c r="AA978" t="s">
        <v>74</v>
      </c>
      <c r="AB978" t="s">
        <v>16542</v>
      </c>
      <c r="AC978" t="s">
        <v>17178</v>
      </c>
      <c r="AD978" t="s">
        <v>17179</v>
      </c>
      <c r="AE978" t="s">
        <v>17180</v>
      </c>
      <c r="AF978" t="s">
        <v>74</v>
      </c>
      <c r="AG978">
        <v>33</v>
      </c>
      <c r="AH978">
        <v>18</v>
      </c>
      <c r="AI978">
        <v>21</v>
      </c>
      <c r="AJ978">
        <v>1</v>
      </c>
      <c r="AK978">
        <v>13</v>
      </c>
      <c r="AL978" t="s">
        <v>264</v>
      </c>
      <c r="AM978" t="s">
        <v>265</v>
      </c>
      <c r="AN978" t="s">
        <v>266</v>
      </c>
      <c r="AO978" t="s">
        <v>1902</v>
      </c>
      <c r="AP978" t="s">
        <v>1903</v>
      </c>
      <c r="AQ978" t="s">
        <v>74</v>
      </c>
      <c r="AR978" t="s">
        <v>1904</v>
      </c>
      <c r="AS978" t="s">
        <v>1905</v>
      </c>
      <c r="AT978" t="s">
        <v>17165</v>
      </c>
      <c r="AU978">
        <v>2010</v>
      </c>
      <c r="AV978">
        <v>30</v>
      </c>
      <c r="AW978">
        <v>7</v>
      </c>
      <c r="AX978" t="s">
        <v>74</v>
      </c>
      <c r="AY978" t="s">
        <v>74</v>
      </c>
      <c r="AZ978" t="s">
        <v>74</v>
      </c>
      <c r="BA978" t="s">
        <v>74</v>
      </c>
      <c r="BB978">
        <v>733</v>
      </c>
      <c r="BC978">
        <v>742</v>
      </c>
      <c r="BD978" t="s">
        <v>74</v>
      </c>
      <c r="BE978" t="s">
        <v>17181</v>
      </c>
      <c r="BF978" t="str">
        <f>HYPERLINK("http://dx.doi.org/10.1016/j.csr.2010.01.007","http://dx.doi.org/10.1016/j.csr.2010.01.007")</f>
        <v>http://dx.doi.org/10.1016/j.csr.2010.01.007</v>
      </c>
      <c r="BG978" t="s">
        <v>74</v>
      </c>
      <c r="BH978" t="s">
        <v>74</v>
      </c>
      <c r="BI978">
        <v>10</v>
      </c>
      <c r="BJ978" t="s">
        <v>1531</v>
      </c>
      <c r="BK978" t="s">
        <v>100</v>
      </c>
      <c r="BL978" t="s">
        <v>1531</v>
      </c>
      <c r="BM978" t="s">
        <v>17182</v>
      </c>
      <c r="BN978" t="s">
        <v>74</v>
      </c>
      <c r="BO978" t="s">
        <v>74</v>
      </c>
      <c r="BP978" t="s">
        <v>74</v>
      </c>
      <c r="BQ978" t="s">
        <v>74</v>
      </c>
      <c r="BR978" t="s">
        <v>104</v>
      </c>
      <c r="BS978" t="s">
        <v>17183</v>
      </c>
      <c r="BT978" t="str">
        <f>HYPERLINK("https%3A%2F%2Fwww.webofscience.com%2Fwos%2Fwoscc%2Ffull-record%2FWOS:000277750300003","View Full Record in Web of Science")</f>
        <v>View Full Record in Web of Science</v>
      </c>
    </row>
    <row r="979" spans="1:72" x14ac:dyDescent="0.15">
      <c r="A979" t="s">
        <v>72</v>
      </c>
      <c r="B979" t="s">
        <v>17184</v>
      </c>
      <c r="C979" t="s">
        <v>74</v>
      </c>
      <c r="D979" t="s">
        <v>74</v>
      </c>
      <c r="E979" t="s">
        <v>74</v>
      </c>
      <c r="F979" t="s">
        <v>17185</v>
      </c>
      <c r="G979" t="s">
        <v>74</v>
      </c>
      <c r="H979" t="s">
        <v>74</v>
      </c>
      <c r="I979" t="s">
        <v>17186</v>
      </c>
      <c r="J979" t="s">
        <v>1611</v>
      </c>
      <c r="K979" t="s">
        <v>74</v>
      </c>
      <c r="L979" t="s">
        <v>74</v>
      </c>
      <c r="M979" t="s">
        <v>78</v>
      </c>
      <c r="N979" t="s">
        <v>79</v>
      </c>
      <c r="O979" t="s">
        <v>74</v>
      </c>
      <c r="P979" t="s">
        <v>74</v>
      </c>
      <c r="Q979" t="s">
        <v>74</v>
      </c>
      <c r="R979" t="s">
        <v>74</v>
      </c>
      <c r="S979" t="s">
        <v>74</v>
      </c>
      <c r="T979" t="s">
        <v>74</v>
      </c>
      <c r="U979" t="s">
        <v>17187</v>
      </c>
      <c r="V979" t="s">
        <v>17188</v>
      </c>
      <c r="W979" t="s">
        <v>17189</v>
      </c>
      <c r="X979" t="s">
        <v>17190</v>
      </c>
      <c r="Y979" t="s">
        <v>17191</v>
      </c>
      <c r="Z979" t="s">
        <v>17192</v>
      </c>
      <c r="AA979" t="s">
        <v>17193</v>
      </c>
      <c r="AB979" t="s">
        <v>17194</v>
      </c>
      <c r="AC979" t="s">
        <v>10787</v>
      </c>
      <c r="AD979" t="s">
        <v>10788</v>
      </c>
      <c r="AE979" t="s">
        <v>17195</v>
      </c>
      <c r="AF979" t="s">
        <v>74</v>
      </c>
      <c r="AG979">
        <v>85</v>
      </c>
      <c r="AH979">
        <v>46</v>
      </c>
      <c r="AI979">
        <v>49</v>
      </c>
      <c r="AJ979">
        <v>2</v>
      </c>
      <c r="AK979">
        <v>30</v>
      </c>
      <c r="AL979" t="s">
        <v>1521</v>
      </c>
      <c r="AM979" t="s">
        <v>1522</v>
      </c>
      <c r="AN979" t="s">
        <v>1523</v>
      </c>
      <c r="AO979" t="s">
        <v>1623</v>
      </c>
      <c r="AP979" t="s">
        <v>1624</v>
      </c>
      <c r="AQ979" t="s">
        <v>74</v>
      </c>
      <c r="AR979" t="s">
        <v>1625</v>
      </c>
      <c r="AS979" t="s">
        <v>1626</v>
      </c>
      <c r="AT979" t="s">
        <v>17165</v>
      </c>
      <c r="AU979">
        <v>2010</v>
      </c>
      <c r="AV979">
        <v>24</v>
      </c>
      <c r="AW979" t="s">
        <v>74</v>
      </c>
      <c r="AX979" t="s">
        <v>74</v>
      </c>
      <c r="AY979" t="s">
        <v>74</v>
      </c>
      <c r="AZ979" t="s">
        <v>74</v>
      </c>
      <c r="BA979" t="s">
        <v>74</v>
      </c>
      <c r="BB979" t="s">
        <v>74</v>
      </c>
      <c r="BC979" t="s">
        <v>74</v>
      </c>
      <c r="BD979" t="s">
        <v>17196</v>
      </c>
      <c r="BE979" t="s">
        <v>17197</v>
      </c>
      <c r="BF979" t="str">
        <f>HYPERLINK("http://dx.doi.org/10.1029/2009GB003541","http://dx.doi.org/10.1029/2009GB003541")</f>
        <v>http://dx.doi.org/10.1029/2009GB003541</v>
      </c>
      <c r="BG979" t="s">
        <v>74</v>
      </c>
      <c r="BH979" t="s">
        <v>74</v>
      </c>
      <c r="BI979">
        <v>17</v>
      </c>
      <c r="BJ979" t="s">
        <v>1629</v>
      </c>
      <c r="BK979" t="s">
        <v>100</v>
      </c>
      <c r="BL979" t="s">
        <v>1630</v>
      </c>
      <c r="BM979" t="s">
        <v>17198</v>
      </c>
      <c r="BN979" t="s">
        <v>74</v>
      </c>
      <c r="BO979" t="s">
        <v>5408</v>
      </c>
      <c r="BP979" t="s">
        <v>74</v>
      </c>
      <c r="BQ979" t="s">
        <v>74</v>
      </c>
      <c r="BR979" t="s">
        <v>104</v>
      </c>
      <c r="BS979" t="s">
        <v>17199</v>
      </c>
      <c r="BT979" t="str">
        <f>HYPERLINK("https%3A%2F%2Fwww.webofscience.com%2Fwos%2Fwoscc%2Ffull-record%2FWOS:000277253100002","View Full Record in Web of Science")</f>
        <v>View Full Record in Web of Science</v>
      </c>
    </row>
    <row r="980" spans="1:72" x14ac:dyDescent="0.15">
      <c r="A980" t="s">
        <v>72</v>
      </c>
      <c r="B980" t="s">
        <v>17200</v>
      </c>
      <c r="C980" t="s">
        <v>74</v>
      </c>
      <c r="D980" t="s">
        <v>74</v>
      </c>
      <c r="E980" t="s">
        <v>74</v>
      </c>
      <c r="F980" t="s">
        <v>17201</v>
      </c>
      <c r="G980" t="s">
        <v>74</v>
      </c>
      <c r="H980" t="s">
        <v>74</v>
      </c>
      <c r="I980" t="s">
        <v>17202</v>
      </c>
      <c r="J980" t="s">
        <v>4495</v>
      </c>
      <c r="K980" t="s">
        <v>74</v>
      </c>
      <c r="L980" t="s">
        <v>74</v>
      </c>
      <c r="M980" t="s">
        <v>78</v>
      </c>
      <c r="N980" t="s">
        <v>79</v>
      </c>
      <c r="O980" t="s">
        <v>74</v>
      </c>
      <c r="P980" t="s">
        <v>74</v>
      </c>
      <c r="Q980" t="s">
        <v>74</v>
      </c>
      <c r="R980" t="s">
        <v>74</v>
      </c>
      <c r="S980" t="s">
        <v>74</v>
      </c>
      <c r="T980" t="s">
        <v>17203</v>
      </c>
      <c r="U980" t="s">
        <v>17204</v>
      </c>
      <c r="V980" t="s">
        <v>17205</v>
      </c>
      <c r="W980" t="s">
        <v>17206</v>
      </c>
      <c r="X980" t="s">
        <v>9696</v>
      </c>
      <c r="Y980" t="s">
        <v>17207</v>
      </c>
      <c r="Z980" t="s">
        <v>17208</v>
      </c>
      <c r="AA980" t="s">
        <v>17209</v>
      </c>
      <c r="AB980" t="s">
        <v>17210</v>
      </c>
      <c r="AC980" t="s">
        <v>17211</v>
      </c>
      <c r="AD980" t="s">
        <v>17211</v>
      </c>
      <c r="AE980" t="s">
        <v>17212</v>
      </c>
      <c r="AF980" t="s">
        <v>74</v>
      </c>
      <c r="AG980">
        <v>40</v>
      </c>
      <c r="AH980">
        <v>12</v>
      </c>
      <c r="AI980">
        <v>12</v>
      </c>
      <c r="AJ980">
        <v>1</v>
      </c>
      <c r="AK980">
        <v>12</v>
      </c>
      <c r="AL980" t="s">
        <v>549</v>
      </c>
      <c r="AM980" t="s">
        <v>550</v>
      </c>
      <c r="AN980" t="s">
        <v>551</v>
      </c>
      <c r="AO980" t="s">
        <v>4508</v>
      </c>
      <c r="AP980" t="s">
        <v>4509</v>
      </c>
      <c r="AQ980" t="s">
        <v>74</v>
      </c>
      <c r="AR980" t="s">
        <v>4510</v>
      </c>
      <c r="AS980" t="s">
        <v>4511</v>
      </c>
      <c r="AT980" t="s">
        <v>17165</v>
      </c>
      <c r="AU980">
        <v>2010</v>
      </c>
      <c r="AV980">
        <v>386</v>
      </c>
      <c r="AW980" t="s">
        <v>4513</v>
      </c>
      <c r="AX980" t="s">
        <v>74</v>
      </c>
      <c r="AY980" t="s">
        <v>74</v>
      </c>
      <c r="AZ980" t="s">
        <v>74</v>
      </c>
      <c r="BA980" t="s">
        <v>74</v>
      </c>
      <c r="BB980">
        <v>119</v>
      </c>
      <c r="BC980">
        <v>124</v>
      </c>
      <c r="BD980" t="s">
        <v>74</v>
      </c>
      <c r="BE980" t="s">
        <v>17213</v>
      </c>
      <c r="BF980" t="str">
        <f>HYPERLINK("http://dx.doi.org/10.1016/j.jembe.2010.02.015","http://dx.doi.org/10.1016/j.jembe.2010.02.015")</f>
        <v>http://dx.doi.org/10.1016/j.jembe.2010.02.015</v>
      </c>
      <c r="BG980" t="s">
        <v>74</v>
      </c>
      <c r="BH980" t="s">
        <v>74</v>
      </c>
      <c r="BI980">
        <v>6</v>
      </c>
      <c r="BJ980" t="s">
        <v>4515</v>
      </c>
      <c r="BK980" t="s">
        <v>100</v>
      </c>
      <c r="BL980" t="s">
        <v>4516</v>
      </c>
      <c r="BM980" t="s">
        <v>17214</v>
      </c>
      <c r="BN980" t="s">
        <v>74</v>
      </c>
      <c r="BO980" t="s">
        <v>1025</v>
      </c>
      <c r="BP980" t="s">
        <v>74</v>
      </c>
      <c r="BQ980" t="s">
        <v>74</v>
      </c>
      <c r="BR980" t="s">
        <v>104</v>
      </c>
      <c r="BS980" t="s">
        <v>17215</v>
      </c>
      <c r="BT980" t="str">
        <f>HYPERLINK("https%3A%2F%2Fwww.webofscience.com%2Fwos%2Fwoscc%2Ffull-record%2FWOS:000277483000016","View Full Record in Web of Science")</f>
        <v>View Full Record in Web of Science</v>
      </c>
    </row>
    <row r="981" spans="1:72" x14ac:dyDescent="0.15">
      <c r="A981" t="s">
        <v>72</v>
      </c>
      <c r="B981" t="s">
        <v>17216</v>
      </c>
      <c r="C981" t="s">
        <v>74</v>
      </c>
      <c r="D981" t="s">
        <v>74</v>
      </c>
      <c r="E981" t="s">
        <v>74</v>
      </c>
      <c r="F981" t="s">
        <v>17217</v>
      </c>
      <c r="G981" t="s">
        <v>74</v>
      </c>
      <c r="H981" t="s">
        <v>74</v>
      </c>
      <c r="I981" t="s">
        <v>17218</v>
      </c>
      <c r="J981" t="s">
        <v>1509</v>
      </c>
      <c r="K981" t="s">
        <v>74</v>
      </c>
      <c r="L981" t="s">
        <v>74</v>
      </c>
      <c r="M981" t="s">
        <v>78</v>
      </c>
      <c r="N981" t="s">
        <v>79</v>
      </c>
      <c r="O981" t="s">
        <v>74</v>
      </c>
      <c r="P981" t="s">
        <v>74</v>
      </c>
      <c r="Q981" t="s">
        <v>74</v>
      </c>
      <c r="R981" t="s">
        <v>74</v>
      </c>
      <c r="S981" t="s">
        <v>74</v>
      </c>
      <c r="T981" t="s">
        <v>74</v>
      </c>
      <c r="U981" t="s">
        <v>17219</v>
      </c>
      <c r="V981" t="s">
        <v>17220</v>
      </c>
      <c r="W981" t="s">
        <v>17221</v>
      </c>
      <c r="X981" t="s">
        <v>17222</v>
      </c>
      <c r="Y981" t="s">
        <v>17223</v>
      </c>
      <c r="Z981" t="s">
        <v>74</v>
      </c>
      <c r="AA981" t="s">
        <v>17224</v>
      </c>
      <c r="AB981" t="s">
        <v>17225</v>
      </c>
      <c r="AC981" t="s">
        <v>17226</v>
      </c>
      <c r="AD981" t="s">
        <v>17227</v>
      </c>
      <c r="AE981" t="s">
        <v>17228</v>
      </c>
      <c r="AF981" t="s">
        <v>74</v>
      </c>
      <c r="AG981">
        <v>55</v>
      </c>
      <c r="AH981">
        <v>96</v>
      </c>
      <c r="AI981">
        <v>97</v>
      </c>
      <c r="AJ981">
        <v>0</v>
      </c>
      <c r="AK981">
        <v>17</v>
      </c>
      <c r="AL981" t="s">
        <v>1521</v>
      </c>
      <c r="AM981" t="s">
        <v>1522</v>
      </c>
      <c r="AN981" t="s">
        <v>1523</v>
      </c>
      <c r="AO981" t="s">
        <v>1524</v>
      </c>
      <c r="AP981" t="s">
        <v>1525</v>
      </c>
      <c r="AQ981" t="s">
        <v>74</v>
      </c>
      <c r="AR981" t="s">
        <v>1526</v>
      </c>
      <c r="AS981" t="s">
        <v>1527</v>
      </c>
      <c r="AT981" t="s">
        <v>17165</v>
      </c>
      <c r="AU981">
        <v>2010</v>
      </c>
      <c r="AV981">
        <v>115</v>
      </c>
      <c r="AW981" t="s">
        <v>74</v>
      </c>
      <c r="AX981" t="s">
        <v>74</v>
      </c>
      <c r="AY981" t="s">
        <v>74</v>
      </c>
      <c r="AZ981" t="s">
        <v>74</v>
      </c>
      <c r="BA981" t="s">
        <v>74</v>
      </c>
      <c r="BB981" t="s">
        <v>74</v>
      </c>
      <c r="BC981" t="s">
        <v>74</v>
      </c>
      <c r="BD981" t="s">
        <v>17229</v>
      </c>
      <c r="BE981" t="s">
        <v>17230</v>
      </c>
      <c r="BF981" t="str">
        <f>HYPERLINK("http://dx.doi.org/10.1029/2009JC005812","http://dx.doi.org/10.1029/2009JC005812")</f>
        <v>http://dx.doi.org/10.1029/2009JC005812</v>
      </c>
      <c r="BG981" t="s">
        <v>74</v>
      </c>
      <c r="BH981" t="s">
        <v>74</v>
      </c>
      <c r="BI981">
        <v>29</v>
      </c>
      <c r="BJ981" t="s">
        <v>1531</v>
      </c>
      <c r="BK981" t="s">
        <v>100</v>
      </c>
      <c r="BL981" t="s">
        <v>1531</v>
      </c>
      <c r="BM981" t="s">
        <v>17231</v>
      </c>
      <c r="BN981" t="s">
        <v>74</v>
      </c>
      <c r="BO981" t="s">
        <v>1533</v>
      </c>
      <c r="BP981" t="s">
        <v>74</v>
      </c>
      <c r="BQ981" t="s">
        <v>74</v>
      </c>
      <c r="BR981" t="s">
        <v>104</v>
      </c>
      <c r="BS981" t="s">
        <v>17232</v>
      </c>
      <c r="BT981" t="str">
        <f>HYPERLINK("https%3A%2F%2Fwww.webofscience.com%2Fwos%2Fwoscc%2Ffull-record%2FWOS:000277262700001","View Full Record in Web of Science")</f>
        <v>View Full Record in Web of Science</v>
      </c>
    </row>
    <row r="982" spans="1:72" x14ac:dyDescent="0.15">
      <c r="A982" t="s">
        <v>72</v>
      </c>
      <c r="B982" t="s">
        <v>17233</v>
      </c>
      <c r="C982" t="s">
        <v>74</v>
      </c>
      <c r="D982" t="s">
        <v>74</v>
      </c>
      <c r="E982" t="s">
        <v>74</v>
      </c>
      <c r="F982" t="s">
        <v>17234</v>
      </c>
      <c r="G982" t="s">
        <v>74</v>
      </c>
      <c r="H982" t="s">
        <v>74</v>
      </c>
      <c r="I982" t="s">
        <v>17235</v>
      </c>
      <c r="J982" t="s">
        <v>2009</v>
      </c>
      <c r="K982" t="s">
        <v>74</v>
      </c>
      <c r="L982" t="s">
        <v>74</v>
      </c>
      <c r="M982" t="s">
        <v>78</v>
      </c>
      <c r="N982" t="s">
        <v>79</v>
      </c>
      <c r="O982" t="s">
        <v>74</v>
      </c>
      <c r="P982" t="s">
        <v>74</v>
      </c>
      <c r="Q982" t="s">
        <v>74</v>
      </c>
      <c r="R982" t="s">
        <v>74</v>
      </c>
      <c r="S982" t="s">
        <v>74</v>
      </c>
      <c r="T982" t="s">
        <v>74</v>
      </c>
      <c r="U982" t="s">
        <v>17236</v>
      </c>
      <c r="V982" t="s">
        <v>17237</v>
      </c>
      <c r="W982" t="s">
        <v>17238</v>
      </c>
      <c r="X982" t="s">
        <v>17239</v>
      </c>
      <c r="Y982" t="s">
        <v>17240</v>
      </c>
      <c r="Z982" t="s">
        <v>17241</v>
      </c>
      <c r="AA982" t="s">
        <v>17242</v>
      </c>
      <c r="AB982" t="s">
        <v>17243</v>
      </c>
      <c r="AC982" t="s">
        <v>17244</v>
      </c>
      <c r="AD982" t="s">
        <v>2843</v>
      </c>
      <c r="AE982" t="s">
        <v>74</v>
      </c>
      <c r="AF982" t="s">
        <v>74</v>
      </c>
      <c r="AG982">
        <v>25</v>
      </c>
      <c r="AH982">
        <v>5</v>
      </c>
      <c r="AI982">
        <v>5</v>
      </c>
      <c r="AJ982">
        <v>0</v>
      </c>
      <c r="AK982">
        <v>7</v>
      </c>
      <c r="AL982" t="s">
        <v>1521</v>
      </c>
      <c r="AM982" t="s">
        <v>1522</v>
      </c>
      <c r="AN982" t="s">
        <v>1523</v>
      </c>
      <c r="AO982" t="s">
        <v>2017</v>
      </c>
      <c r="AP982" t="s">
        <v>74</v>
      </c>
      <c r="AQ982" t="s">
        <v>74</v>
      </c>
      <c r="AR982" t="s">
        <v>2018</v>
      </c>
      <c r="AS982" t="s">
        <v>2019</v>
      </c>
      <c r="AT982" t="s">
        <v>17165</v>
      </c>
      <c r="AU982">
        <v>2010</v>
      </c>
      <c r="AV982">
        <v>45</v>
      </c>
      <c r="AW982" t="s">
        <v>74</v>
      </c>
      <c r="AX982" t="s">
        <v>74</v>
      </c>
      <c r="AY982" t="s">
        <v>74</v>
      </c>
      <c r="AZ982" t="s">
        <v>74</v>
      </c>
      <c r="BA982" t="s">
        <v>74</v>
      </c>
      <c r="BB982" t="s">
        <v>74</v>
      </c>
      <c r="BC982" t="s">
        <v>74</v>
      </c>
      <c r="BD982" t="s">
        <v>17245</v>
      </c>
      <c r="BE982" t="s">
        <v>17246</v>
      </c>
      <c r="BF982" t="str">
        <f>HYPERLINK("http://dx.doi.org/10.1029/2009RS004215","http://dx.doi.org/10.1029/2009RS004215")</f>
        <v>http://dx.doi.org/10.1029/2009RS004215</v>
      </c>
      <c r="BG982" t="s">
        <v>74</v>
      </c>
      <c r="BH982" t="s">
        <v>74</v>
      </c>
      <c r="BI982">
        <v>11</v>
      </c>
      <c r="BJ982" t="s">
        <v>2022</v>
      </c>
      <c r="BK982" t="s">
        <v>100</v>
      </c>
      <c r="BL982" t="s">
        <v>2022</v>
      </c>
      <c r="BM982" t="s">
        <v>17247</v>
      </c>
      <c r="BN982" t="s">
        <v>74</v>
      </c>
      <c r="BO982" t="s">
        <v>1025</v>
      </c>
      <c r="BP982" t="s">
        <v>74</v>
      </c>
      <c r="BQ982" t="s">
        <v>74</v>
      </c>
      <c r="BR982" t="s">
        <v>104</v>
      </c>
      <c r="BS982" t="s">
        <v>17248</v>
      </c>
      <c r="BT982" t="str">
        <f>HYPERLINK("https%3A%2F%2Fwww.webofscience.com%2Fwos%2Fwoscc%2Ffull-record%2FWOS:000277266100001","View Full Record in Web of Science")</f>
        <v>View Full Record in Web of Science</v>
      </c>
    </row>
    <row r="983" spans="1:72" x14ac:dyDescent="0.15">
      <c r="A983" t="s">
        <v>72</v>
      </c>
      <c r="B983" t="s">
        <v>17249</v>
      </c>
      <c r="C983" t="s">
        <v>74</v>
      </c>
      <c r="D983" t="s">
        <v>74</v>
      </c>
      <c r="E983" t="s">
        <v>74</v>
      </c>
      <c r="F983" t="s">
        <v>17250</v>
      </c>
      <c r="G983" t="s">
        <v>74</v>
      </c>
      <c r="H983" t="s">
        <v>74</v>
      </c>
      <c r="I983" t="s">
        <v>17251</v>
      </c>
      <c r="J983" t="s">
        <v>4634</v>
      </c>
      <c r="K983" t="s">
        <v>74</v>
      </c>
      <c r="L983" t="s">
        <v>74</v>
      </c>
      <c r="M983" t="s">
        <v>78</v>
      </c>
      <c r="N983" t="s">
        <v>79</v>
      </c>
      <c r="O983" t="s">
        <v>74</v>
      </c>
      <c r="P983" t="s">
        <v>74</v>
      </c>
      <c r="Q983" t="s">
        <v>74</v>
      </c>
      <c r="R983" t="s">
        <v>74</v>
      </c>
      <c r="S983" t="s">
        <v>74</v>
      </c>
      <c r="T983" t="s">
        <v>74</v>
      </c>
      <c r="U983" t="s">
        <v>17252</v>
      </c>
      <c r="V983" t="s">
        <v>17253</v>
      </c>
      <c r="W983" t="s">
        <v>17254</v>
      </c>
      <c r="X983" t="s">
        <v>17255</v>
      </c>
      <c r="Y983" t="s">
        <v>17256</v>
      </c>
      <c r="Z983" t="s">
        <v>17257</v>
      </c>
      <c r="AA983" t="s">
        <v>17258</v>
      </c>
      <c r="AB983" t="s">
        <v>17259</v>
      </c>
      <c r="AC983" t="s">
        <v>17260</v>
      </c>
      <c r="AD983" t="s">
        <v>17261</v>
      </c>
      <c r="AE983" t="s">
        <v>17262</v>
      </c>
      <c r="AF983" t="s">
        <v>74</v>
      </c>
      <c r="AG983">
        <v>54</v>
      </c>
      <c r="AH983">
        <v>35</v>
      </c>
      <c r="AI983">
        <v>37</v>
      </c>
      <c r="AJ983">
        <v>0</v>
      </c>
      <c r="AK983">
        <v>4</v>
      </c>
      <c r="AL983" t="s">
        <v>1521</v>
      </c>
      <c r="AM983" t="s">
        <v>1522</v>
      </c>
      <c r="AN983" t="s">
        <v>1523</v>
      </c>
      <c r="AO983" t="s">
        <v>4646</v>
      </c>
      <c r="AP983" t="s">
        <v>4647</v>
      </c>
      <c r="AQ983" t="s">
        <v>74</v>
      </c>
      <c r="AR983" t="s">
        <v>4648</v>
      </c>
      <c r="AS983" t="s">
        <v>4649</v>
      </c>
      <c r="AT983" t="s">
        <v>17263</v>
      </c>
      <c r="AU983">
        <v>2010</v>
      </c>
      <c r="AV983">
        <v>115</v>
      </c>
      <c r="AW983" t="s">
        <v>74</v>
      </c>
      <c r="AX983" t="s">
        <v>74</v>
      </c>
      <c r="AY983" t="s">
        <v>74</v>
      </c>
      <c r="AZ983" t="s">
        <v>74</v>
      </c>
      <c r="BA983" t="s">
        <v>74</v>
      </c>
      <c r="BB983" t="s">
        <v>74</v>
      </c>
      <c r="BC983" t="s">
        <v>74</v>
      </c>
      <c r="BD983" t="s">
        <v>17264</v>
      </c>
      <c r="BE983" t="s">
        <v>17265</v>
      </c>
      <c r="BF983" t="str">
        <f>HYPERLINK("http://dx.doi.org/10.1029/2009JA014452","http://dx.doi.org/10.1029/2009JA014452")</f>
        <v>http://dx.doi.org/10.1029/2009JA014452</v>
      </c>
      <c r="BG983" t="s">
        <v>74</v>
      </c>
      <c r="BH983" t="s">
        <v>74</v>
      </c>
      <c r="BI983">
        <v>12</v>
      </c>
      <c r="BJ983" t="s">
        <v>1805</v>
      </c>
      <c r="BK983" t="s">
        <v>100</v>
      </c>
      <c r="BL983" t="s">
        <v>1805</v>
      </c>
      <c r="BM983" t="s">
        <v>17266</v>
      </c>
      <c r="BN983" t="s">
        <v>74</v>
      </c>
      <c r="BO983" t="s">
        <v>1533</v>
      </c>
      <c r="BP983" t="s">
        <v>74</v>
      </c>
      <c r="BQ983" t="s">
        <v>74</v>
      </c>
      <c r="BR983" t="s">
        <v>104</v>
      </c>
      <c r="BS983" t="s">
        <v>17267</v>
      </c>
      <c r="BT983" t="str">
        <f>HYPERLINK("https%3A%2F%2Fwww.webofscience.com%2Fwos%2Fwoscc%2Ffull-record%2FWOS:000277265800001","View Full Record in Web of Science")</f>
        <v>View Full Record in Web of Science</v>
      </c>
    </row>
    <row r="984" spans="1:72" x14ac:dyDescent="0.15">
      <c r="A984" t="s">
        <v>72</v>
      </c>
      <c r="B984" t="s">
        <v>17268</v>
      </c>
      <c r="C984" t="s">
        <v>74</v>
      </c>
      <c r="D984" t="s">
        <v>74</v>
      </c>
      <c r="E984" t="s">
        <v>74</v>
      </c>
      <c r="F984" t="s">
        <v>17269</v>
      </c>
      <c r="G984" t="s">
        <v>74</v>
      </c>
      <c r="H984" t="s">
        <v>74</v>
      </c>
      <c r="I984" t="s">
        <v>17270</v>
      </c>
      <c r="J984" t="s">
        <v>17271</v>
      </c>
      <c r="K984" t="s">
        <v>74</v>
      </c>
      <c r="L984" t="s">
        <v>74</v>
      </c>
      <c r="M984" t="s">
        <v>78</v>
      </c>
      <c r="N984" t="s">
        <v>79</v>
      </c>
      <c r="O984" t="s">
        <v>74</v>
      </c>
      <c r="P984" t="s">
        <v>74</v>
      </c>
      <c r="Q984" t="s">
        <v>74</v>
      </c>
      <c r="R984" t="s">
        <v>74</v>
      </c>
      <c r="S984" t="s">
        <v>74</v>
      </c>
      <c r="T984" t="s">
        <v>17272</v>
      </c>
      <c r="U984" t="s">
        <v>17273</v>
      </c>
      <c r="V984" t="s">
        <v>17274</v>
      </c>
      <c r="W984" t="s">
        <v>17275</v>
      </c>
      <c r="X984" t="s">
        <v>17276</v>
      </c>
      <c r="Y984" t="s">
        <v>17277</v>
      </c>
      <c r="Z984" t="s">
        <v>17278</v>
      </c>
      <c r="AA984" t="s">
        <v>17279</v>
      </c>
      <c r="AB984" t="s">
        <v>17280</v>
      </c>
      <c r="AC984" t="s">
        <v>17281</v>
      </c>
      <c r="AD984" t="s">
        <v>17282</v>
      </c>
      <c r="AE984" t="s">
        <v>17283</v>
      </c>
      <c r="AF984" t="s">
        <v>74</v>
      </c>
      <c r="AG984">
        <v>53</v>
      </c>
      <c r="AH984">
        <v>21</v>
      </c>
      <c r="AI984">
        <v>26</v>
      </c>
      <c r="AJ984">
        <v>0</v>
      </c>
      <c r="AK984">
        <v>16</v>
      </c>
      <c r="AL984" t="s">
        <v>549</v>
      </c>
      <c r="AM984" t="s">
        <v>550</v>
      </c>
      <c r="AN984" t="s">
        <v>551</v>
      </c>
      <c r="AO984" t="s">
        <v>17284</v>
      </c>
      <c r="AP984" t="s">
        <v>17285</v>
      </c>
      <c r="AQ984" t="s">
        <v>74</v>
      </c>
      <c r="AR984" t="s">
        <v>17271</v>
      </c>
      <c r="AS984" t="s">
        <v>17286</v>
      </c>
      <c r="AT984" t="s">
        <v>17263</v>
      </c>
      <c r="AU984">
        <v>2010</v>
      </c>
      <c r="AV984">
        <v>486</v>
      </c>
      <c r="AW984" t="s">
        <v>3822</v>
      </c>
      <c r="AX984" t="s">
        <v>74</v>
      </c>
      <c r="AY984" t="s">
        <v>74</v>
      </c>
      <c r="AZ984" t="s">
        <v>74</v>
      </c>
      <c r="BA984" t="s">
        <v>74</v>
      </c>
      <c r="BB984">
        <v>28</v>
      </c>
      <c r="BC984">
        <v>35</v>
      </c>
      <c r="BD984" t="s">
        <v>74</v>
      </c>
      <c r="BE984" t="s">
        <v>17287</v>
      </c>
      <c r="BF984" t="str">
        <f>HYPERLINK("http://dx.doi.org/10.1016/j.tecto.2010.02.006","http://dx.doi.org/10.1016/j.tecto.2010.02.006")</f>
        <v>http://dx.doi.org/10.1016/j.tecto.2010.02.006</v>
      </c>
      <c r="BG984" t="s">
        <v>74</v>
      </c>
      <c r="BH984" t="s">
        <v>74</v>
      </c>
      <c r="BI984">
        <v>8</v>
      </c>
      <c r="BJ984" t="s">
        <v>558</v>
      </c>
      <c r="BK984" t="s">
        <v>100</v>
      </c>
      <c r="BL984" t="s">
        <v>558</v>
      </c>
      <c r="BM984" t="s">
        <v>17288</v>
      </c>
      <c r="BN984" t="s">
        <v>74</v>
      </c>
      <c r="BO984" t="s">
        <v>74</v>
      </c>
      <c r="BP984" t="s">
        <v>74</v>
      </c>
      <c r="BQ984" t="s">
        <v>74</v>
      </c>
      <c r="BR984" t="s">
        <v>104</v>
      </c>
      <c r="BS984" t="s">
        <v>17289</v>
      </c>
      <c r="BT984" t="str">
        <f>HYPERLINK("https%3A%2F%2Fwww.webofscience.com%2Fwos%2Fwoscc%2Ffull-record%2FWOS:000278216400003","View Full Record in Web of Science")</f>
        <v>View Full Record in Web of Science</v>
      </c>
    </row>
    <row r="985" spans="1:72" x14ac:dyDescent="0.15">
      <c r="A985" t="s">
        <v>72</v>
      </c>
      <c r="B985" t="s">
        <v>17290</v>
      </c>
      <c r="C985" t="s">
        <v>74</v>
      </c>
      <c r="D985" t="s">
        <v>74</v>
      </c>
      <c r="E985" t="s">
        <v>74</v>
      </c>
      <c r="F985" t="s">
        <v>17291</v>
      </c>
      <c r="G985" t="s">
        <v>74</v>
      </c>
      <c r="H985" t="s">
        <v>74</v>
      </c>
      <c r="I985" t="s">
        <v>17292</v>
      </c>
      <c r="J985" t="s">
        <v>4882</v>
      </c>
      <c r="K985" t="s">
        <v>74</v>
      </c>
      <c r="L985" t="s">
        <v>74</v>
      </c>
      <c r="M985" t="s">
        <v>78</v>
      </c>
      <c r="N985" t="s">
        <v>79</v>
      </c>
      <c r="O985" t="s">
        <v>74</v>
      </c>
      <c r="P985" t="s">
        <v>74</v>
      </c>
      <c r="Q985" t="s">
        <v>74</v>
      </c>
      <c r="R985" t="s">
        <v>74</v>
      </c>
      <c r="S985" t="s">
        <v>74</v>
      </c>
      <c r="T985" t="s">
        <v>17293</v>
      </c>
      <c r="U985" t="s">
        <v>17294</v>
      </c>
      <c r="V985" t="s">
        <v>17295</v>
      </c>
      <c r="W985" t="s">
        <v>17296</v>
      </c>
      <c r="X985" t="s">
        <v>17297</v>
      </c>
      <c r="Y985" t="s">
        <v>17298</v>
      </c>
      <c r="Z985" t="s">
        <v>17299</v>
      </c>
      <c r="AA985" t="s">
        <v>74</v>
      </c>
      <c r="AB985" t="s">
        <v>74</v>
      </c>
      <c r="AC985" t="s">
        <v>17300</v>
      </c>
      <c r="AD985" t="s">
        <v>17301</v>
      </c>
      <c r="AE985" t="s">
        <v>17302</v>
      </c>
      <c r="AF985" t="s">
        <v>74</v>
      </c>
      <c r="AG985">
        <v>27</v>
      </c>
      <c r="AH985">
        <v>2</v>
      </c>
      <c r="AI985">
        <v>3</v>
      </c>
      <c r="AJ985">
        <v>0</v>
      </c>
      <c r="AK985">
        <v>0</v>
      </c>
      <c r="AL985" t="s">
        <v>4895</v>
      </c>
      <c r="AM985" t="s">
        <v>4896</v>
      </c>
      <c r="AN985" t="s">
        <v>4897</v>
      </c>
      <c r="AO985" t="s">
        <v>4898</v>
      </c>
      <c r="AP985" t="s">
        <v>4899</v>
      </c>
      <c r="AQ985" t="s">
        <v>74</v>
      </c>
      <c r="AR985" t="s">
        <v>4882</v>
      </c>
      <c r="AS985" t="s">
        <v>4900</v>
      </c>
      <c r="AT985" t="s">
        <v>17263</v>
      </c>
      <c r="AU985">
        <v>2010</v>
      </c>
      <c r="AV985" t="s">
        <v>74</v>
      </c>
      <c r="AW985">
        <v>2440</v>
      </c>
      <c r="AX985" t="s">
        <v>74</v>
      </c>
      <c r="AY985" t="s">
        <v>74</v>
      </c>
      <c r="AZ985" t="s">
        <v>74</v>
      </c>
      <c r="BA985" t="s">
        <v>74</v>
      </c>
      <c r="BB985">
        <v>33</v>
      </c>
      <c r="BC985">
        <v>48</v>
      </c>
      <c r="BD985" t="s">
        <v>74</v>
      </c>
      <c r="BE985" t="s">
        <v>74</v>
      </c>
      <c r="BF985" t="s">
        <v>74</v>
      </c>
      <c r="BG985" t="s">
        <v>74</v>
      </c>
      <c r="BH985" t="s">
        <v>74</v>
      </c>
      <c r="BI985">
        <v>16</v>
      </c>
      <c r="BJ985" t="s">
        <v>492</v>
      </c>
      <c r="BK985" t="s">
        <v>100</v>
      </c>
      <c r="BL985" t="s">
        <v>492</v>
      </c>
      <c r="BM985" t="s">
        <v>17303</v>
      </c>
      <c r="BN985" t="s">
        <v>74</v>
      </c>
      <c r="BO985" t="s">
        <v>74</v>
      </c>
      <c r="BP985" t="s">
        <v>74</v>
      </c>
      <c r="BQ985" t="s">
        <v>74</v>
      </c>
      <c r="BR985" t="s">
        <v>104</v>
      </c>
      <c r="BS985" t="s">
        <v>17304</v>
      </c>
      <c r="BT985" t="str">
        <f>HYPERLINK("https%3A%2F%2Fwww.webofscience.com%2Fwos%2Fwoscc%2Ffull-record%2FWOS:000277126400003","View Full Record in Web of Science")</f>
        <v>View Full Record in Web of Science</v>
      </c>
    </row>
    <row r="986" spans="1:72" x14ac:dyDescent="0.15">
      <c r="A986" t="s">
        <v>72</v>
      </c>
      <c r="B986" t="s">
        <v>17305</v>
      </c>
      <c r="C986" t="s">
        <v>74</v>
      </c>
      <c r="D986" t="s">
        <v>74</v>
      </c>
      <c r="E986" t="s">
        <v>74</v>
      </c>
      <c r="F986" t="s">
        <v>17306</v>
      </c>
      <c r="G986" t="s">
        <v>74</v>
      </c>
      <c r="H986" t="s">
        <v>74</v>
      </c>
      <c r="I986" t="s">
        <v>17307</v>
      </c>
      <c r="J986" t="s">
        <v>2063</v>
      </c>
      <c r="K986" t="s">
        <v>74</v>
      </c>
      <c r="L986" t="s">
        <v>74</v>
      </c>
      <c r="M986" t="s">
        <v>78</v>
      </c>
      <c r="N986" t="s">
        <v>3953</v>
      </c>
      <c r="O986" t="s">
        <v>74</v>
      </c>
      <c r="P986" t="s">
        <v>74</v>
      </c>
      <c r="Q986" t="s">
        <v>74</v>
      </c>
      <c r="R986" t="s">
        <v>74</v>
      </c>
      <c r="S986" t="s">
        <v>74</v>
      </c>
      <c r="T986" t="s">
        <v>74</v>
      </c>
      <c r="U986" t="s">
        <v>74</v>
      </c>
      <c r="V986" t="s">
        <v>74</v>
      </c>
      <c r="W986" t="s">
        <v>74</v>
      </c>
      <c r="X986" t="s">
        <v>74</v>
      </c>
      <c r="Y986" t="s">
        <v>74</v>
      </c>
      <c r="Z986" t="s">
        <v>74</v>
      </c>
      <c r="AA986" t="s">
        <v>74</v>
      </c>
      <c r="AB986" t="s">
        <v>74</v>
      </c>
      <c r="AC986" t="s">
        <v>74</v>
      </c>
      <c r="AD986" t="s">
        <v>74</v>
      </c>
      <c r="AE986" t="s">
        <v>74</v>
      </c>
      <c r="AF986" t="s">
        <v>74</v>
      </c>
      <c r="AG986">
        <v>0</v>
      </c>
      <c r="AH986">
        <v>0</v>
      </c>
      <c r="AI986">
        <v>0</v>
      </c>
      <c r="AJ986">
        <v>0</v>
      </c>
      <c r="AK986">
        <v>2</v>
      </c>
      <c r="AL986" t="s">
        <v>2075</v>
      </c>
      <c r="AM986" t="s">
        <v>412</v>
      </c>
      <c r="AN986" t="s">
        <v>2076</v>
      </c>
      <c r="AO986" t="s">
        <v>2077</v>
      </c>
      <c r="AP986" t="s">
        <v>74</v>
      </c>
      <c r="AQ986" t="s">
        <v>74</v>
      </c>
      <c r="AR986" t="s">
        <v>2079</v>
      </c>
      <c r="AS986" t="s">
        <v>2080</v>
      </c>
      <c r="AT986" t="s">
        <v>17308</v>
      </c>
      <c r="AU986">
        <v>2010</v>
      </c>
      <c r="AV986">
        <v>20</v>
      </c>
      <c r="AW986">
        <v>8</v>
      </c>
      <c r="AX986" t="s">
        <v>74</v>
      </c>
      <c r="AY986" t="s">
        <v>74</v>
      </c>
      <c r="AZ986" t="s">
        <v>74</v>
      </c>
      <c r="BA986" t="s">
        <v>74</v>
      </c>
      <c r="BB986" t="s">
        <v>17309</v>
      </c>
      <c r="BC986" t="s">
        <v>17310</v>
      </c>
      <c r="BD986" t="s">
        <v>74</v>
      </c>
      <c r="BE986" t="s">
        <v>17311</v>
      </c>
      <c r="BF986" t="str">
        <f>HYPERLINK("http://dx.doi.org/10.1016/j.cub.2010.04.005","http://dx.doi.org/10.1016/j.cub.2010.04.005")</f>
        <v>http://dx.doi.org/10.1016/j.cub.2010.04.005</v>
      </c>
      <c r="BG986" t="s">
        <v>74</v>
      </c>
      <c r="BH986" t="s">
        <v>74</v>
      </c>
      <c r="BI986">
        <v>2</v>
      </c>
      <c r="BJ986" t="s">
        <v>2083</v>
      </c>
      <c r="BK986" t="s">
        <v>100</v>
      </c>
      <c r="BL986" t="s">
        <v>2084</v>
      </c>
      <c r="BM986" t="s">
        <v>17312</v>
      </c>
      <c r="BN986">
        <v>21749942</v>
      </c>
      <c r="BO986" t="s">
        <v>1000</v>
      </c>
      <c r="BP986" t="s">
        <v>74</v>
      </c>
      <c r="BQ986" t="s">
        <v>74</v>
      </c>
      <c r="BR986" t="s">
        <v>104</v>
      </c>
      <c r="BS986" t="s">
        <v>17313</v>
      </c>
      <c r="BT986" t="str">
        <f>HYPERLINK("https%3A%2F%2Fwww.webofscience.com%2Fwos%2Fwoscc%2Ffull-record%2FWOS:000277175200003","View Full Record in Web of Science")</f>
        <v>View Full Record in Web of Science</v>
      </c>
    </row>
    <row r="987" spans="1:72" x14ac:dyDescent="0.15">
      <c r="A987" t="s">
        <v>72</v>
      </c>
      <c r="B987" t="s">
        <v>17314</v>
      </c>
      <c r="C987" t="s">
        <v>74</v>
      </c>
      <c r="D987" t="s">
        <v>74</v>
      </c>
      <c r="E987" t="s">
        <v>74</v>
      </c>
      <c r="F987" t="s">
        <v>17315</v>
      </c>
      <c r="G987" t="s">
        <v>74</v>
      </c>
      <c r="H987" t="s">
        <v>74</v>
      </c>
      <c r="I987" t="s">
        <v>17316</v>
      </c>
      <c r="J987" t="s">
        <v>1637</v>
      </c>
      <c r="K987" t="s">
        <v>74</v>
      </c>
      <c r="L987" t="s">
        <v>74</v>
      </c>
      <c r="M987" t="s">
        <v>78</v>
      </c>
      <c r="N987" t="s">
        <v>79</v>
      </c>
      <c r="O987" t="s">
        <v>74</v>
      </c>
      <c r="P987" t="s">
        <v>74</v>
      </c>
      <c r="Q987" t="s">
        <v>74</v>
      </c>
      <c r="R987" t="s">
        <v>74</v>
      </c>
      <c r="S987" t="s">
        <v>74</v>
      </c>
      <c r="T987" t="s">
        <v>17317</v>
      </c>
      <c r="U987" t="s">
        <v>17318</v>
      </c>
      <c r="V987" t="s">
        <v>17319</v>
      </c>
      <c r="W987" t="s">
        <v>17320</v>
      </c>
      <c r="X987" t="s">
        <v>17321</v>
      </c>
      <c r="Y987" t="s">
        <v>17322</v>
      </c>
      <c r="Z987" t="s">
        <v>17323</v>
      </c>
      <c r="AA987" t="s">
        <v>74</v>
      </c>
      <c r="AB987" t="s">
        <v>17324</v>
      </c>
      <c r="AC987" t="s">
        <v>74</v>
      </c>
      <c r="AD987" t="s">
        <v>74</v>
      </c>
      <c r="AE987" t="s">
        <v>74</v>
      </c>
      <c r="AF987" t="s">
        <v>74</v>
      </c>
      <c r="AG987">
        <v>24</v>
      </c>
      <c r="AH987">
        <v>1</v>
      </c>
      <c r="AI987">
        <v>2</v>
      </c>
      <c r="AJ987">
        <v>0</v>
      </c>
      <c r="AK987">
        <v>4</v>
      </c>
      <c r="AL987" t="s">
        <v>1646</v>
      </c>
      <c r="AM987" t="s">
        <v>1647</v>
      </c>
      <c r="AN987" t="s">
        <v>1648</v>
      </c>
      <c r="AO987" t="s">
        <v>1649</v>
      </c>
      <c r="AP987" t="s">
        <v>74</v>
      </c>
      <c r="AQ987" t="s">
        <v>74</v>
      </c>
      <c r="AR987" t="s">
        <v>1650</v>
      </c>
      <c r="AS987" t="s">
        <v>1651</v>
      </c>
      <c r="AT987" t="s">
        <v>17325</v>
      </c>
      <c r="AU987">
        <v>2010</v>
      </c>
      <c r="AV987">
        <v>98</v>
      </c>
      <c r="AW987">
        <v>8</v>
      </c>
      <c r="AX987" t="s">
        <v>74</v>
      </c>
      <c r="AY987" t="s">
        <v>74</v>
      </c>
      <c r="AZ987" t="s">
        <v>74</v>
      </c>
      <c r="BA987" t="s">
        <v>74</v>
      </c>
      <c r="BB987">
        <v>1108</v>
      </c>
      <c r="BC987">
        <v>1112</v>
      </c>
      <c r="BD987" t="s">
        <v>74</v>
      </c>
      <c r="BE987" t="s">
        <v>74</v>
      </c>
      <c r="BF987" t="s">
        <v>74</v>
      </c>
      <c r="BG987" t="s">
        <v>74</v>
      </c>
      <c r="BH987" t="s">
        <v>74</v>
      </c>
      <c r="BI987">
        <v>6</v>
      </c>
      <c r="BJ987" t="s">
        <v>444</v>
      </c>
      <c r="BK987" t="s">
        <v>100</v>
      </c>
      <c r="BL987" t="s">
        <v>445</v>
      </c>
      <c r="BM987" t="s">
        <v>17326</v>
      </c>
      <c r="BN987" t="s">
        <v>74</v>
      </c>
      <c r="BO987" t="s">
        <v>74</v>
      </c>
      <c r="BP987" t="s">
        <v>74</v>
      </c>
      <c r="BQ987" t="s">
        <v>74</v>
      </c>
      <c r="BR987" t="s">
        <v>104</v>
      </c>
      <c r="BS987" t="s">
        <v>17327</v>
      </c>
      <c r="BT987" t="str">
        <f>HYPERLINK("https%3A%2F%2Fwww.webofscience.com%2Fwos%2Fwoscc%2Ffull-record%2FWOS:000277388800029","View Full Record in Web of Science")</f>
        <v>View Full Record in Web of Science</v>
      </c>
    </row>
    <row r="988" spans="1:72" x14ac:dyDescent="0.15">
      <c r="A988" t="s">
        <v>72</v>
      </c>
      <c r="B988" t="s">
        <v>17328</v>
      </c>
      <c r="C988" t="s">
        <v>74</v>
      </c>
      <c r="D988" t="s">
        <v>74</v>
      </c>
      <c r="E988" t="s">
        <v>74</v>
      </c>
      <c r="F988" t="s">
        <v>17329</v>
      </c>
      <c r="G988" t="s">
        <v>74</v>
      </c>
      <c r="H988" t="s">
        <v>74</v>
      </c>
      <c r="I988" t="s">
        <v>17330</v>
      </c>
      <c r="J988" t="s">
        <v>7126</v>
      </c>
      <c r="K988" t="s">
        <v>74</v>
      </c>
      <c r="L988" t="s">
        <v>74</v>
      </c>
      <c r="M988" t="s">
        <v>78</v>
      </c>
      <c r="N988" t="s">
        <v>79</v>
      </c>
      <c r="O988" t="s">
        <v>74</v>
      </c>
      <c r="P988" t="s">
        <v>74</v>
      </c>
      <c r="Q988" t="s">
        <v>74</v>
      </c>
      <c r="R988" t="s">
        <v>74</v>
      </c>
      <c r="S988" t="s">
        <v>74</v>
      </c>
      <c r="T988" t="s">
        <v>17331</v>
      </c>
      <c r="U988" t="s">
        <v>17332</v>
      </c>
      <c r="V988" t="s">
        <v>17333</v>
      </c>
      <c r="W988" t="s">
        <v>17334</v>
      </c>
      <c r="X988" t="s">
        <v>17335</v>
      </c>
      <c r="Y988" t="s">
        <v>17336</v>
      </c>
      <c r="Z988" t="s">
        <v>17337</v>
      </c>
      <c r="AA988" t="s">
        <v>74</v>
      </c>
      <c r="AB988" t="s">
        <v>17338</v>
      </c>
      <c r="AC988" t="s">
        <v>17339</v>
      </c>
      <c r="AD988" t="s">
        <v>17340</v>
      </c>
      <c r="AE988" t="s">
        <v>17341</v>
      </c>
      <c r="AF988" t="s">
        <v>74</v>
      </c>
      <c r="AG988">
        <v>30</v>
      </c>
      <c r="AH988">
        <v>7</v>
      </c>
      <c r="AI988">
        <v>8</v>
      </c>
      <c r="AJ988">
        <v>1</v>
      </c>
      <c r="AK988">
        <v>16</v>
      </c>
      <c r="AL988" t="s">
        <v>549</v>
      </c>
      <c r="AM988" t="s">
        <v>550</v>
      </c>
      <c r="AN988" t="s">
        <v>551</v>
      </c>
      <c r="AO988" t="s">
        <v>7138</v>
      </c>
      <c r="AP988" t="s">
        <v>74</v>
      </c>
      <c r="AQ988" t="s">
        <v>74</v>
      </c>
      <c r="AR988" t="s">
        <v>7140</v>
      </c>
      <c r="AS988" t="s">
        <v>7141</v>
      </c>
      <c r="AT988" t="s">
        <v>17342</v>
      </c>
      <c r="AU988">
        <v>2010</v>
      </c>
      <c r="AV988">
        <v>221</v>
      </c>
      <c r="AW988">
        <v>8</v>
      </c>
      <c r="AX988" t="s">
        <v>74</v>
      </c>
      <c r="AY988" t="s">
        <v>74</v>
      </c>
      <c r="AZ988" t="s">
        <v>74</v>
      </c>
      <c r="BA988" t="s">
        <v>74</v>
      </c>
      <c r="BB988">
        <v>1184</v>
      </c>
      <c r="BC988">
        <v>1193</v>
      </c>
      <c r="BD988" t="s">
        <v>74</v>
      </c>
      <c r="BE988" t="s">
        <v>17343</v>
      </c>
      <c r="BF988" t="str">
        <f>HYPERLINK("http://dx.doi.org/10.1016/j.ecolmodel.2009.12.015","http://dx.doi.org/10.1016/j.ecolmodel.2009.12.015")</f>
        <v>http://dx.doi.org/10.1016/j.ecolmodel.2009.12.015</v>
      </c>
      <c r="BG988" t="s">
        <v>74</v>
      </c>
      <c r="BH988" t="s">
        <v>74</v>
      </c>
      <c r="BI988">
        <v>10</v>
      </c>
      <c r="BJ988" t="s">
        <v>3127</v>
      </c>
      <c r="BK988" t="s">
        <v>100</v>
      </c>
      <c r="BL988" t="s">
        <v>2797</v>
      </c>
      <c r="BM988" t="s">
        <v>17344</v>
      </c>
      <c r="BN988" t="s">
        <v>74</v>
      </c>
      <c r="BO988" t="s">
        <v>74</v>
      </c>
      <c r="BP988" t="s">
        <v>74</v>
      </c>
      <c r="BQ988" t="s">
        <v>74</v>
      </c>
      <c r="BR988" t="s">
        <v>104</v>
      </c>
      <c r="BS988" t="s">
        <v>17345</v>
      </c>
      <c r="BT988" t="str">
        <f>HYPERLINK("https%3A%2F%2Fwww.webofscience.com%2Fwos%2Fwoscc%2Ffull-record%2FWOS:000276574900011","View Full Record in Web of Science")</f>
        <v>View Full Record in Web of Science</v>
      </c>
    </row>
    <row r="989" spans="1:72" x14ac:dyDescent="0.15">
      <c r="A989" t="s">
        <v>72</v>
      </c>
      <c r="B989" t="s">
        <v>17346</v>
      </c>
      <c r="C989" t="s">
        <v>74</v>
      </c>
      <c r="D989" t="s">
        <v>74</v>
      </c>
      <c r="E989" t="s">
        <v>74</v>
      </c>
      <c r="F989" t="s">
        <v>17347</v>
      </c>
      <c r="G989" t="s">
        <v>74</v>
      </c>
      <c r="H989" t="s">
        <v>74</v>
      </c>
      <c r="I989" t="s">
        <v>17348</v>
      </c>
      <c r="J989" t="s">
        <v>4882</v>
      </c>
      <c r="K989" t="s">
        <v>74</v>
      </c>
      <c r="L989" t="s">
        <v>74</v>
      </c>
      <c r="M989" t="s">
        <v>78</v>
      </c>
      <c r="N989" t="s">
        <v>79</v>
      </c>
      <c r="O989" t="s">
        <v>74</v>
      </c>
      <c r="P989" t="s">
        <v>74</v>
      </c>
      <c r="Q989" t="s">
        <v>74</v>
      </c>
      <c r="R989" t="s">
        <v>74</v>
      </c>
      <c r="S989" t="s">
        <v>74</v>
      </c>
      <c r="T989" t="s">
        <v>17349</v>
      </c>
      <c r="U989" t="s">
        <v>74</v>
      </c>
      <c r="V989" t="s">
        <v>17350</v>
      </c>
      <c r="W989" t="s">
        <v>17351</v>
      </c>
      <c r="X989" t="s">
        <v>17352</v>
      </c>
      <c r="Y989" t="s">
        <v>17353</v>
      </c>
      <c r="Z989" t="s">
        <v>17354</v>
      </c>
      <c r="AA989" t="s">
        <v>17355</v>
      </c>
      <c r="AB989" t="s">
        <v>74</v>
      </c>
      <c r="AC989" t="s">
        <v>17356</v>
      </c>
      <c r="AD989" t="s">
        <v>1548</v>
      </c>
      <c r="AE989" t="s">
        <v>17357</v>
      </c>
      <c r="AF989" t="s">
        <v>74</v>
      </c>
      <c r="AG989">
        <v>6</v>
      </c>
      <c r="AH989">
        <v>6</v>
      </c>
      <c r="AI989">
        <v>6</v>
      </c>
      <c r="AJ989">
        <v>0</v>
      </c>
      <c r="AK989">
        <v>3</v>
      </c>
      <c r="AL989" t="s">
        <v>4895</v>
      </c>
      <c r="AM989" t="s">
        <v>4896</v>
      </c>
      <c r="AN989" t="s">
        <v>4897</v>
      </c>
      <c r="AO989" t="s">
        <v>4898</v>
      </c>
      <c r="AP989" t="s">
        <v>4899</v>
      </c>
      <c r="AQ989" t="s">
        <v>74</v>
      </c>
      <c r="AR989" t="s">
        <v>4882</v>
      </c>
      <c r="AS989" t="s">
        <v>4900</v>
      </c>
      <c r="AT989" t="s">
        <v>17358</v>
      </c>
      <c r="AU989">
        <v>2010</v>
      </c>
      <c r="AV989" t="s">
        <v>74</v>
      </c>
      <c r="AW989">
        <v>2434</v>
      </c>
      <c r="AX989" t="s">
        <v>74</v>
      </c>
      <c r="AY989" t="s">
        <v>74</v>
      </c>
      <c r="AZ989" t="s">
        <v>74</v>
      </c>
      <c r="BA989" t="s">
        <v>74</v>
      </c>
      <c r="BB989">
        <v>33</v>
      </c>
      <c r="BC989">
        <v>46</v>
      </c>
      <c r="BD989" t="s">
        <v>74</v>
      </c>
      <c r="BE989" t="s">
        <v>74</v>
      </c>
      <c r="BF989" t="s">
        <v>74</v>
      </c>
      <c r="BG989" t="s">
        <v>74</v>
      </c>
      <c r="BH989" t="s">
        <v>74</v>
      </c>
      <c r="BI989">
        <v>14</v>
      </c>
      <c r="BJ989" t="s">
        <v>492</v>
      </c>
      <c r="BK989" t="s">
        <v>100</v>
      </c>
      <c r="BL989" t="s">
        <v>492</v>
      </c>
      <c r="BM989" t="s">
        <v>17359</v>
      </c>
      <c r="BN989" t="s">
        <v>74</v>
      </c>
      <c r="BO989" t="s">
        <v>74</v>
      </c>
      <c r="BP989" t="s">
        <v>74</v>
      </c>
      <c r="BQ989" t="s">
        <v>74</v>
      </c>
      <c r="BR989" t="s">
        <v>104</v>
      </c>
      <c r="BS989" t="s">
        <v>17360</v>
      </c>
      <c r="BT989" t="str">
        <f>HYPERLINK("https%3A%2F%2Fwww.webofscience.com%2Fwos%2Fwoscc%2Ffull-record%2FWOS:000276945600003","View Full Record in Web of Science")</f>
        <v>View Full Record in Web of Science</v>
      </c>
    </row>
    <row r="990" spans="1:72" x14ac:dyDescent="0.15">
      <c r="A990" t="s">
        <v>72</v>
      </c>
      <c r="B990" t="s">
        <v>17361</v>
      </c>
      <c r="C990" t="s">
        <v>74</v>
      </c>
      <c r="D990" t="s">
        <v>74</v>
      </c>
      <c r="E990" t="s">
        <v>74</v>
      </c>
      <c r="F990" t="s">
        <v>17362</v>
      </c>
      <c r="G990" t="s">
        <v>74</v>
      </c>
      <c r="H990" t="s">
        <v>74</v>
      </c>
      <c r="I990" t="s">
        <v>17363</v>
      </c>
      <c r="J990" t="s">
        <v>1538</v>
      </c>
      <c r="K990" t="s">
        <v>74</v>
      </c>
      <c r="L990" t="s">
        <v>74</v>
      </c>
      <c r="M990" t="s">
        <v>78</v>
      </c>
      <c r="N990" t="s">
        <v>79</v>
      </c>
      <c r="O990" t="s">
        <v>74</v>
      </c>
      <c r="P990" t="s">
        <v>74</v>
      </c>
      <c r="Q990" t="s">
        <v>74</v>
      </c>
      <c r="R990" t="s">
        <v>74</v>
      </c>
      <c r="S990" t="s">
        <v>74</v>
      </c>
      <c r="T990" t="s">
        <v>74</v>
      </c>
      <c r="U990" t="s">
        <v>17364</v>
      </c>
      <c r="V990" t="s">
        <v>17365</v>
      </c>
      <c r="W990" t="s">
        <v>17366</v>
      </c>
      <c r="X990" t="s">
        <v>17367</v>
      </c>
      <c r="Y990" t="s">
        <v>17368</v>
      </c>
      <c r="Z990" t="s">
        <v>17369</v>
      </c>
      <c r="AA990" t="s">
        <v>17370</v>
      </c>
      <c r="AB990" t="s">
        <v>17371</v>
      </c>
      <c r="AC990" t="s">
        <v>17372</v>
      </c>
      <c r="AD990" t="s">
        <v>17373</v>
      </c>
      <c r="AE990" t="s">
        <v>17374</v>
      </c>
      <c r="AF990" t="s">
        <v>74</v>
      </c>
      <c r="AG990">
        <v>23</v>
      </c>
      <c r="AH990">
        <v>62</v>
      </c>
      <c r="AI990">
        <v>70</v>
      </c>
      <c r="AJ990">
        <v>1</v>
      </c>
      <c r="AK990">
        <v>31</v>
      </c>
      <c r="AL990" t="s">
        <v>1521</v>
      </c>
      <c r="AM990" t="s">
        <v>1522</v>
      </c>
      <c r="AN990" t="s">
        <v>1523</v>
      </c>
      <c r="AO990" t="s">
        <v>1550</v>
      </c>
      <c r="AP990" t="s">
        <v>1551</v>
      </c>
      <c r="AQ990" t="s">
        <v>74</v>
      </c>
      <c r="AR990" t="s">
        <v>1552</v>
      </c>
      <c r="AS990" t="s">
        <v>1553</v>
      </c>
      <c r="AT990" t="s">
        <v>17375</v>
      </c>
      <c r="AU990">
        <v>2010</v>
      </c>
      <c r="AV990">
        <v>37</v>
      </c>
      <c r="AW990" t="s">
        <v>74</v>
      </c>
      <c r="AX990" t="s">
        <v>74</v>
      </c>
      <c r="AY990" t="s">
        <v>74</v>
      </c>
      <c r="AZ990" t="s">
        <v>74</v>
      </c>
      <c r="BA990" t="s">
        <v>74</v>
      </c>
      <c r="BB990" t="s">
        <v>74</v>
      </c>
      <c r="BC990" t="s">
        <v>74</v>
      </c>
      <c r="BD990" t="s">
        <v>17376</v>
      </c>
      <c r="BE990" t="s">
        <v>17377</v>
      </c>
      <c r="BF990" t="str">
        <f>HYPERLINK("http://dx.doi.org/10.1029/2010GL042793","http://dx.doi.org/10.1029/2010GL042793")</f>
        <v>http://dx.doi.org/10.1029/2010GL042793</v>
      </c>
      <c r="BG990" t="s">
        <v>74</v>
      </c>
      <c r="BH990" t="s">
        <v>74</v>
      </c>
      <c r="BI990">
        <v>4</v>
      </c>
      <c r="BJ990" t="s">
        <v>1194</v>
      </c>
      <c r="BK990" t="s">
        <v>100</v>
      </c>
      <c r="BL990" t="s">
        <v>807</v>
      </c>
      <c r="BM990" t="s">
        <v>17378</v>
      </c>
      <c r="BN990" t="s">
        <v>74</v>
      </c>
      <c r="BO990" t="s">
        <v>394</v>
      </c>
      <c r="BP990" t="s">
        <v>74</v>
      </c>
      <c r="BQ990" t="s">
        <v>74</v>
      </c>
      <c r="BR990" t="s">
        <v>104</v>
      </c>
      <c r="BS990" t="s">
        <v>17379</v>
      </c>
      <c r="BT990" t="str">
        <f>HYPERLINK("https%3A%2F%2Fwww.webofscience.com%2Fwos%2Fwoscc%2Ffull-record%2FWOS:000277033000005","View Full Record in Web of Science")</f>
        <v>View Full Record in Web of Science</v>
      </c>
    </row>
    <row r="991" spans="1:72" x14ac:dyDescent="0.15">
      <c r="A991" t="s">
        <v>72</v>
      </c>
      <c r="B991" t="s">
        <v>17380</v>
      </c>
      <c r="C991" t="s">
        <v>74</v>
      </c>
      <c r="D991" t="s">
        <v>74</v>
      </c>
      <c r="E991" t="s">
        <v>74</v>
      </c>
      <c r="F991" t="s">
        <v>17381</v>
      </c>
      <c r="G991" t="s">
        <v>74</v>
      </c>
      <c r="H991" t="s">
        <v>74</v>
      </c>
      <c r="I991" t="s">
        <v>17382</v>
      </c>
      <c r="J991" t="s">
        <v>17383</v>
      </c>
      <c r="K991" t="s">
        <v>74</v>
      </c>
      <c r="L991" t="s">
        <v>74</v>
      </c>
      <c r="M991" t="s">
        <v>78</v>
      </c>
      <c r="N991" t="s">
        <v>79</v>
      </c>
      <c r="O991" t="s">
        <v>74</v>
      </c>
      <c r="P991" t="s">
        <v>74</v>
      </c>
      <c r="Q991" t="s">
        <v>74</v>
      </c>
      <c r="R991" t="s">
        <v>74</v>
      </c>
      <c r="S991" t="s">
        <v>74</v>
      </c>
      <c r="T991" t="s">
        <v>17384</v>
      </c>
      <c r="U991" t="s">
        <v>17385</v>
      </c>
      <c r="V991" t="s">
        <v>17386</v>
      </c>
      <c r="W991" t="s">
        <v>17387</v>
      </c>
      <c r="X991" t="s">
        <v>17388</v>
      </c>
      <c r="Y991" t="s">
        <v>17389</v>
      </c>
      <c r="Z991" t="s">
        <v>17390</v>
      </c>
      <c r="AA991" t="s">
        <v>17391</v>
      </c>
      <c r="AB991" t="s">
        <v>17392</v>
      </c>
      <c r="AC991" t="s">
        <v>17393</v>
      </c>
      <c r="AD991" t="s">
        <v>17394</v>
      </c>
      <c r="AE991" t="s">
        <v>17395</v>
      </c>
      <c r="AF991" t="s">
        <v>74</v>
      </c>
      <c r="AG991">
        <v>9</v>
      </c>
      <c r="AH991">
        <v>29</v>
      </c>
      <c r="AI991">
        <v>32</v>
      </c>
      <c r="AJ991">
        <v>0</v>
      </c>
      <c r="AK991">
        <v>3</v>
      </c>
      <c r="AL991" t="s">
        <v>2245</v>
      </c>
      <c r="AM991" t="s">
        <v>673</v>
      </c>
      <c r="AN991" t="s">
        <v>674</v>
      </c>
      <c r="AO991" t="s">
        <v>17396</v>
      </c>
      <c r="AP991" t="s">
        <v>74</v>
      </c>
      <c r="AQ991" t="s">
        <v>74</v>
      </c>
      <c r="AR991" t="s">
        <v>17397</v>
      </c>
      <c r="AS991" t="s">
        <v>17398</v>
      </c>
      <c r="AT991" t="s">
        <v>17399</v>
      </c>
      <c r="AU991">
        <v>2010</v>
      </c>
      <c r="AV991">
        <v>403</v>
      </c>
      <c r="AW991">
        <v>4</v>
      </c>
      <c r="AX991" t="s">
        <v>74</v>
      </c>
      <c r="AY991" t="s">
        <v>74</v>
      </c>
      <c r="AZ991" t="s">
        <v>74</v>
      </c>
      <c r="BA991" t="s">
        <v>74</v>
      </c>
      <c r="BB991">
        <v>1714</v>
      </c>
      <c r="BC991">
        <v>1718</v>
      </c>
      <c r="BD991" t="s">
        <v>74</v>
      </c>
      <c r="BE991" t="s">
        <v>17400</v>
      </c>
      <c r="BF991" t="str">
        <f>HYPERLINK("http://dx.doi.org/10.1111/j.1365-2966.2010.16251.x","http://dx.doi.org/10.1111/j.1365-2966.2010.16251.x")</f>
        <v>http://dx.doi.org/10.1111/j.1365-2966.2010.16251.x</v>
      </c>
      <c r="BG991" t="s">
        <v>74</v>
      </c>
      <c r="BH991" t="s">
        <v>74</v>
      </c>
      <c r="BI991">
        <v>5</v>
      </c>
      <c r="BJ991" t="s">
        <v>1805</v>
      </c>
      <c r="BK991" t="s">
        <v>100</v>
      </c>
      <c r="BL991" t="s">
        <v>1805</v>
      </c>
      <c r="BM991" t="s">
        <v>17401</v>
      </c>
      <c r="BN991" t="s">
        <v>74</v>
      </c>
      <c r="BO991" t="s">
        <v>123</v>
      </c>
      <c r="BP991" t="s">
        <v>74</v>
      </c>
      <c r="BQ991" t="s">
        <v>74</v>
      </c>
      <c r="BR991" t="s">
        <v>104</v>
      </c>
      <c r="BS991" t="s">
        <v>17402</v>
      </c>
      <c r="BT991" t="str">
        <f>HYPERLINK("https%3A%2F%2Fwww.webofscience.com%2Fwos%2Fwoscc%2Ffull-record%2FWOS:000276406800005","View Full Record in Web of Science")</f>
        <v>View Full Record in Web of Science</v>
      </c>
    </row>
    <row r="992" spans="1:72" x14ac:dyDescent="0.15">
      <c r="A992" t="s">
        <v>72</v>
      </c>
      <c r="B992" t="s">
        <v>17403</v>
      </c>
      <c r="C992" t="s">
        <v>74</v>
      </c>
      <c r="D992" t="s">
        <v>74</v>
      </c>
      <c r="E992" t="s">
        <v>74</v>
      </c>
      <c r="F992" t="s">
        <v>17404</v>
      </c>
      <c r="G992" t="s">
        <v>74</v>
      </c>
      <c r="H992" t="s">
        <v>74</v>
      </c>
      <c r="I992" t="s">
        <v>17405</v>
      </c>
      <c r="J992" t="s">
        <v>1784</v>
      </c>
      <c r="K992" t="s">
        <v>74</v>
      </c>
      <c r="L992" t="s">
        <v>74</v>
      </c>
      <c r="M992" t="s">
        <v>78</v>
      </c>
      <c r="N992" t="s">
        <v>79</v>
      </c>
      <c r="O992" t="s">
        <v>74</v>
      </c>
      <c r="P992" t="s">
        <v>74</v>
      </c>
      <c r="Q992" t="s">
        <v>74</v>
      </c>
      <c r="R992" t="s">
        <v>74</v>
      </c>
      <c r="S992" t="s">
        <v>74</v>
      </c>
      <c r="T992" t="s">
        <v>17406</v>
      </c>
      <c r="U992" t="s">
        <v>17407</v>
      </c>
      <c r="V992" t="s">
        <v>17408</v>
      </c>
      <c r="W992" t="s">
        <v>17409</v>
      </c>
      <c r="X992" t="s">
        <v>17410</v>
      </c>
      <c r="Y992" t="s">
        <v>17411</v>
      </c>
      <c r="Z992" t="s">
        <v>74</v>
      </c>
      <c r="AA992" t="s">
        <v>17412</v>
      </c>
      <c r="AB992" t="s">
        <v>17413</v>
      </c>
      <c r="AC992" t="s">
        <v>17414</v>
      </c>
      <c r="AD992" t="s">
        <v>17415</v>
      </c>
      <c r="AE992" t="s">
        <v>17416</v>
      </c>
      <c r="AF992" t="s">
        <v>74</v>
      </c>
      <c r="AG992">
        <v>145</v>
      </c>
      <c r="AH992">
        <v>388</v>
      </c>
      <c r="AI992">
        <v>413</v>
      </c>
      <c r="AJ992">
        <v>0</v>
      </c>
      <c r="AK992">
        <v>39</v>
      </c>
      <c r="AL992" t="s">
        <v>1797</v>
      </c>
      <c r="AM992" t="s">
        <v>510</v>
      </c>
      <c r="AN992" t="s">
        <v>1798</v>
      </c>
      <c r="AO992" t="s">
        <v>1799</v>
      </c>
      <c r="AP992" t="s">
        <v>1800</v>
      </c>
      <c r="AQ992" t="s">
        <v>74</v>
      </c>
      <c r="AR992" t="s">
        <v>1801</v>
      </c>
      <c r="AS992" t="s">
        <v>1802</v>
      </c>
      <c r="AT992" t="s">
        <v>17417</v>
      </c>
      <c r="AU992">
        <v>2010</v>
      </c>
      <c r="AV992">
        <v>713</v>
      </c>
      <c r="AW992">
        <v>2</v>
      </c>
      <c r="AX992" t="s">
        <v>74</v>
      </c>
      <c r="AY992" t="s">
        <v>74</v>
      </c>
      <c r="AZ992" t="s">
        <v>74</v>
      </c>
      <c r="BA992" t="s">
        <v>74</v>
      </c>
      <c r="BB992">
        <v>816</v>
      </c>
      <c r="BC992">
        <v>836</v>
      </c>
      <c r="BD992" t="s">
        <v>74</v>
      </c>
      <c r="BE992" t="s">
        <v>17418</v>
      </c>
      <c r="BF992" t="str">
        <f>HYPERLINK("http://dx.doi.org/10.1088/0004-637X/713/2/816","http://dx.doi.org/10.1088/0004-637X/713/2/816")</f>
        <v>http://dx.doi.org/10.1088/0004-637X/713/2/816</v>
      </c>
      <c r="BG992" t="s">
        <v>74</v>
      </c>
      <c r="BH992" t="s">
        <v>74</v>
      </c>
      <c r="BI992">
        <v>21</v>
      </c>
      <c r="BJ992" t="s">
        <v>1805</v>
      </c>
      <c r="BK992" t="s">
        <v>100</v>
      </c>
      <c r="BL992" t="s">
        <v>1805</v>
      </c>
      <c r="BM992" t="s">
        <v>17419</v>
      </c>
      <c r="BN992" t="s">
        <v>74</v>
      </c>
      <c r="BO992" t="s">
        <v>123</v>
      </c>
      <c r="BP992" t="s">
        <v>74</v>
      </c>
      <c r="BQ992" t="s">
        <v>74</v>
      </c>
      <c r="BR992" t="s">
        <v>104</v>
      </c>
      <c r="BS992" t="s">
        <v>17420</v>
      </c>
      <c r="BT992" t="str">
        <f>HYPERLINK("https%3A%2F%2Fwww.webofscience.com%2Fwos%2Fwoscc%2Ffull-record%2FWOS:000276329400009","View Full Record in Web of Science")</f>
        <v>View Full Record in Web of Science</v>
      </c>
    </row>
    <row r="993" spans="1:72" x14ac:dyDescent="0.15">
      <c r="A993" t="s">
        <v>72</v>
      </c>
      <c r="B993" t="s">
        <v>17421</v>
      </c>
      <c r="C993" t="s">
        <v>74</v>
      </c>
      <c r="D993" t="s">
        <v>74</v>
      </c>
      <c r="E993" t="s">
        <v>74</v>
      </c>
      <c r="F993" t="s">
        <v>17422</v>
      </c>
      <c r="G993" t="s">
        <v>74</v>
      </c>
      <c r="H993" t="s">
        <v>74</v>
      </c>
      <c r="I993" t="s">
        <v>17423</v>
      </c>
      <c r="J993" t="s">
        <v>4634</v>
      </c>
      <c r="K993" t="s">
        <v>74</v>
      </c>
      <c r="L993" t="s">
        <v>74</v>
      </c>
      <c r="M993" t="s">
        <v>78</v>
      </c>
      <c r="N993" t="s">
        <v>79</v>
      </c>
      <c r="O993" t="s">
        <v>74</v>
      </c>
      <c r="P993" t="s">
        <v>74</v>
      </c>
      <c r="Q993" t="s">
        <v>74</v>
      </c>
      <c r="R993" t="s">
        <v>74</v>
      </c>
      <c r="S993" t="s">
        <v>74</v>
      </c>
      <c r="T993" t="s">
        <v>74</v>
      </c>
      <c r="U993" t="s">
        <v>17424</v>
      </c>
      <c r="V993" t="s">
        <v>17425</v>
      </c>
      <c r="W993" t="s">
        <v>17426</v>
      </c>
      <c r="X993" t="s">
        <v>17427</v>
      </c>
      <c r="Y993" t="s">
        <v>17428</v>
      </c>
      <c r="Z993" t="s">
        <v>17429</v>
      </c>
      <c r="AA993" t="s">
        <v>17430</v>
      </c>
      <c r="AB993" t="s">
        <v>1770</v>
      </c>
      <c r="AC993" t="s">
        <v>17431</v>
      </c>
      <c r="AD993" t="s">
        <v>17432</v>
      </c>
      <c r="AE993" t="s">
        <v>17433</v>
      </c>
      <c r="AF993" t="s">
        <v>74</v>
      </c>
      <c r="AG993">
        <v>78</v>
      </c>
      <c r="AH993">
        <v>169</v>
      </c>
      <c r="AI993">
        <v>179</v>
      </c>
      <c r="AJ993">
        <v>3</v>
      </c>
      <c r="AK993">
        <v>16</v>
      </c>
      <c r="AL993" t="s">
        <v>1521</v>
      </c>
      <c r="AM993" t="s">
        <v>1522</v>
      </c>
      <c r="AN993" t="s">
        <v>1523</v>
      </c>
      <c r="AO993" t="s">
        <v>4646</v>
      </c>
      <c r="AP993" t="s">
        <v>4647</v>
      </c>
      <c r="AQ993" t="s">
        <v>74</v>
      </c>
      <c r="AR993" t="s">
        <v>4648</v>
      </c>
      <c r="AS993" t="s">
        <v>4649</v>
      </c>
      <c r="AT993" t="s">
        <v>17417</v>
      </c>
      <c r="AU993">
        <v>2010</v>
      </c>
      <c r="AV993">
        <v>115</v>
      </c>
      <c r="AW993" t="s">
        <v>74</v>
      </c>
      <c r="AX993" t="s">
        <v>74</v>
      </c>
      <c r="AY993" t="s">
        <v>74</v>
      </c>
      <c r="AZ993" t="s">
        <v>74</v>
      </c>
      <c r="BA993" t="s">
        <v>74</v>
      </c>
      <c r="BB993" t="s">
        <v>74</v>
      </c>
      <c r="BC993" t="s">
        <v>74</v>
      </c>
      <c r="BD993" t="s">
        <v>17434</v>
      </c>
      <c r="BE993" t="s">
        <v>17435</v>
      </c>
      <c r="BF993" t="str">
        <f>HYPERLINK("http://dx.doi.org/10.1029/2009JA014619","http://dx.doi.org/10.1029/2009JA014619")</f>
        <v>http://dx.doi.org/10.1029/2009JA014619</v>
      </c>
      <c r="BG993" t="s">
        <v>74</v>
      </c>
      <c r="BH993" t="s">
        <v>74</v>
      </c>
      <c r="BI993">
        <v>15</v>
      </c>
      <c r="BJ993" t="s">
        <v>1805</v>
      </c>
      <c r="BK993" t="s">
        <v>100</v>
      </c>
      <c r="BL993" t="s">
        <v>1805</v>
      </c>
      <c r="BM993" t="s">
        <v>17436</v>
      </c>
      <c r="BN993" t="s">
        <v>74</v>
      </c>
      <c r="BO993" t="s">
        <v>1025</v>
      </c>
      <c r="BP993" t="s">
        <v>74</v>
      </c>
      <c r="BQ993" t="s">
        <v>74</v>
      </c>
      <c r="BR993" t="s">
        <v>104</v>
      </c>
      <c r="BS993" t="s">
        <v>17437</v>
      </c>
      <c r="BT993" t="str">
        <f>HYPERLINK("https%3A%2F%2Fwww.webofscience.com%2Fwos%2Fwoscc%2Ffull-record%2FWOS:000277036100001","View Full Record in Web of Science")</f>
        <v>View Full Record in Web of Science</v>
      </c>
    </row>
    <row r="994" spans="1:72" x14ac:dyDescent="0.15">
      <c r="A994" t="s">
        <v>72</v>
      </c>
      <c r="B994" t="s">
        <v>17438</v>
      </c>
      <c r="C994" t="s">
        <v>74</v>
      </c>
      <c r="D994" t="s">
        <v>74</v>
      </c>
      <c r="E994" t="s">
        <v>74</v>
      </c>
      <c r="F994" t="s">
        <v>17439</v>
      </c>
      <c r="G994" t="s">
        <v>74</v>
      </c>
      <c r="H994" t="s">
        <v>74</v>
      </c>
      <c r="I994" t="s">
        <v>17440</v>
      </c>
      <c r="J994" t="s">
        <v>3805</v>
      </c>
      <c r="K994" t="s">
        <v>74</v>
      </c>
      <c r="L994" t="s">
        <v>74</v>
      </c>
      <c r="M994" t="s">
        <v>78</v>
      </c>
      <c r="N994" t="s">
        <v>79</v>
      </c>
      <c r="O994" t="s">
        <v>74</v>
      </c>
      <c r="P994" t="s">
        <v>74</v>
      </c>
      <c r="Q994" t="s">
        <v>74</v>
      </c>
      <c r="R994" t="s">
        <v>74</v>
      </c>
      <c r="S994" t="s">
        <v>74</v>
      </c>
      <c r="T994" t="s">
        <v>17441</v>
      </c>
      <c r="U994" t="s">
        <v>17442</v>
      </c>
      <c r="V994" t="s">
        <v>17443</v>
      </c>
      <c r="W994" t="s">
        <v>17444</v>
      </c>
      <c r="X994" t="s">
        <v>17445</v>
      </c>
      <c r="Y994" t="s">
        <v>17446</v>
      </c>
      <c r="Z994" t="s">
        <v>17447</v>
      </c>
      <c r="AA994" t="s">
        <v>17448</v>
      </c>
      <c r="AB994" t="s">
        <v>17449</v>
      </c>
      <c r="AC994" t="s">
        <v>17450</v>
      </c>
      <c r="AD994" t="s">
        <v>17451</v>
      </c>
      <c r="AE994" t="s">
        <v>17452</v>
      </c>
      <c r="AF994" t="s">
        <v>74</v>
      </c>
      <c r="AG994">
        <v>75</v>
      </c>
      <c r="AH994">
        <v>20</v>
      </c>
      <c r="AI994">
        <v>24</v>
      </c>
      <c r="AJ994">
        <v>0</v>
      </c>
      <c r="AK994">
        <v>19</v>
      </c>
      <c r="AL994" t="s">
        <v>549</v>
      </c>
      <c r="AM994" t="s">
        <v>550</v>
      </c>
      <c r="AN994" t="s">
        <v>551</v>
      </c>
      <c r="AO994" t="s">
        <v>3818</v>
      </c>
      <c r="AP994" t="s">
        <v>74</v>
      </c>
      <c r="AQ994" t="s">
        <v>74</v>
      </c>
      <c r="AR994" t="s">
        <v>3820</v>
      </c>
      <c r="AS994" t="s">
        <v>3821</v>
      </c>
      <c r="AT994" t="s">
        <v>17417</v>
      </c>
      <c r="AU994">
        <v>2010</v>
      </c>
      <c r="AV994">
        <v>119</v>
      </c>
      <c r="AW994" t="s">
        <v>3822</v>
      </c>
      <c r="AX994" t="s">
        <v>74</v>
      </c>
      <c r="AY994" t="s">
        <v>74</v>
      </c>
      <c r="AZ994" t="s">
        <v>74</v>
      </c>
      <c r="BA994" t="s">
        <v>74</v>
      </c>
      <c r="BB994">
        <v>9</v>
      </c>
      <c r="BC994">
        <v>21</v>
      </c>
      <c r="BD994" t="s">
        <v>74</v>
      </c>
      <c r="BE994" t="s">
        <v>17453</v>
      </c>
      <c r="BF994" t="str">
        <f>HYPERLINK("http://dx.doi.org/10.1016/j.marchem.2009.12.002","http://dx.doi.org/10.1016/j.marchem.2009.12.002")</f>
        <v>http://dx.doi.org/10.1016/j.marchem.2009.12.002</v>
      </c>
      <c r="BG994" t="s">
        <v>74</v>
      </c>
      <c r="BH994" t="s">
        <v>74</v>
      </c>
      <c r="BI994">
        <v>13</v>
      </c>
      <c r="BJ994" t="s">
        <v>3824</v>
      </c>
      <c r="BK994" t="s">
        <v>100</v>
      </c>
      <c r="BL994" t="s">
        <v>3825</v>
      </c>
      <c r="BM994" t="s">
        <v>17454</v>
      </c>
      <c r="BN994" t="s">
        <v>74</v>
      </c>
      <c r="BO994" t="s">
        <v>74</v>
      </c>
      <c r="BP994" t="s">
        <v>74</v>
      </c>
      <c r="BQ994" t="s">
        <v>74</v>
      </c>
      <c r="BR994" t="s">
        <v>104</v>
      </c>
      <c r="BS994" t="s">
        <v>17455</v>
      </c>
      <c r="BT994" t="str">
        <f>HYPERLINK("https%3A%2F%2Fwww.webofscience.com%2Fwos%2Fwoscc%2Ffull-record%2FWOS:000277753700002","View Full Record in Web of Science")</f>
        <v>View Full Record in Web of Science</v>
      </c>
    </row>
    <row r="995" spans="1:72" x14ac:dyDescent="0.15">
      <c r="A995" t="s">
        <v>72</v>
      </c>
      <c r="B995" t="s">
        <v>17456</v>
      </c>
      <c r="C995" t="s">
        <v>74</v>
      </c>
      <c r="D995" t="s">
        <v>74</v>
      </c>
      <c r="E995" t="s">
        <v>74</v>
      </c>
      <c r="F995" t="s">
        <v>17457</v>
      </c>
      <c r="G995" t="s">
        <v>74</v>
      </c>
      <c r="H995" t="s">
        <v>74</v>
      </c>
      <c r="I995" t="s">
        <v>17458</v>
      </c>
      <c r="J995" t="s">
        <v>3805</v>
      </c>
      <c r="K995" t="s">
        <v>74</v>
      </c>
      <c r="L995" t="s">
        <v>74</v>
      </c>
      <c r="M995" t="s">
        <v>78</v>
      </c>
      <c r="N995" t="s">
        <v>79</v>
      </c>
      <c r="O995" t="s">
        <v>74</v>
      </c>
      <c r="P995" t="s">
        <v>74</v>
      </c>
      <c r="Q995" t="s">
        <v>74</v>
      </c>
      <c r="R995" t="s">
        <v>74</v>
      </c>
      <c r="S995" t="s">
        <v>74</v>
      </c>
      <c r="T995" t="s">
        <v>17459</v>
      </c>
      <c r="U995" t="s">
        <v>17460</v>
      </c>
      <c r="V995" t="s">
        <v>17461</v>
      </c>
      <c r="W995" t="s">
        <v>17462</v>
      </c>
      <c r="X995" t="s">
        <v>17463</v>
      </c>
      <c r="Y995" t="s">
        <v>17464</v>
      </c>
      <c r="Z995" t="s">
        <v>17465</v>
      </c>
      <c r="AA995" t="s">
        <v>17466</v>
      </c>
      <c r="AB995" t="s">
        <v>17467</v>
      </c>
      <c r="AC995" t="s">
        <v>17468</v>
      </c>
      <c r="AD995" t="s">
        <v>16902</v>
      </c>
      <c r="AE995" t="s">
        <v>17469</v>
      </c>
      <c r="AF995" t="s">
        <v>74</v>
      </c>
      <c r="AG995">
        <v>91</v>
      </c>
      <c r="AH995">
        <v>6</v>
      </c>
      <c r="AI995">
        <v>7</v>
      </c>
      <c r="AJ995">
        <v>0</v>
      </c>
      <c r="AK995">
        <v>16</v>
      </c>
      <c r="AL995" t="s">
        <v>1038</v>
      </c>
      <c r="AM995" t="s">
        <v>550</v>
      </c>
      <c r="AN995" t="s">
        <v>1039</v>
      </c>
      <c r="AO995" t="s">
        <v>3818</v>
      </c>
      <c r="AP995" t="s">
        <v>3819</v>
      </c>
      <c r="AQ995" t="s">
        <v>74</v>
      </c>
      <c r="AR995" t="s">
        <v>3820</v>
      </c>
      <c r="AS995" t="s">
        <v>3821</v>
      </c>
      <c r="AT995" t="s">
        <v>17417</v>
      </c>
      <c r="AU995">
        <v>2010</v>
      </c>
      <c r="AV995">
        <v>119</v>
      </c>
      <c r="AW995" t="s">
        <v>3822</v>
      </c>
      <c r="AX995" t="s">
        <v>74</v>
      </c>
      <c r="AY995" t="s">
        <v>74</v>
      </c>
      <c r="AZ995" t="s">
        <v>74</v>
      </c>
      <c r="BA995" t="s">
        <v>74</v>
      </c>
      <c r="BB995">
        <v>33</v>
      </c>
      <c r="BC995">
        <v>43</v>
      </c>
      <c r="BD995" t="s">
        <v>74</v>
      </c>
      <c r="BE995" t="s">
        <v>17470</v>
      </c>
      <c r="BF995" t="str">
        <f>HYPERLINK("http://dx.doi.org/10.1016/j.marchem.2009.12.004","http://dx.doi.org/10.1016/j.marchem.2009.12.004")</f>
        <v>http://dx.doi.org/10.1016/j.marchem.2009.12.004</v>
      </c>
      <c r="BG995" t="s">
        <v>74</v>
      </c>
      <c r="BH995" t="s">
        <v>74</v>
      </c>
      <c r="BI995">
        <v>11</v>
      </c>
      <c r="BJ995" t="s">
        <v>3824</v>
      </c>
      <c r="BK995" t="s">
        <v>100</v>
      </c>
      <c r="BL995" t="s">
        <v>3825</v>
      </c>
      <c r="BM995" t="s">
        <v>17454</v>
      </c>
      <c r="BN995" t="s">
        <v>74</v>
      </c>
      <c r="BO995" t="s">
        <v>74</v>
      </c>
      <c r="BP995" t="s">
        <v>74</v>
      </c>
      <c r="BQ995" t="s">
        <v>74</v>
      </c>
      <c r="BR995" t="s">
        <v>104</v>
      </c>
      <c r="BS995" t="s">
        <v>17471</v>
      </c>
      <c r="BT995" t="str">
        <f>HYPERLINK("https%3A%2F%2Fwww.webofscience.com%2Fwos%2Fwoscc%2Ffull-record%2FWOS:000277753700004","View Full Record in Web of Science")</f>
        <v>View Full Record in Web of Science</v>
      </c>
    </row>
    <row r="996" spans="1:72" x14ac:dyDescent="0.15">
      <c r="A996" t="s">
        <v>72</v>
      </c>
      <c r="B996" t="s">
        <v>17472</v>
      </c>
      <c r="C996" t="s">
        <v>74</v>
      </c>
      <c r="D996" t="s">
        <v>74</v>
      </c>
      <c r="E996" t="s">
        <v>74</v>
      </c>
      <c r="F996" t="s">
        <v>17473</v>
      </c>
      <c r="G996" t="s">
        <v>74</v>
      </c>
      <c r="H996" t="s">
        <v>74</v>
      </c>
      <c r="I996" t="s">
        <v>17474</v>
      </c>
      <c r="J996" t="s">
        <v>17475</v>
      </c>
      <c r="K996" t="s">
        <v>74</v>
      </c>
      <c r="L996" t="s">
        <v>74</v>
      </c>
      <c r="M996" t="s">
        <v>78</v>
      </c>
      <c r="N996" t="s">
        <v>79</v>
      </c>
      <c r="O996" t="s">
        <v>74</v>
      </c>
      <c r="P996" t="s">
        <v>74</v>
      </c>
      <c r="Q996" t="s">
        <v>74</v>
      </c>
      <c r="R996" t="s">
        <v>74</v>
      </c>
      <c r="S996" t="s">
        <v>74</v>
      </c>
      <c r="T996" t="s">
        <v>17476</v>
      </c>
      <c r="U996" t="s">
        <v>17477</v>
      </c>
      <c r="V996" t="s">
        <v>17478</v>
      </c>
      <c r="W996" t="s">
        <v>17479</v>
      </c>
      <c r="X996" t="s">
        <v>17480</v>
      </c>
      <c r="Y996" t="s">
        <v>17481</v>
      </c>
      <c r="Z996" t="s">
        <v>17482</v>
      </c>
      <c r="AA996" t="s">
        <v>17483</v>
      </c>
      <c r="AB996" t="s">
        <v>17484</v>
      </c>
      <c r="AC996" t="s">
        <v>17485</v>
      </c>
      <c r="AD996" t="s">
        <v>17486</v>
      </c>
      <c r="AE996" t="s">
        <v>17487</v>
      </c>
      <c r="AF996" t="s">
        <v>74</v>
      </c>
      <c r="AG996">
        <v>40</v>
      </c>
      <c r="AH996">
        <v>46</v>
      </c>
      <c r="AI996">
        <v>46</v>
      </c>
      <c r="AJ996">
        <v>0</v>
      </c>
      <c r="AK996">
        <v>12</v>
      </c>
      <c r="AL996" t="s">
        <v>264</v>
      </c>
      <c r="AM996" t="s">
        <v>265</v>
      </c>
      <c r="AN996" t="s">
        <v>266</v>
      </c>
      <c r="AO996" t="s">
        <v>17488</v>
      </c>
      <c r="AP996" t="s">
        <v>17489</v>
      </c>
      <c r="AQ996" t="s">
        <v>74</v>
      </c>
      <c r="AR996" t="s">
        <v>17490</v>
      </c>
      <c r="AS996" t="s">
        <v>17491</v>
      </c>
      <c r="AT996" t="s">
        <v>17492</v>
      </c>
      <c r="AU996">
        <v>2010</v>
      </c>
      <c r="AV996">
        <v>18</v>
      </c>
      <c r="AW996">
        <v>8</v>
      </c>
      <c r="AX996" t="s">
        <v>74</v>
      </c>
      <c r="AY996" t="s">
        <v>74</v>
      </c>
      <c r="AZ996" t="s">
        <v>74</v>
      </c>
      <c r="BA996" t="s">
        <v>74</v>
      </c>
      <c r="BB996">
        <v>2912</v>
      </c>
      <c r="BC996">
        <v>2919</v>
      </c>
      <c r="BD996" t="s">
        <v>74</v>
      </c>
      <c r="BE996" t="s">
        <v>17493</v>
      </c>
      <c r="BF996" t="str">
        <f>HYPERLINK("http://dx.doi.org/10.1016/j.bmc.2010.03.002","http://dx.doi.org/10.1016/j.bmc.2010.03.002")</f>
        <v>http://dx.doi.org/10.1016/j.bmc.2010.03.002</v>
      </c>
      <c r="BG996" t="s">
        <v>74</v>
      </c>
      <c r="BH996" t="s">
        <v>74</v>
      </c>
      <c r="BI996">
        <v>8</v>
      </c>
      <c r="BJ996" t="s">
        <v>17494</v>
      </c>
      <c r="BK996" t="s">
        <v>100</v>
      </c>
      <c r="BL996" t="s">
        <v>17495</v>
      </c>
      <c r="BM996" t="s">
        <v>17496</v>
      </c>
      <c r="BN996">
        <v>20346682</v>
      </c>
      <c r="BO996" t="s">
        <v>74</v>
      </c>
      <c r="BP996" t="s">
        <v>74</v>
      </c>
      <c r="BQ996" t="s">
        <v>74</v>
      </c>
      <c r="BR996" t="s">
        <v>104</v>
      </c>
      <c r="BS996" t="s">
        <v>17497</v>
      </c>
      <c r="BT996" t="str">
        <f>HYPERLINK("https%3A%2F%2Fwww.webofscience.com%2Fwos%2Fwoscc%2Ffull-record%2FWOS:000276528700011","View Full Record in Web of Science")</f>
        <v>View Full Record in Web of Science</v>
      </c>
    </row>
    <row r="997" spans="1:72" x14ac:dyDescent="0.15">
      <c r="A997" t="s">
        <v>72</v>
      </c>
      <c r="B997" t="s">
        <v>17498</v>
      </c>
      <c r="C997" t="s">
        <v>74</v>
      </c>
      <c r="D997" t="s">
        <v>74</v>
      </c>
      <c r="E997" t="s">
        <v>74</v>
      </c>
      <c r="F997" t="s">
        <v>17499</v>
      </c>
      <c r="G997" t="s">
        <v>74</v>
      </c>
      <c r="H997" t="s">
        <v>74</v>
      </c>
      <c r="I997" t="s">
        <v>17500</v>
      </c>
      <c r="J997" t="s">
        <v>536</v>
      </c>
      <c r="K997" t="s">
        <v>74</v>
      </c>
      <c r="L997" t="s">
        <v>74</v>
      </c>
      <c r="M997" t="s">
        <v>78</v>
      </c>
      <c r="N997" t="s">
        <v>79</v>
      </c>
      <c r="O997" t="s">
        <v>74</v>
      </c>
      <c r="P997" t="s">
        <v>74</v>
      </c>
      <c r="Q997" t="s">
        <v>74</v>
      </c>
      <c r="R997" t="s">
        <v>74</v>
      </c>
      <c r="S997" t="s">
        <v>74</v>
      </c>
      <c r="T997" t="s">
        <v>17501</v>
      </c>
      <c r="U997" t="s">
        <v>17502</v>
      </c>
      <c r="V997" t="s">
        <v>17503</v>
      </c>
      <c r="W997" t="s">
        <v>17504</v>
      </c>
      <c r="X997" t="s">
        <v>17505</v>
      </c>
      <c r="Y997" t="s">
        <v>17506</v>
      </c>
      <c r="Z997" t="s">
        <v>17507</v>
      </c>
      <c r="AA997" t="s">
        <v>17508</v>
      </c>
      <c r="AB997" t="s">
        <v>17509</v>
      </c>
      <c r="AC997" t="s">
        <v>17510</v>
      </c>
      <c r="AD997" t="s">
        <v>17511</v>
      </c>
      <c r="AE997" t="s">
        <v>17512</v>
      </c>
      <c r="AF997" t="s">
        <v>74</v>
      </c>
      <c r="AG997">
        <v>87</v>
      </c>
      <c r="AH997">
        <v>105</v>
      </c>
      <c r="AI997">
        <v>115</v>
      </c>
      <c r="AJ997">
        <v>1</v>
      </c>
      <c r="AK997">
        <v>46</v>
      </c>
      <c r="AL997" t="s">
        <v>549</v>
      </c>
      <c r="AM997" t="s">
        <v>550</v>
      </c>
      <c r="AN997" t="s">
        <v>551</v>
      </c>
      <c r="AO997" t="s">
        <v>552</v>
      </c>
      <c r="AP997" t="s">
        <v>2999</v>
      </c>
      <c r="AQ997" t="s">
        <v>74</v>
      </c>
      <c r="AR997" t="s">
        <v>553</v>
      </c>
      <c r="AS997" t="s">
        <v>554</v>
      </c>
      <c r="AT997" t="s">
        <v>17492</v>
      </c>
      <c r="AU997">
        <v>2010</v>
      </c>
      <c r="AV997">
        <v>293</v>
      </c>
      <c r="AW997" t="s">
        <v>4513</v>
      </c>
      <c r="AX997" t="s">
        <v>74</v>
      </c>
      <c r="AY997" t="s">
        <v>74</v>
      </c>
      <c r="AZ997" t="s">
        <v>74</v>
      </c>
      <c r="BA997" t="s">
        <v>74</v>
      </c>
      <c r="BB997">
        <v>1</v>
      </c>
      <c r="BC997">
        <v>27</v>
      </c>
      <c r="BD997" t="s">
        <v>74</v>
      </c>
      <c r="BE997" t="s">
        <v>17513</v>
      </c>
      <c r="BF997" t="str">
        <f>HYPERLINK("http://dx.doi.org/10.1016/j.epsl.2010.02.012","http://dx.doi.org/10.1016/j.epsl.2010.02.012")</f>
        <v>http://dx.doi.org/10.1016/j.epsl.2010.02.012</v>
      </c>
      <c r="BG997" t="s">
        <v>74</v>
      </c>
      <c r="BH997" t="s">
        <v>74</v>
      </c>
      <c r="BI997">
        <v>15</v>
      </c>
      <c r="BJ997" t="s">
        <v>558</v>
      </c>
      <c r="BK997" t="s">
        <v>100</v>
      </c>
      <c r="BL997" t="s">
        <v>558</v>
      </c>
      <c r="BM997" t="s">
        <v>17514</v>
      </c>
      <c r="BN997" t="s">
        <v>74</v>
      </c>
      <c r="BO997" t="s">
        <v>1025</v>
      </c>
      <c r="BP997" t="s">
        <v>74</v>
      </c>
      <c r="BQ997" t="s">
        <v>74</v>
      </c>
      <c r="BR997" t="s">
        <v>104</v>
      </c>
      <c r="BS997" t="s">
        <v>17515</v>
      </c>
      <c r="BT997" t="str">
        <f>HYPERLINK("https%3A%2F%2Fwww.webofscience.com%2Fwos%2Fwoscc%2Ffull-record%2FWOS:000277217100001","View Full Record in Web of Science")</f>
        <v>View Full Record in Web of Science</v>
      </c>
    </row>
    <row r="998" spans="1:72" x14ac:dyDescent="0.15">
      <c r="A998" t="s">
        <v>72</v>
      </c>
      <c r="B998" t="s">
        <v>17516</v>
      </c>
      <c r="C998" t="s">
        <v>74</v>
      </c>
      <c r="D998" t="s">
        <v>74</v>
      </c>
      <c r="E998" t="s">
        <v>74</v>
      </c>
      <c r="F998" t="s">
        <v>17517</v>
      </c>
      <c r="G998" t="s">
        <v>74</v>
      </c>
      <c r="H998" t="s">
        <v>74</v>
      </c>
      <c r="I998" t="s">
        <v>17518</v>
      </c>
      <c r="J998" t="s">
        <v>536</v>
      </c>
      <c r="K998" t="s">
        <v>74</v>
      </c>
      <c r="L998" t="s">
        <v>74</v>
      </c>
      <c r="M998" t="s">
        <v>78</v>
      </c>
      <c r="N998" t="s">
        <v>79</v>
      </c>
      <c r="O998" t="s">
        <v>74</v>
      </c>
      <c r="P998" t="s">
        <v>74</v>
      </c>
      <c r="Q998" t="s">
        <v>74</v>
      </c>
      <c r="R998" t="s">
        <v>74</v>
      </c>
      <c r="S998" t="s">
        <v>74</v>
      </c>
      <c r="T998" t="s">
        <v>17519</v>
      </c>
      <c r="U998" t="s">
        <v>17520</v>
      </c>
      <c r="V998" t="s">
        <v>17521</v>
      </c>
      <c r="W998" t="s">
        <v>17522</v>
      </c>
      <c r="X998" t="s">
        <v>17523</v>
      </c>
      <c r="Y998" t="s">
        <v>17524</v>
      </c>
      <c r="Z998" t="s">
        <v>17525</v>
      </c>
      <c r="AA998" t="s">
        <v>17526</v>
      </c>
      <c r="AB998" t="s">
        <v>17527</v>
      </c>
      <c r="AC998" t="s">
        <v>17528</v>
      </c>
      <c r="AD998" t="s">
        <v>17529</v>
      </c>
      <c r="AE998" t="s">
        <v>17530</v>
      </c>
      <c r="AF998" t="s">
        <v>74</v>
      </c>
      <c r="AG998">
        <v>37</v>
      </c>
      <c r="AH998">
        <v>35</v>
      </c>
      <c r="AI998">
        <v>36</v>
      </c>
      <c r="AJ998">
        <v>0</v>
      </c>
      <c r="AK998">
        <v>17</v>
      </c>
      <c r="AL998" t="s">
        <v>549</v>
      </c>
      <c r="AM998" t="s">
        <v>550</v>
      </c>
      <c r="AN998" t="s">
        <v>551</v>
      </c>
      <c r="AO998" t="s">
        <v>552</v>
      </c>
      <c r="AP998" t="s">
        <v>2999</v>
      </c>
      <c r="AQ998" t="s">
        <v>74</v>
      </c>
      <c r="AR998" t="s">
        <v>553</v>
      </c>
      <c r="AS998" t="s">
        <v>554</v>
      </c>
      <c r="AT998" t="s">
        <v>17492</v>
      </c>
      <c r="AU998">
        <v>2010</v>
      </c>
      <c r="AV998">
        <v>293</v>
      </c>
      <c r="AW998" t="s">
        <v>4513</v>
      </c>
      <c r="AX998" t="s">
        <v>74</v>
      </c>
      <c r="AY998" t="s">
        <v>74</v>
      </c>
      <c r="AZ998" t="s">
        <v>74</v>
      </c>
      <c r="BA998" t="s">
        <v>74</v>
      </c>
      <c r="BB998">
        <v>104</v>
      </c>
      <c r="BC998">
        <v>113</v>
      </c>
      <c r="BD998" t="s">
        <v>74</v>
      </c>
      <c r="BE998" t="s">
        <v>17531</v>
      </c>
      <c r="BF998" t="str">
        <f>HYPERLINK("http://dx.doi.org/10.1016/j.epsl.2010.02.028","http://dx.doi.org/10.1016/j.epsl.2010.02.028")</f>
        <v>http://dx.doi.org/10.1016/j.epsl.2010.02.028</v>
      </c>
      <c r="BG998" t="s">
        <v>74</v>
      </c>
      <c r="BH998" t="s">
        <v>74</v>
      </c>
      <c r="BI998">
        <v>10</v>
      </c>
      <c r="BJ998" t="s">
        <v>558</v>
      </c>
      <c r="BK998" t="s">
        <v>100</v>
      </c>
      <c r="BL998" t="s">
        <v>558</v>
      </c>
      <c r="BM998" t="s">
        <v>17514</v>
      </c>
      <c r="BN998" t="s">
        <v>74</v>
      </c>
      <c r="BO998" t="s">
        <v>74</v>
      </c>
      <c r="BP998" t="s">
        <v>74</v>
      </c>
      <c r="BQ998" t="s">
        <v>74</v>
      </c>
      <c r="BR998" t="s">
        <v>104</v>
      </c>
      <c r="BS998" t="s">
        <v>17532</v>
      </c>
      <c r="BT998" t="str">
        <f>HYPERLINK("https%3A%2F%2Fwww.webofscience.com%2Fwos%2Fwoscc%2Ffull-record%2FWOS:000277217100010","View Full Record in Web of Science")</f>
        <v>View Full Record in Web of Science</v>
      </c>
    </row>
    <row r="999" spans="1:72" x14ac:dyDescent="0.15">
      <c r="A999" t="s">
        <v>72</v>
      </c>
      <c r="B999" t="s">
        <v>17533</v>
      </c>
      <c r="C999" t="s">
        <v>74</v>
      </c>
      <c r="D999" t="s">
        <v>74</v>
      </c>
      <c r="E999" t="s">
        <v>74</v>
      </c>
      <c r="F999" t="s">
        <v>17534</v>
      </c>
      <c r="G999" t="s">
        <v>74</v>
      </c>
      <c r="H999" t="s">
        <v>74</v>
      </c>
      <c r="I999" t="s">
        <v>17535</v>
      </c>
      <c r="J999" t="s">
        <v>536</v>
      </c>
      <c r="K999" t="s">
        <v>74</v>
      </c>
      <c r="L999" t="s">
        <v>74</v>
      </c>
      <c r="M999" t="s">
        <v>78</v>
      </c>
      <c r="N999" t="s">
        <v>79</v>
      </c>
      <c r="O999" t="s">
        <v>74</v>
      </c>
      <c r="P999" t="s">
        <v>74</v>
      </c>
      <c r="Q999" t="s">
        <v>74</v>
      </c>
      <c r="R999" t="s">
        <v>74</v>
      </c>
      <c r="S999" t="s">
        <v>74</v>
      </c>
      <c r="T999" t="s">
        <v>17536</v>
      </c>
      <c r="U999" t="s">
        <v>17537</v>
      </c>
      <c r="V999" t="s">
        <v>17538</v>
      </c>
      <c r="W999" t="s">
        <v>17539</v>
      </c>
      <c r="X999" t="s">
        <v>13269</v>
      </c>
      <c r="Y999" t="s">
        <v>17540</v>
      </c>
      <c r="Z999" t="s">
        <v>13271</v>
      </c>
      <c r="AA999" t="s">
        <v>17541</v>
      </c>
      <c r="AB999" t="s">
        <v>17542</v>
      </c>
      <c r="AC999" t="s">
        <v>74</v>
      </c>
      <c r="AD999" t="s">
        <v>74</v>
      </c>
      <c r="AE999" t="s">
        <v>74</v>
      </c>
      <c r="AF999" t="s">
        <v>74</v>
      </c>
      <c r="AG999">
        <v>48</v>
      </c>
      <c r="AH999">
        <v>45</v>
      </c>
      <c r="AI999">
        <v>47</v>
      </c>
      <c r="AJ999">
        <v>0</v>
      </c>
      <c r="AK999">
        <v>9</v>
      </c>
      <c r="AL999" t="s">
        <v>1038</v>
      </c>
      <c r="AM999" t="s">
        <v>550</v>
      </c>
      <c r="AN999" t="s">
        <v>1039</v>
      </c>
      <c r="AO999" t="s">
        <v>552</v>
      </c>
      <c r="AP999" t="s">
        <v>2999</v>
      </c>
      <c r="AQ999" t="s">
        <v>74</v>
      </c>
      <c r="AR999" t="s">
        <v>553</v>
      </c>
      <c r="AS999" t="s">
        <v>554</v>
      </c>
      <c r="AT999" t="s">
        <v>17492</v>
      </c>
      <c r="AU999">
        <v>2010</v>
      </c>
      <c r="AV999">
        <v>293</v>
      </c>
      <c r="AW999" t="s">
        <v>4513</v>
      </c>
      <c r="AX999" t="s">
        <v>74</v>
      </c>
      <c r="AY999" t="s">
        <v>74</v>
      </c>
      <c r="AZ999" t="s">
        <v>74</v>
      </c>
      <c r="BA999" t="s">
        <v>74</v>
      </c>
      <c r="BB999">
        <v>200</v>
      </c>
      <c r="BC999">
        <v>215</v>
      </c>
      <c r="BD999" t="s">
        <v>74</v>
      </c>
      <c r="BE999" t="s">
        <v>17543</v>
      </c>
      <c r="BF999" t="str">
        <f>HYPERLINK("http://dx.doi.org/10.1016/j.epsl.2009.12.045","http://dx.doi.org/10.1016/j.epsl.2009.12.045")</f>
        <v>http://dx.doi.org/10.1016/j.epsl.2009.12.045</v>
      </c>
      <c r="BG999" t="s">
        <v>74</v>
      </c>
      <c r="BH999" t="s">
        <v>74</v>
      </c>
      <c r="BI999">
        <v>16</v>
      </c>
      <c r="BJ999" t="s">
        <v>558</v>
      </c>
      <c r="BK999" t="s">
        <v>100</v>
      </c>
      <c r="BL999" t="s">
        <v>558</v>
      </c>
      <c r="BM999" t="s">
        <v>17514</v>
      </c>
      <c r="BN999" t="s">
        <v>74</v>
      </c>
      <c r="BO999" t="s">
        <v>631</v>
      </c>
      <c r="BP999" t="s">
        <v>74</v>
      </c>
      <c r="BQ999" t="s">
        <v>74</v>
      </c>
      <c r="BR999" t="s">
        <v>104</v>
      </c>
      <c r="BS999" t="s">
        <v>17544</v>
      </c>
      <c r="BT999" t="str">
        <f>HYPERLINK("https%3A%2F%2Fwww.webofscience.com%2Fwos%2Fwoscc%2Ffull-record%2FWOS:000277217100021","View Full Record in Web of Science")</f>
        <v>View Full Record in Web of Science</v>
      </c>
    </row>
    <row r="1000" spans="1:72" x14ac:dyDescent="0.15">
      <c r="A1000" t="s">
        <v>72</v>
      </c>
      <c r="B1000" t="s">
        <v>17545</v>
      </c>
      <c r="C1000" t="s">
        <v>74</v>
      </c>
      <c r="D1000" t="s">
        <v>74</v>
      </c>
      <c r="E1000" t="s">
        <v>74</v>
      </c>
      <c r="F1000" t="s">
        <v>17546</v>
      </c>
      <c r="G1000" t="s">
        <v>74</v>
      </c>
      <c r="H1000" t="s">
        <v>74</v>
      </c>
      <c r="I1000" t="s">
        <v>17547</v>
      </c>
      <c r="J1000" t="s">
        <v>13575</v>
      </c>
      <c r="K1000" t="s">
        <v>74</v>
      </c>
      <c r="L1000" t="s">
        <v>74</v>
      </c>
      <c r="M1000" t="s">
        <v>78</v>
      </c>
      <c r="N1000" t="s">
        <v>220</v>
      </c>
      <c r="O1000" t="s">
        <v>74</v>
      </c>
      <c r="P1000" t="s">
        <v>74</v>
      </c>
      <c r="Q1000" t="s">
        <v>74</v>
      </c>
      <c r="R1000" t="s">
        <v>74</v>
      </c>
      <c r="S1000" t="s">
        <v>74</v>
      </c>
      <c r="T1000" t="s">
        <v>17548</v>
      </c>
      <c r="U1000" t="s">
        <v>17549</v>
      </c>
      <c r="V1000" t="s">
        <v>74</v>
      </c>
      <c r="W1000" t="s">
        <v>17550</v>
      </c>
      <c r="X1000" t="s">
        <v>17551</v>
      </c>
      <c r="Y1000" t="s">
        <v>17552</v>
      </c>
      <c r="Z1000" t="s">
        <v>17553</v>
      </c>
      <c r="AA1000" t="s">
        <v>17554</v>
      </c>
      <c r="AB1000" t="s">
        <v>17555</v>
      </c>
      <c r="AC1000" t="s">
        <v>17556</v>
      </c>
      <c r="AD1000" t="s">
        <v>337</v>
      </c>
      <c r="AE1000" t="s">
        <v>74</v>
      </c>
      <c r="AF1000" t="s">
        <v>74</v>
      </c>
      <c r="AG1000">
        <v>39</v>
      </c>
      <c r="AH1000">
        <v>19</v>
      </c>
      <c r="AI1000">
        <v>19</v>
      </c>
      <c r="AJ1000">
        <v>0</v>
      </c>
      <c r="AK1000">
        <v>11</v>
      </c>
      <c r="AL1000" t="s">
        <v>1038</v>
      </c>
      <c r="AM1000" t="s">
        <v>550</v>
      </c>
      <c r="AN1000" t="s">
        <v>1039</v>
      </c>
      <c r="AO1000" t="s">
        <v>13583</v>
      </c>
      <c r="AP1000" t="s">
        <v>13584</v>
      </c>
      <c r="AQ1000" t="s">
        <v>74</v>
      </c>
      <c r="AR1000" t="s">
        <v>13575</v>
      </c>
      <c r="AS1000" t="s">
        <v>13585</v>
      </c>
      <c r="AT1000" t="s">
        <v>17492</v>
      </c>
      <c r="AU1000">
        <v>2010</v>
      </c>
      <c r="AV1000">
        <v>117</v>
      </c>
      <c r="AW1000" t="s">
        <v>4513</v>
      </c>
      <c r="AX1000" t="s">
        <v>74</v>
      </c>
      <c r="AY1000" t="s">
        <v>74</v>
      </c>
      <c r="AZ1000" t="s">
        <v>74</v>
      </c>
      <c r="BA1000" t="s">
        <v>74</v>
      </c>
      <c r="BB1000">
        <v>195</v>
      </c>
      <c r="BC1000">
        <v>198</v>
      </c>
      <c r="BD1000" t="s">
        <v>74</v>
      </c>
      <c r="BE1000" t="s">
        <v>17557</v>
      </c>
      <c r="BF1000" t="str">
        <f>HYPERLINK("http://dx.doi.org/10.1016/j.geomorph.2009.09.036","http://dx.doi.org/10.1016/j.geomorph.2009.09.036")</f>
        <v>http://dx.doi.org/10.1016/j.geomorph.2009.09.036</v>
      </c>
      <c r="BG1000" t="s">
        <v>74</v>
      </c>
      <c r="BH1000" t="s">
        <v>74</v>
      </c>
      <c r="BI1000">
        <v>4</v>
      </c>
      <c r="BJ1000" t="s">
        <v>1409</v>
      </c>
      <c r="BK1000" t="s">
        <v>100</v>
      </c>
      <c r="BL1000" t="s">
        <v>1410</v>
      </c>
      <c r="BM1000" t="s">
        <v>17558</v>
      </c>
      <c r="BN1000" t="s">
        <v>74</v>
      </c>
      <c r="BO1000" t="s">
        <v>74</v>
      </c>
      <c r="BP1000" t="s">
        <v>74</v>
      </c>
      <c r="BQ1000" t="s">
        <v>74</v>
      </c>
      <c r="BR1000" t="s">
        <v>104</v>
      </c>
      <c r="BS1000" t="s">
        <v>17559</v>
      </c>
      <c r="BT1000" t="str">
        <f>HYPERLINK("https%3A%2F%2Fwww.webofscience.com%2Fwos%2Fwoscc%2Ffull-record%2FWOS:000276543200015","View Full Record in Web of Science")</f>
        <v>View Full Record in Web of Science</v>
      </c>
    </row>
    <row r="1001" spans="1:72" x14ac:dyDescent="0.15">
      <c r="A1001" t="s">
        <v>72</v>
      </c>
      <c r="B1001" t="s">
        <v>17560</v>
      </c>
      <c r="C1001" t="s">
        <v>74</v>
      </c>
      <c r="D1001" t="s">
        <v>74</v>
      </c>
      <c r="E1001" t="s">
        <v>74</v>
      </c>
      <c r="F1001" t="s">
        <v>17561</v>
      </c>
      <c r="G1001" t="s">
        <v>74</v>
      </c>
      <c r="H1001" t="s">
        <v>74</v>
      </c>
      <c r="I1001" t="s">
        <v>17562</v>
      </c>
      <c r="J1001" t="s">
        <v>13575</v>
      </c>
      <c r="K1001" t="s">
        <v>74</v>
      </c>
      <c r="L1001" t="s">
        <v>74</v>
      </c>
      <c r="M1001" t="s">
        <v>78</v>
      </c>
      <c r="N1001" t="s">
        <v>220</v>
      </c>
      <c r="O1001" t="s">
        <v>74</v>
      </c>
      <c r="P1001" t="s">
        <v>74</v>
      </c>
      <c r="Q1001" t="s">
        <v>74</v>
      </c>
      <c r="R1001" t="s">
        <v>74</v>
      </c>
      <c r="S1001" t="s">
        <v>74</v>
      </c>
      <c r="T1001" t="s">
        <v>74</v>
      </c>
      <c r="U1001" t="s">
        <v>17563</v>
      </c>
      <c r="V1001" t="s">
        <v>74</v>
      </c>
      <c r="W1001" t="s">
        <v>17564</v>
      </c>
      <c r="X1001" t="s">
        <v>17565</v>
      </c>
      <c r="Y1001" t="s">
        <v>17566</v>
      </c>
      <c r="Z1001" t="s">
        <v>17567</v>
      </c>
      <c r="AA1001" t="s">
        <v>74</v>
      </c>
      <c r="AB1001" t="s">
        <v>74</v>
      </c>
      <c r="AC1001" t="s">
        <v>74</v>
      </c>
      <c r="AD1001" t="s">
        <v>74</v>
      </c>
      <c r="AE1001" t="s">
        <v>74</v>
      </c>
      <c r="AF1001" t="s">
        <v>74</v>
      </c>
      <c r="AG1001">
        <v>24</v>
      </c>
      <c r="AH1001">
        <v>5</v>
      </c>
      <c r="AI1001">
        <v>5</v>
      </c>
      <c r="AJ1001">
        <v>0</v>
      </c>
      <c r="AK1001">
        <v>5</v>
      </c>
      <c r="AL1001" t="s">
        <v>549</v>
      </c>
      <c r="AM1001" t="s">
        <v>550</v>
      </c>
      <c r="AN1001" t="s">
        <v>551</v>
      </c>
      <c r="AO1001" t="s">
        <v>13583</v>
      </c>
      <c r="AP1001" t="s">
        <v>13584</v>
      </c>
      <c r="AQ1001" t="s">
        <v>74</v>
      </c>
      <c r="AR1001" t="s">
        <v>13575</v>
      </c>
      <c r="AS1001" t="s">
        <v>13585</v>
      </c>
      <c r="AT1001" t="s">
        <v>17492</v>
      </c>
      <c r="AU1001">
        <v>2010</v>
      </c>
      <c r="AV1001">
        <v>117</v>
      </c>
      <c r="AW1001" t="s">
        <v>4513</v>
      </c>
      <c r="AX1001" t="s">
        <v>74</v>
      </c>
      <c r="AY1001" t="s">
        <v>74</v>
      </c>
      <c r="AZ1001" t="s">
        <v>74</v>
      </c>
      <c r="BA1001" t="s">
        <v>74</v>
      </c>
      <c r="BB1001">
        <v>199</v>
      </c>
      <c r="BC1001">
        <v>201</v>
      </c>
      <c r="BD1001" t="s">
        <v>74</v>
      </c>
      <c r="BE1001" t="s">
        <v>17568</v>
      </c>
      <c r="BF1001" t="str">
        <f>HYPERLINK("http://dx.doi.org/10.1016/j.geomorph.2009.12.008","http://dx.doi.org/10.1016/j.geomorph.2009.12.008")</f>
        <v>http://dx.doi.org/10.1016/j.geomorph.2009.12.008</v>
      </c>
      <c r="BG1001" t="s">
        <v>74</v>
      </c>
      <c r="BH1001" t="s">
        <v>74</v>
      </c>
      <c r="BI1001">
        <v>3</v>
      </c>
      <c r="BJ1001" t="s">
        <v>1409</v>
      </c>
      <c r="BK1001" t="s">
        <v>100</v>
      </c>
      <c r="BL1001" t="s">
        <v>1410</v>
      </c>
      <c r="BM1001" t="s">
        <v>17558</v>
      </c>
      <c r="BN1001" t="s">
        <v>74</v>
      </c>
      <c r="BO1001" t="s">
        <v>74</v>
      </c>
      <c r="BP1001" t="s">
        <v>74</v>
      </c>
      <c r="BQ1001" t="s">
        <v>74</v>
      </c>
      <c r="BR1001" t="s">
        <v>104</v>
      </c>
      <c r="BS1001" t="s">
        <v>17569</v>
      </c>
      <c r="BT1001" t="str">
        <f>HYPERLINK("https%3A%2F%2Fwww.webofscience.com%2Fwos%2Fwoscc%2Ffull-record%2FWOS:000276543200016","View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2024-07-28T15:24:23Z</dcterms:created>
  <dcterms:modified xsi:type="dcterms:W3CDTF">2024-07-28T15:24:23Z</dcterms:modified>
</cp:coreProperties>
</file>